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hreadedComments/threadedComment7.xml" ContentType="application/vnd.ms-excel.threadedcomments+xml"/>
  <Override PartName="/xl/comments9.xml" ContentType="application/vnd.openxmlformats-officedocument.spreadsheetml.comments+xml"/>
  <Override PartName="/xl/threadedComments/threadedComment8.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0.xml" ContentType="application/vnd.openxmlformats-officedocument.spreadsheetml.comments+xml"/>
  <Override PartName="/xl/threadedComments/threadedComment9.xml" ContentType="application/vnd.ms-excel.threadedcomments+xml"/>
  <Override PartName="/xl/comments11.xml" ContentType="application/vnd.openxmlformats-officedocument.spreadsheetml.comments+xml"/>
  <Override PartName="/xl/threadedComments/threadedComment10.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11.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3.xml" ContentType="application/vnd.openxmlformats-officedocument.spreadsheetml.comments+xml"/>
  <Override PartName="/xl/threadedComments/threadedComment12.xml" ContentType="application/vnd.ms-excel.threadedcomments+xml"/>
  <Override PartName="/xl/comments14.xml" ContentType="application/vnd.openxmlformats-officedocument.spreadsheetml.comments+xml"/>
  <Override PartName="/xl/threadedComments/threadedComment13.xml" ContentType="application/vnd.ms-excel.threadedcomments+xml"/>
  <Override PartName="/xl/comments15.xml" ContentType="application/vnd.openxmlformats-officedocument.spreadsheetml.comments+xml"/>
  <Override PartName="/xl/threadedComments/threadedComment14.xml" ContentType="application/vnd.ms-excel.threadedcomments+xml"/>
  <Override PartName="/xl/drawings/drawing5.xml" ContentType="application/vnd.openxmlformats-officedocument.drawing+xml"/>
  <Override PartName="/xl/comments16.xml" ContentType="application/vnd.openxmlformats-officedocument.spreadsheetml.comments+xml"/>
  <Override PartName="/xl/threadedComments/threadedComment15.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comments17.xml" ContentType="application/vnd.openxmlformats-officedocument.spreadsheetml.comments+xml"/>
  <Override PartName="/xl/threadedComments/threadedComment16.xml" ContentType="application/vnd.ms-excel.threadedcomments+xml"/>
  <Override PartName="/xl/comments18.xml" ContentType="application/vnd.openxmlformats-officedocument.spreadsheetml.comments+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19.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thehealthfoundation98-my.sharepoint.com/personal/zeyad_issa_health_org_uk/Documents/Desktop/"/>
    </mc:Choice>
  </mc:AlternateContent>
  <xr:revisionPtr revIDLastSave="4" documentId="8_{D9079360-9F67-4004-98FC-204FAF5DE44F}" xr6:coauthVersionLast="47" xr6:coauthVersionMax="47" xr10:uidLastSave="{B7095170-DDF8-44B6-8892-B41A399E8D3A}"/>
  <bookViews>
    <workbookView xWindow="-110" yWindow="-110" windowWidth="19420" windowHeight="11620" tabRatio="662" firstSheet="14" activeTab="18" xr2:uid="{2DB3CED3-66DA-4366-96CD-268F3A7B373B}"/>
  </bookViews>
  <sheets>
    <sheet name="Cover Sheet" sheetId="2" state="hidden" r:id="rId1"/>
    <sheet name="Log" sheetId="7" state="hidden" r:id="rId2"/>
    <sheet name="Notes, updating funding page" sheetId="69" state="hidden" r:id="rId3"/>
    <sheet name="Finances calendar" sheetId="76" state="hidden" r:id="rId4"/>
    <sheet name="Latest funding page update" sheetId="65" state="hidden" r:id="rId5"/>
    <sheet name="Actual to Projected" sheetId="78" r:id="rId6"/>
    <sheet name="Planned v Outtrun" sheetId="85" state="hidden" r:id="rId7"/>
    <sheet name="Autumn 24" sheetId="58" r:id="rId8"/>
    <sheet name="Spring 24 v Autumn 24" sheetId="81" r:id="rId9"/>
    <sheet name="Spring 24 (new deflator)" sheetId="94" state="hidden" r:id="rId10"/>
    <sheet name="Spring 24" sheetId="77" r:id="rId11"/>
    <sheet name="Sheet4" sheetId="93" state="hidden" r:id="rId12"/>
    <sheet name="Spring 24 v Autumn 23" sheetId="67" r:id="rId13"/>
    <sheet name="Autumn red book replication" sheetId="88" r:id="rId14"/>
    <sheet name="Autumn 23" sheetId="55" r:id="rId15"/>
    <sheet name="INPUTS" sheetId="82" r:id="rId16"/>
    <sheet name="MASTER DEFLATOR" sheetId="84" r:id="rId17"/>
    <sheet name="Historic spend &amp; growth" sheetId="18" r:id="rId18"/>
    <sheet name="Population" sheetId="61" r:id="rId19"/>
    <sheet name="30092024 deflator update" sheetId="79" state="hidden" r:id="rId20"/>
    <sheet name="Deflator_HMT_SpringBudget24" sheetId="39" state="hidden" r:id="rId21"/>
    <sheet name="Adjusted spend" sheetId="62" r:id="rId22"/>
    <sheet name="OBR non-rounded" sheetId="89" r:id="rId23"/>
    <sheet name="T5.4" sheetId="91" r:id="rId24"/>
    <sheet name="T5.6" sheetId="92" r:id="rId25"/>
    <sheet name="Chapter 5" sheetId="90" r:id="rId26"/>
    <sheet name="CHARTS" sheetId="70" r:id="rId27"/>
    <sheet name="Figure 1" sheetId="71" r:id="rId28"/>
    <sheet name="Figure 2" sheetId="72" r:id="rId29"/>
    <sheet name="Sheet5" sheetId="86" state="hidden" r:id="rId30"/>
    <sheet name="Figure 3" sheetId="73" r:id="rId31"/>
    <sheet name="Figure 4" sheetId="74" r:id="rId32"/>
    <sheet name="DHSC NHS Budgets" sheetId="1" state="hidden" r:id="rId33"/>
    <sheet name="Historic spend V1" sheetId="12" state="hidden" r:id="rId34"/>
    <sheet name="Sheet7" sheetId="87" state="hidden" r:id="rId35"/>
    <sheet name="Historic spend V2 (2)" sheetId="66" r:id="rId36"/>
    <sheet name="Sheet6" sheetId="95" r:id="rId37"/>
    <sheet name="FUNDING BREAKDOWN" sheetId="43" state="hidden" r:id="rId38"/>
    <sheet name="Supps 2024" sheetId="56" state="hidden" r:id="rId39"/>
    <sheet name="FinancialDirections" sheetId="54" state="hidden" r:id="rId40"/>
    <sheet name="All dept spending" sheetId="22" state="hidden" r:id="rId41"/>
    <sheet name="RDEL &amp; CDEL breakdown" sheetId="24" state="hidden" r:id="rId42"/>
    <sheet name="Board meeting data" sheetId="30" state="hidden" r:id="rId43"/>
    <sheet name="Hospital programmes" sheetId="29" state="hidden" r:id="rId44"/>
    <sheet name="NHS financial position" sheetId="25" state="hidden" r:id="rId45"/>
    <sheet name="Mental health spend" sheetId="26" state="hidden" r:id="rId46"/>
    <sheet name="Agency and bank spend" sheetId="52" state="hidden" r:id="rId47"/>
    <sheet name="Sheet3" sheetId="53" state="hidden" r:id="rId48"/>
    <sheet name="FUNDING COMPARISONS" sheetId="47" state="hidden" r:id="rId49"/>
    <sheet name="Comparison across fiscal events" sheetId="27" state="hidden" r:id="rId50"/>
    <sheet name="Changes since SR2015" sheetId="5" state="hidden" r:id="rId51"/>
    <sheet name="NHSE details" sheetId="28" state="hidden" r:id="rId52"/>
    <sheet name="Jan Board data &amp; ARA" sheetId="14" state="hidden" r:id="rId53"/>
    <sheet name="Sheet1" sheetId="15" state="hidden" r:id="rId54"/>
    <sheet name="LTP funding" sheetId="51" state="hidden" r:id="rId55"/>
    <sheet name="INFLATION" sheetId="42" state="hidden" r:id="rId56"/>
    <sheet name="Deflator_OBR" sheetId="4" state="hidden" r:id="rId57"/>
    <sheet name="ONS intermediate c" sheetId="40" state="hidden" r:id="rId58"/>
    <sheet name="inflation_comparison" sheetId="33" state="hidden" r:id="rId59"/>
    <sheet name="HISTORIC FUNDING" sheetId="44" state="hidden" r:id="rId60"/>
    <sheet name="Sheet2" sheetId="75" state="hidden" r:id="rId61"/>
    <sheet name="REGIONAL " sheetId="36" state="hidden" r:id="rId62"/>
    <sheet name="OTHER" sheetId="45" state="hidden" r:id="rId63"/>
    <sheet name="Sickness" sheetId="41" state="hidden" r:id="rId64"/>
    <sheet name="OBR econ" sheetId="34" state="hidden" r:id="rId65"/>
    <sheet name="ERIC Data" sheetId="11" state="hidden" r:id="rId66"/>
    <sheet name="Chart 1 SB23" sheetId="32" state="hidden" r:id="rId67"/>
    <sheet name="FUNDING PROJECTIONS" sheetId="46" state="hidden" r:id="rId68"/>
    <sheet name="Memo Funding projections" sheetId="13" state="hidden" r:id="rId69"/>
    <sheet name="Population weights" sheetId="16" state="hidden" r:id="rId70"/>
    <sheet name="LT pop calculation" sheetId="17" state="hidden" r:id="rId71"/>
    <sheet name="NQA prod" sheetId="49" state="hidden" r:id="rId72"/>
    <sheet name="Prod estimates" sheetId="48" state="hidden" r:id="rId73"/>
    <sheet name="CWA" sheetId="50" state="hidden" r:id="rId74"/>
    <sheet name="Notes" sheetId="3" state="hidden" r:id="rId75"/>
  </sheets>
  <externalReferences>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s>
  <definedNames>
    <definedName name="\A" localSheetId="23">[1]NICs!#REF!</definedName>
    <definedName name="\A" localSheetId="24">[1]NICs!#REF!</definedName>
    <definedName name="\a">#REF!</definedName>
    <definedName name="\b">#N/A</definedName>
    <definedName name="\e">#REF!</definedName>
    <definedName name="\l">#REF!</definedName>
    <definedName name="\p">#REF!</definedName>
    <definedName name="\Q">[1]NICs!#REF!</definedName>
    <definedName name="\R">#REF!</definedName>
    <definedName name="\s">#REF!</definedName>
    <definedName name="\T">[1]NICs!#REF!</definedName>
    <definedName name="\UPDATE">#REF!</definedName>
    <definedName name="\z">#REF!</definedName>
    <definedName name="_">"CTS+Data!$A$712:$CF$1037"</definedName>
    <definedName name="________________PC1">[2]PC1!$M$103:$IV$16410</definedName>
    <definedName name="_______________PC1">[2]PC1!$M$103:$IV$16410</definedName>
    <definedName name="_______________TAR1">'[3]Unemp by prev job levels'!$B$15</definedName>
    <definedName name="_______________TAR10">#REF!</definedName>
    <definedName name="_______________TAR100">'[3]Unemp by prev job levels'!$I$244</definedName>
    <definedName name="_______________TAR101">'[3]Unemp by prev job levels'!$J$244</definedName>
    <definedName name="_______________TAR102">'[3]Unemp by prev job levels'!$K$244</definedName>
    <definedName name="_______________TAR103">'[3]Unemp by prev job levels'!$L$244</definedName>
    <definedName name="_______________TAR104">'[3]Unemp by prev job levels'!$M$244</definedName>
    <definedName name="_______________TAR105">'[3]Unemp by prev job levels'!$N$244</definedName>
    <definedName name="_______________TAR106">'[3]Unemp by prev job levels'!$O$244</definedName>
    <definedName name="_______________TAR11">#REF!</definedName>
    <definedName name="_______________TAR12">#REF!</definedName>
    <definedName name="_______________TAR13">#REF!</definedName>
    <definedName name="_______________TAR14">#REF!</definedName>
    <definedName name="_______________TAR15">'[3]Unemp by prev job levels'!$B$88</definedName>
    <definedName name="_______________TAR17">'[3]Unemp by prev job levels'!$C$88</definedName>
    <definedName name="_______________TAR18">'[3]Unemp by prev job levels'!$D$88</definedName>
    <definedName name="_______________TAR19">'[3]Unemp by prev job levels'!$E$88</definedName>
    <definedName name="_______________TAR20">'[3]Unemp by prev job levels'!$F$88</definedName>
    <definedName name="_______________TAR21">'[3]Unemp by prev job levels'!$G$88</definedName>
    <definedName name="_______________TAR22">#REF!</definedName>
    <definedName name="_______________TAR24">#REF!</definedName>
    <definedName name="_______________TAR25">#REF!</definedName>
    <definedName name="_______________TAR26">#REF!</definedName>
    <definedName name="_______________TAR27">#REF!</definedName>
    <definedName name="_______________TAR28">#REF!</definedName>
    <definedName name="_______________TAR29">'[3]Unemp by prev job levels'!$B$161</definedName>
    <definedName name="_______________TAR3">'[3]Unemp by prev job levels'!$C$15</definedName>
    <definedName name="_______________TAR31">'[3]Unemp by prev job levels'!$C$161</definedName>
    <definedName name="_______________TAR32">'[3]Unemp by prev job levels'!$D$161</definedName>
    <definedName name="_______________TAR33">'[3]Unemp by prev job levels'!$E$161</definedName>
    <definedName name="_______________TAR34">'[3]Unemp by prev job levels'!$F$161</definedName>
    <definedName name="_______________TAR35">'[3]Unemp by prev job levels'!$G$161</definedName>
    <definedName name="_______________TAR36">#REF!</definedName>
    <definedName name="_______________TAR38">#REF!</definedName>
    <definedName name="_______________TAR39">#REF!</definedName>
    <definedName name="_______________TAR4">'[3]Unemp by prev job levels'!$D$15</definedName>
    <definedName name="_______________TAR40">#REF!</definedName>
    <definedName name="_______________TAR41">#REF!</definedName>
    <definedName name="_______________TAR42">#REF!</definedName>
    <definedName name="_______________TAR43">'[3]Unemp by prev job levels'!$H$15</definedName>
    <definedName name="_______________TAR44">'[3]Unemp by prev job levels'!$I$15</definedName>
    <definedName name="_______________TAR45">'[3]Unemp by prev job levels'!$J$15</definedName>
    <definedName name="_______________TAR46">'[3]Unemp by prev job levels'!$K$15</definedName>
    <definedName name="_______________TAR47">'[3]Unemp by prev job levels'!$L$15</definedName>
    <definedName name="_______________TAR48">'[3]Unemp by prev job levels'!$M$15</definedName>
    <definedName name="_______________TAR49">'[3]Unemp by prev job levels'!$N$15</definedName>
    <definedName name="_______________TAR5">'[3]Unemp by prev job levels'!$E$15</definedName>
    <definedName name="_______________TAR50">'[3]Unemp by prev job levels'!$O$15</definedName>
    <definedName name="_______________TAR51">#REF!</definedName>
    <definedName name="_______________TAR52">#REF!</definedName>
    <definedName name="_______________TAR53">#REF!</definedName>
    <definedName name="_______________TAR54">#REF!</definedName>
    <definedName name="_______________TAR55">#REF!</definedName>
    <definedName name="_______________TAR56">#REF!</definedName>
    <definedName name="_______________TAR57">#REF!</definedName>
    <definedName name="_______________TAR58">#REF!</definedName>
    <definedName name="_______________TAR59">'[3]Unemp by prev job levels'!$H$88</definedName>
    <definedName name="_______________TAR6">'[3]Unemp by prev job levels'!$F$15</definedName>
    <definedName name="_______________TAR60">'[3]Unemp by prev job levels'!$I$88</definedName>
    <definedName name="_______________TAR61">'[3]Unemp by prev job levels'!$J$88</definedName>
    <definedName name="_______________TAR62">'[3]Unemp by prev job levels'!$K$88</definedName>
    <definedName name="_______________TAR63">'[3]Unemp by prev job levels'!$L$88</definedName>
    <definedName name="_______________TAR64">'[3]Unemp by prev job levels'!$M$88</definedName>
    <definedName name="_______________TAR65">'[3]Unemp by prev job levels'!$N$88</definedName>
    <definedName name="_______________TAR66">'[3]Unemp by prev job levels'!$O$88</definedName>
    <definedName name="_______________TAR67">#REF!</definedName>
    <definedName name="_______________TAR68">#REF!</definedName>
    <definedName name="_______________TAR69">#REF!</definedName>
    <definedName name="_______________TAR7">'[3]Unemp by prev job levels'!$G$15</definedName>
    <definedName name="_______________TAR70">#REF!</definedName>
    <definedName name="_______________TAR71">#REF!</definedName>
    <definedName name="_______________TAR72">#REF!</definedName>
    <definedName name="_______________TAR73">#REF!</definedName>
    <definedName name="_______________TAR74">#REF!</definedName>
    <definedName name="_______________TAR75">'[3]Unemp by prev job levels'!$H$161</definedName>
    <definedName name="_______________TAR76">'[3]Unemp by prev job levels'!$I$161</definedName>
    <definedName name="_______________TAR77">'[3]Unemp by prev job levels'!$J$161</definedName>
    <definedName name="_______________TAR78">'[3]Unemp by prev job levels'!$K$161</definedName>
    <definedName name="_______________TAR79">'[3]Unemp by prev job levels'!$L$161</definedName>
    <definedName name="_______________TAR8">#REF!</definedName>
    <definedName name="_______________TAR80">'[3]Unemp by prev job levels'!$M$161</definedName>
    <definedName name="_______________TAR81">'[3]Unemp by prev job levels'!$N$161</definedName>
    <definedName name="_______________TAR82">'[3]Unemp by prev job levels'!$O$161</definedName>
    <definedName name="_______________TAR83">#REF!</definedName>
    <definedName name="_______________TAR84">#REF!</definedName>
    <definedName name="_______________TAR85">#REF!</definedName>
    <definedName name="_______________TAR86">#REF!</definedName>
    <definedName name="_______________TAR87">#REF!</definedName>
    <definedName name="_______________TAR88">#REF!</definedName>
    <definedName name="_______________TAR89">#REF!</definedName>
    <definedName name="_______________TAR90">#REF!</definedName>
    <definedName name="_______________TAR92">'[3]Unemp by prev job levels'!$B$244</definedName>
    <definedName name="_______________TAR94">'[3]Unemp by prev job levels'!$C$244</definedName>
    <definedName name="_______________TAR95">'[3]Unemp by prev job levels'!$D$244</definedName>
    <definedName name="_______________TAR96">'[3]Unemp by prev job levels'!$E$244</definedName>
    <definedName name="_______________TAR97">'[3]Unemp by prev job levels'!$F$244</definedName>
    <definedName name="_______________TAR98">'[3]Unemp by prev job levels'!$G$244</definedName>
    <definedName name="_______________TAR99">'[3]Unemp by prev job levels'!$H$244</definedName>
    <definedName name="______________PC1">[2]PC1!$M$103:$IV$16410</definedName>
    <definedName name="______________TAR1">'[3]Unemp by prev job levels'!$B$15</definedName>
    <definedName name="______________TAR10">#REF!</definedName>
    <definedName name="______________TAR100">'[3]Unemp by prev job levels'!$I$244</definedName>
    <definedName name="______________TAR101">'[3]Unemp by prev job levels'!$J$244</definedName>
    <definedName name="______________TAR102">'[3]Unemp by prev job levels'!$K$244</definedName>
    <definedName name="______________TAR103">'[3]Unemp by prev job levels'!$L$244</definedName>
    <definedName name="______________TAR104">'[3]Unemp by prev job levels'!$M$244</definedName>
    <definedName name="______________TAR105">'[3]Unemp by prev job levels'!$N$244</definedName>
    <definedName name="______________TAR106">'[3]Unemp by prev job levels'!$O$244</definedName>
    <definedName name="______________TAR11">#REF!</definedName>
    <definedName name="______________TAR12">#REF!</definedName>
    <definedName name="______________TAR13">#REF!</definedName>
    <definedName name="______________TAR14">#REF!</definedName>
    <definedName name="______________TAR15">'[3]Unemp by prev job levels'!$B$88</definedName>
    <definedName name="______________TAR17">'[3]Unemp by prev job levels'!$C$88</definedName>
    <definedName name="______________TAR18">'[3]Unemp by prev job levels'!$D$88</definedName>
    <definedName name="______________TAR19">'[3]Unemp by prev job levels'!$E$88</definedName>
    <definedName name="______________TAR20">'[3]Unemp by prev job levels'!$F$88</definedName>
    <definedName name="______________TAR21">'[3]Unemp by prev job levels'!$G$88</definedName>
    <definedName name="______________TAR22">#REF!</definedName>
    <definedName name="______________TAR24">#REF!</definedName>
    <definedName name="______________TAR25">#REF!</definedName>
    <definedName name="______________TAR26">#REF!</definedName>
    <definedName name="______________TAR27">#REF!</definedName>
    <definedName name="______________TAR28">#REF!</definedName>
    <definedName name="______________TAR29">'[3]Unemp by prev job levels'!$B$161</definedName>
    <definedName name="______________TAR3">'[3]Unemp by prev job levels'!$C$15</definedName>
    <definedName name="______________TAR31">'[3]Unemp by prev job levels'!$C$161</definedName>
    <definedName name="______________TAR32">'[3]Unemp by prev job levels'!$D$161</definedName>
    <definedName name="______________TAR33">'[3]Unemp by prev job levels'!$E$161</definedName>
    <definedName name="______________TAR34">'[3]Unemp by prev job levels'!$F$161</definedName>
    <definedName name="______________TAR35">'[3]Unemp by prev job levels'!$G$161</definedName>
    <definedName name="______________TAR36">#REF!</definedName>
    <definedName name="______________TAR38">#REF!</definedName>
    <definedName name="______________TAR39">#REF!</definedName>
    <definedName name="______________TAR4">'[3]Unemp by prev job levels'!$D$15</definedName>
    <definedName name="______________TAR40">#REF!</definedName>
    <definedName name="______________TAR41">#REF!</definedName>
    <definedName name="______________TAR42">#REF!</definedName>
    <definedName name="______________TAR43">'[3]Unemp by prev job levels'!$H$15</definedName>
    <definedName name="______________TAR44">'[3]Unemp by prev job levels'!$I$15</definedName>
    <definedName name="______________TAR45">'[3]Unemp by prev job levels'!$J$15</definedName>
    <definedName name="______________TAR46">'[3]Unemp by prev job levels'!$K$15</definedName>
    <definedName name="______________TAR47">'[3]Unemp by prev job levels'!$L$15</definedName>
    <definedName name="______________TAR48">'[3]Unemp by prev job levels'!$M$15</definedName>
    <definedName name="______________TAR49">'[3]Unemp by prev job levels'!$N$15</definedName>
    <definedName name="______________TAR5">'[3]Unemp by prev job levels'!$E$15</definedName>
    <definedName name="______________TAR50">'[3]Unemp by prev job levels'!$O$15</definedName>
    <definedName name="______________TAR51">#REF!</definedName>
    <definedName name="______________TAR52">#REF!</definedName>
    <definedName name="______________TAR53">#REF!</definedName>
    <definedName name="______________TAR54">#REF!</definedName>
    <definedName name="______________TAR55">#REF!</definedName>
    <definedName name="______________TAR56">#REF!</definedName>
    <definedName name="______________TAR57">#REF!</definedName>
    <definedName name="______________TAR58">#REF!</definedName>
    <definedName name="______________TAR59">'[3]Unemp by prev job levels'!$H$88</definedName>
    <definedName name="______________TAR6">'[3]Unemp by prev job levels'!$F$15</definedName>
    <definedName name="______________TAR60">'[3]Unemp by prev job levels'!$I$88</definedName>
    <definedName name="______________TAR61">'[3]Unemp by prev job levels'!$J$88</definedName>
    <definedName name="______________TAR62">'[3]Unemp by prev job levels'!$K$88</definedName>
    <definedName name="______________TAR63">'[3]Unemp by prev job levels'!$L$88</definedName>
    <definedName name="______________TAR64">'[3]Unemp by prev job levels'!$M$88</definedName>
    <definedName name="______________TAR65">'[3]Unemp by prev job levels'!$N$88</definedName>
    <definedName name="______________TAR66">'[3]Unemp by prev job levels'!$O$88</definedName>
    <definedName name="______________TAR67">#REF!</definedName>
    <definedName name="______________TAR68">#REF!</definedName>
    <definedName name="______________TAR69">#REF!</definedName>
    <definedName name="______________TAR7">'[3]Unemp by prev job levels'!$G$15</definedName>
    <definedName name="______________TAR70">#REF!</definedName>
    <definedName name="______________TAR71">#REF!</definedName>
    <definedName name="______________TAR72">#REF!</definedName>
    <definedName name="______________TAR73">#REF!</definedName>
    <definedName name="______________TAR74">#REF!</definedName>
    <definedName name="______________TAR75">'[3]Unemp by prev job levels'!$H$161</definedName>
    <definedName name="______________TAR76">'[3]Unemp by prev job levels'!$I$161</definedName>
    <definedName name="______________TAR77">'[3]Unemp by prev job levels'!$J$161</definedName>
    <definedName name="______________TAR78">'[3]Unemp by prev job levels'!$K$161</definedName>
    <definedName name="______________TAR79">'[3]Unemp by prev job levels'!$L$161</definedName>
    <definedName name="______________TAR8">#REF!</definedName>
    <definedName name="______________TAR80">'[3]Unemp by prev job levels'!$M$161</definedName>
    <definedName name="______________TAR81">'[3]Unemp by prev job levels'!$N$161</definedName>
    <definedName name="______________TAR82">'[3]Unemp by prev job levels'!$O$161</definedName>
    <definedName name="______________TAR83">#REF!</definedName>
    <definedName name="______________TAR84">#REF!</definedName>
    <definedName name="______________TAR85">#REF!</definedName>
    <definedName name="______________TAR86">#REF!</definedName>
    <definedName name="______________TAR87">#REF!</definedName>
    <definedName name="______________TAR88">#REF!</definedName>
    <definedName name="______________TAR89">#REF!</definedName>
    <definedName name="______________TAR90">#REF!</definedName>
    <definedName name="______________TAR92">'[3]Unemp by prev job levels'!$B$244</definedName>
    <definedName name="______________TAR94">'[3]Unemp by prev job levels'!$C$244</definedName>
    <definedName name="______________TAR95">'[3]Unemp by prev job levels'!$D$244</definedName>
    <definedName name="______________TAR96">'[3]Unemp by prev job levels'!$E$244</definedName>
    <definedName name="______________TAR97">'[3]Unemp by prev job levels'!$F$244</definedName>
    <definedName name="______________TAR98">'[3]Unemp by prev job levels'!$G$244</definedName>
    <definedName name="______________TAR99">'[3]Unemp by prev job levels'!$H$244</definedName>
    <definedName name="_____________PC1">[2]PC1!$M$103:$IV$16410</definedName>
    <definedName name="_____________TAR1">'[3]Unemp by prev job levels'!$B$15</definedName>
    <definedName name="_____________TAR10">#REF!</definedName>
    <definedName name="_____________TAR100">'[3]Unemp by prev job levels'!$I$244</definedName>
    <definedName name="_____________TAR101">'[3]Unemp by prev job levels'!$J$244</definedName>
    <definedName name="_____________TAR102">'[3]Unemp by prev job levels'!$K$244</definedName>
    <definedName name="_____________TAR103">'[3]Unemp by prev job levels'!$L$244</definedName>
    <definedName name="_____________TAR104">'[3]Unemp by prev job levels'!$M$244</definedName>
    <definedName name="_____________TAR105">'[3]Unemp by prev job levels'!$N$244</definedName>
    <definedName name="_____________TAR106">'[3]Unemp by prev job levels'!$O$244</definedName>
    <definedName name="_____________TAR11">#REF!</definedName>
    <definedName name="_____________TAR12">#REF!</definedName>
    <definedName name="_____________TAR13">#REF!</definedName>
    <definedName name="_____________TAR14">#REF!</definedName>
    <definedName name="_____________TAR15">'[3]Unemp by prev job levels'!$B$88</definedName>
    <definedName name="_____________TAR17">'[3]Unemp by prev job levels'!$C$88</definedName>
    <definedName name="_____________TAR18">'[3]Unemp by prev job levels'!$D$88</definedName>
    <definedName name="_____________TAR19">'[3]Unemp by prev job levels'!$E$88</definedName>
    <definedName name="_____________TAR20">'[3]Unemp by prev job levels'!$F$88</definedName>
    <definedName name="_____________TAR21">'[3]Unemp by prev job levels'!$G$88</definedName>
    <definedName name="_____________TAR22">#REF!</definedName>
    <definedName name="_____________TAR24">#REF!</definedName>
    <definedName name="_____________TAR25">#REF!</definedName>
    <definedName name="_____________TAR26">#REF!</definedName>
    <definedName name="_____________TAR27">#REF!</definedName>
    <definedName name="_____________TAR28">#REF!</definedName>
    <definedName name="_____________TAR29">'[3]Unemp by prev job levels'!$B$161</definedName>
    <definedName name="_____________TAR3">'[3]Unemp by prev job levels'!$C$15</definedName>
    <definedName name="_____________TAR31">'[3]Unemp by prev job levels'!$C$161</definedName>
    <definedName name="_____________TAR32">'[3]Unemp by prev job levels'!$D$161</definedName>
    <definedName name="_____________TAR33">'[3]Unemp by prev job levels'!$E$161</definedName>
    <definedName name="_____________TAR34">'[3]Unemp by prev job levels'!$F$161</definedName>
    <definedName name="_____________TAR35">'[3]Unemp by prev job levels'!$G$161</definedName>
    <definedName name="_____________TAR36">#REF!</definedName>
    <definedName name="_____________TAR38">#REF!</definedName>
    <definedName name="_____________TAR39">#REF!</definedName>
    <definedName name="_____________TAR4">'[3]Unemp by prev job levels'!$D$15</definedName>
    <definedName name="_____________TAR40">#REF!</definedName>
    <definedName name="_____________TAR41">#REF!</definedName>
    <definedName name="_____________TAR42">#REF!</definedName>
    <definedName name="_____________TAR43">'[3]Unemp by prev job levels'!$H$15</definedName>
    <definedName name="_____________TAR44">'[3]Unemp by prev job levels'!$I$15</definedName>
    <definedName name="_____________TAR45">'[3]Unemp by prev job levels'!$J$15</definedName>
    <definedName name="_____________TAR46">'[3]Unemp by prev job levels'!$K$15</definedName>
    <definedName name="_____________TAR47">'[3]Unemp by prev job levels'!$L$15</definedName>
    <definedName name="_____________TAR48">'[3]Unemp by prev job levels'!$M$15</definedName>
    <definedName name="_____________TAR49">'[3]Unemp by prev job levels'!$N$15</definedName>
    <definedName name="_____________TAR5">'[3]Unemp by prev job levels'!$E$15</definedName>
    <definedName name="_____________TAR50">'[3]Unemp by prev job levels'!$O$15</definedName>
    <definedName name="_____________TAR51">#REF!</definedName>
    <definedName name="_____________TAR52">#REF!</definedName>
    <definedName name="_____________TAR53">#REF!</definedName>
    <definedName name="_____________TAR54">#REF!</definedName>
    <definedName name="_____________TAR55">#REF!</definedName>
    <definedName name="_____________TAR56">#REF!</definedName>
    <definedName name="_____________TAR57">#REF!</definedName>
    <definedName name="_____________TAR58">#REF!</definedName>
    <definedName name="_____________TAR59">'[3]Unemp by prev job levels'!$H$88</definedName>
    <definedName name="_____________TAR6">'[3]Unemp by prev job levels'!$F$15</definedName>
    <definedName name="_____________TAR60">'[3]Unemp by prev job levels'!$I$88</definedName>
    <definedName name="_____________TAR61">'[3]Unemp by prev job levels'!$J$88</definedName>
    <definedName name="_____________TAR62">'[3]Unemp by prev job levels'!$K$88</definedName>
    <definedName name="_____________TAR63">'[3]Unemp by prev job levels'!$L$88</definedName>
    <definedName name="_____________TAR64">'[3]Unemp by prev job levels'!$M$88</definedName>
    <definedName name="_____________TAR65">'[3]Unemp by prev job levels'!$N$88</definedName>
    <definedName name="_____________TAR66">'[3]Unemp by prev job levels'!$O$88</definedName>
    <definedName name="_____________TAR67">#REF!</definedName>
    <definedName name="_____________TAR68">#REF!</definedName>
    <definedName name="_____________TAR69">#REF!</definedName>
    <definedName name="_____________TAR7">'[3]Unemp by prev job levels'!$G$15</definedName>
    <definedName name="_____________TAR70">#REF!</definedName>
    <definedName name="_____________TAR71">#REF!</definedName>
    <definedName name="_____________TAR72">#REF!</definedName>
    <definedName name="_____________TAR73">#REF!</definedName>
    <definedName name="_____________TAR74">#REF!</definedName>
    <definedName name="_____________TAR75">'[3]Unemp by prev job levels'!$H$161</definedName>
    <definedName name="_____________TAR76">'[3]Unemp by prev job levels'!$I$161</definedName>
    <definedName name="_____________TAR77">'[3]Unemp by prev job levels'!$J$161</definedName>
    <definedName name="_____________TAR78">'[3]Unemp by prev job levels'!$K$161</definedName>
    <definedName name="_____________TAR79">'[3]Unemp by prev job levels'!$L$161</definedName>
    <definedName name="_____________TAR8">#REF!</definedName>
    <definedName name="_____________TAR80">'[3]Unemp by prev job levels'!$M$161</definedName>
    <definedName name="_____________TAR81">'[3]Unemp by prev job levels'!$N$161</definedName>
    <definedName name="_____________TAR82">'[3]Unemp by prev job levels'!$O$161</definedName>
    <definedName name="_____________TAR83">#REF!</definedName>
    <definedName name="_____________TAR84">#REF!</definedName>
    <definedName name="_____________TAR85">#REF!</definedName>
    <definedName name="_____________TAR86">#REF!</definedName>
    <definedName name="_____________TAR87">#REF!</definedName>
    <definedName name="_____________TAR88">#REF!</definedName>
    <definedName name="_____________TAR89">#REF!</definedName>
    <definedName name="_____________TAR90">#REF!</definedName>
    <definedName name="_____________TAR92">'[3]Unemp by prev job levels'!$B$244</definedName>
    <definedName name="_____________TAR94">'[3]Unemp by prev job levels'!$C$244</definedName>
    <definedName name="_____________TAR95">'[3]Unemp by prev job levels'!$D$244</definedName>
    <definedName name="_____________TAR96">'[3]Unemp by prev job levels'!$E$244</definedName>
    <definedName name="_____________TAR97">'[3]Unemp by prev job levels'!$F$244</definedName>
    <definedName name="_____________TAR98">'[3]Unemp by prev job levels'!$G$244</definedName>
    <definedName name="_____________TAR99">'[3]Unemp by prev job levels'!$H$244</definedName>
    <definedName name="____________PC1">[2]PC1!$M$103:$IV$16410</definedName>
    <definedName name="____________TAR1">'[3]Unemp by prev job levels'!$B$15</definedName>
    <definedName name="____________TAR10">#REF!</definedName>
    <definedName name="____________TAR100">'[3]Unemp by prev job levels'!$I$244</definedName>
    <definedName name="____________TAR101">'[3]Unemp by prev job levels'!$J$244</definedName>
    <definedName name="____________TAR102">'[3]Unemp by prev job levels'!$K$244</definedName>
    <definedName name="____________TAR103">'[3]Unemp by prev job levels'!$L$244</definedName>
    <definedName name="____________TAR104">'[3]Unemp by prev job levels'!$M$244</definedName>
    <definedName name="____________TAR105">'[3]Unemp by prev job levels'!$N$244</definedName>
    <definedName name="____________TAR106">'[3]Unemp by prev job levels'!$O$244</definedName>
    <definedName name="____________TAR11">#REF!</definedName>
    <definedName name="____________TAR12">#REF!</definedName>
    <definedName name="____________TAR13">#REF!</definedName>
    <definedName name="____________TAR14">#REF!</definedName>
    <definedName name="____________TAR15">'[3]Unemp by prev job levels'!$B$88</definedName>
    <definedName name="____________TAR17">'[3]Unemp by prev job levels'!$C$88</definedName>
    <definedName name="____________TAR18">'[3]Unemp by prev job levels'!$D$88</definedName>
    <definedName name="____________TAR19">'[3]Unemp by prev job levels'!$E$88</definedName>
    <definedName name="____________TAR20">'[3]Unemp by prev job levels'!$F$88</definedName>
    <definedName name="____________TAR21">'[3]Unemp by prev job levels'!$G$88</definedName>
    <definedName name="____________TAR22">#REF!</definedName>
    <definedName name="____________TAR24">#REF!</definedName>
    <definedName name="____________TAR25">#REF!</definedName>
    <definedName name="____________TAR26">#REF!</definedName>
    <definedName name="____________TAR27">#REF!</definedName>
    <definedName name="____________TAR28">#REF!</definedName>
    <definedName name="____________TAR29">'[3]Unemp by prev job levels'!$B$161</definedName>
    <definedName name="____________TAR3">'[3]Unemp by prev job levels'!$C$15</definedName>
    <definedName name="____________TAR31">'[3]Unemp by prev job levels'!$C$161</definedName>
    <definedName name="____________TAR32">'[3]Unemp by prev job levels'!$D$161</definedName>
    <definedName name="____________TAR33">'[3]Unemp by prev job levels'!$E$161</definedName>
    <definedName name="____________TAR34">'[3]Unemp by prev job levels'!$F$161</definedName>
    <definedName name="____________TAR35">'[3]Unemp by prev job levels'!$G$161</definedName>
    <definedName name="____________TAR36">#REF!</definedName>
    <definedName name="____________TAR38">#REF!</definedName>
    <definedName name="____________TAR39">#REF!</definedName>
    <definedName name="____________TAR4">'[3]Unemp by prev job levels'!$D$15</definedName>
    <definedName name="____________TAR40">#REF!</definedName>
    <definedName name="____________TAR41">#REF!</definedName>
    <definedName name="____________TAR42">#REF!</definedName>
    <definedName name="____________TAR43">'[3]Unemp by prev job levels'!$H$15</definedName>
    <definedName name="____________TAR44">'[3]Unemp by prev job levels'!$I$15</definedName>
    <definedName name="____________TAR45">'[3]Unemp by prev job levels'!$J$15</definedName>
    <definedName name="____________TAR46">'[3]Unemp by prev job levels'!$K$15</definedName>
    <definedName name="____________TAR47">'[3]Unemp by prev job levels'!$L$15</definedName>
    <definedName name="____________TAR48">'[3]Unemp by prev job levels'!$M$15</definedName>
    <definedName name="____________TAR49">'[3]Unemp by prev job levels'!$N$15</definedName>
    <definedName name="____________TAR5">'[3]Unemp by prev job levels'!$E$15</definedName>
    <definedName name="____________TAR50">'[3]Unemp by prev job levels'!$O$15</definedName>
    <definedName name="____________TAR51">#REF!</definedName>
    <definedName name="____________TAR52">#REF!</definedName>
    <definedName name="____________TAR53">#REF!</definedName>
    <definedName name="____________TAR54">#REF!</definedName>
    <definedName name="____________TAR55">#REF!</definedName>
    <definedName name="____________TAR56">#REF!</definedName>
    <definedName name="____________TAR57">#REF!</definedName>
    <definedName name="____________TAR58">#REF!</definedName>
    <definedName name="____________TAR59">'[3]Unemp by prev job levels'!$H$88</definedName>
    <definedName name="____________TAR6">'[3]Unemp by prev job levels'!$F$15</definedName>
    <definedName name="____________TAR60">'[3]Unemp by prev job levels'!$I$88</definedName>
    <definedName name="____________TAR61">'[3]Unemp by prev job levels'!$J$88</definedName>
    <definedName name="____________TAR62">'[3]Unemp by prev job levels'!$K$88</definedName>
    <definedName name="____________TAR63">'[3]Unemp by prev job levels'!$L$88</definedName>
    <definedName name="____________TAR64">'[3]Unemp by prev job levels'!$M$88</definedName>
    <definedName name="____________TAR65">'[3]Unemp by prev job levels'!$N$88</definedName>
    <definedName name="____________TAR66">'[3]Unemp by prev job levels'!$O$88</definedName>
    <definedName name="____________TAR67">#REF!</definedName>
    <definedName name="____________TAR68">#REF!</definedName>
    <definedName name="____________TAR69">#REF!</definedName>
    <definedName name="____________TAR7">'[3]Unemp by prev job levels'!$G$15</definedName>
    <definedName name="____________TAR70">#REF!</definedName>
    <definedName name="____________TAR71">#REF!</definedName>
    <definedName name="____________TAR72">#REF!</definedName>
    <definedName name="____________TAR73">#REF!</definedName>
    <definedName name="____________TAR74">#REF!</definedName>
    <definedName name="____________TAR75">'[3]Unemp by prev job levels'!$H$161</definedName>
    <definedName name="____________TAR76">'[3]Unemp by prev job levels'!$I$161</definedName>
    <definedName name="____________TAR77">'[3]Unemp by prev job levels'!$J$161</definedName>
    <definedName name="____________TAR78">'[3]Unemp by prev job levels'!$K$161</definedName>
    <definedName name="____________TAR79">'[3]Unemp by prev job levels'!$L$161</definedName>
    <definedName name="____________TAR8">#REF!</definedName>
    <definedName name="____________TAR80">'[3]Unemp by prev job levels'!$M$161</definedName>
    <definedName name="____________TAR81">'[3]Unemp by prev job levels'!$N$161</definedName>
    <definedName name="____________TAR82">'[3]Unemp by prev job levels'!$O$161</definedName>
    <definedName name="____________TAR83">#REF!</definedName>
    <definedName name="____________TAR84">#REF!</definedName>
    <definedName name="____________TAR85">#REF!</definedName>
    <definedName name="____________TAR86">#REF!</definedName>
    <definedName name="____________TAR87">#REF!</definedName>
    <definedName name="____________TAR88">#REF!</definedName>
    <definedName name="____________TAR89">#REF!</definedName>
    <definedName name="____________TAR90">#REF!</definedName>
    <definedName name="____________TAR92">'[3]Unemp by prev job levels'!$B$244</definedName>
    <definedName name="____________TAR94">'[3]Unemp by prev job levels'!$C$244</definedName>
    <definedName name="____________TAR95">'[3]Unemp by prev job levels'!$D$244</definedName>
    <definedName name="____________TAR96">'[3]Unemp by prev job levels'!$E$244</definedName>
    <definedName name="____________TAR97">'[3]Unemp by prev job levels'!$F$244</definedName>
    <definedName name="____________TAR98">'[3]Unemp by prev job levels'!$G$244</definedName>
    <definedName name="____________TAR99">'[3]Unemp by prev job levels'!$H$244</definedName>
    <definedName name="___________PC1">[2]PC1!$M$103:$IV$16410</definedName>
    <definedName name="___________TAR1">'[3]Unemp by prev job levels'!$B$15</definedName>
    <definedName name="___________TAR10">#REF!</definedName>
    <definedName name="___________TAR100">'[3]Unemp by prev job levels'!$I$244</definedName>
    <definedName name="___________TAR101">'[3]Unemp by prev job levels'!$J$244</definedName>
    <definedName name="___________TAR102">'[3]Unemp by prev job levels'!$K$244</definedName>
    <definedName name="___________TAR103">'[3]Unemp by prev job levels'!$L$244</definedName>
    <definedName name="___________TAR104">'[3]Unemp by prev job levels'!$M$244</definedName>
    <definedName name="___________TAR105">'[3]Unemp by prev job levels'!$N$244</definedName>
    <definedName name="___________TAR106">'[3]Unemp by prev job levels'!$O$244</definedName>
    <definedName name="___________TAR11">#REF!</definedName>
    <definedName name="___________TAR12">#REF!</definedName>
    <definedName name="___________TAR13">#REF!</definedName>
    <definedName name="___________TAR14">#REF!</definedName>
    <definedName name="___________TAR15">'[3]Unemp by prev job levels'!$B$88</definedName>
    <definedName name="___________TAR17">'[3]Unemp by prev job levels'!$C$88</definedName>
    <definedName name="___________TAR18">'[3]Unemp by prev job levels'!$D$88</definedName>
    <definedName name="___________TAR19">'[3]Unemp by prev job levels'!$E$88</definedName>
    <definedName name="___________TAR20">'[3]Unemp by prev job levels'!$F$88</definedName>
    <definedName name="___________TAR21">'[3]Unemp by prev job levels'!$G$88</definedName>
    <definedName name="___________TAR22">#REF!</definedName>
    <definedName name="___________TAR24">#REF!</definedName>
    <definedName name="___________TAR25">#REF!</definedName>
    <definedName name="___________TAR26">#REF!</definedName>
    <definedName name="___________TAR27">#REF!</definedName>
    <definedName name="___________TAR28">#REF!</definedName>
    <definedName name="___________TAR29">'[3]Unemp by prev job levels'!$B$161</definedName>
    <definedName name="___________TAR3">'[3]Unemp by prev job levels'!$C$15</definedName>
    <definedName name="___________TAR31">'[3]Unemp by prev job levels'!$C$161</definedName>
    <definedName name="___________TAR32">'[3]Unemp by prev job levels'!$D$161</definedName>
    <definedName name="___________TAR33">'[3]Unemp by prev job levels'!$E$161</definedName>
    <definedName name="___________TAR34">'[3]Unemp by prev job levels'!$F$161</definedName>
    <definedName name="___________TAR35">'[3]Unemp by prev job levels'!$G$161</definedName>
    <definedName name="___________TAR36">#REF!</definedName>
    <definedName name="___________TAR38">#REF!</definedName>
    <definedName name="___________TAR39">#REF!</definedName>
    <definedName name="___________TAR4">'[3]Unemp by prev job levels'!$D$15</definedName>
    <definedName name="___________TAR40">#REF!</definedName>
    <definedName name="___________TAR41">#REF!</definedName>
    <definedName name="___________TAR42">#REF!</definedName>
    <definedName name="___________TAR43">'[3]Unemp by prev job levels'!$H$15</definedName>
    <definedName name="___________TAR44">'[3]Unemp by prev job levels'!$I$15</definedName>
    <definedName name="___________TAR45">'[3]Unemp by prev job levels'!$J$15</definedName>
    <definedName name="___________TAR46">'[3]Unemp by prev job levels'!$K$15</definedName>
    <definedName name="___________TAR47">'[3]Unemp by prev job levels'!$L$15</definedName>
    <definedName name="___________TAR48">'[3]Unemp by prev job levels'!$M$15</definedName>
    <definedName name="___________TAR49">'[3]Unemp by prev job levels'!$N$15</definedName>
    <definedName name="___________TAR5">'[3]Unemp by prev job levels'!$E$15</definedName>
    <definedName name="___________TAR50">'[3]Unemp by prev job levels'!$O$15</definedName>
    <definedName name="___________TAR51">#REF!</definedName>
    <definedName name="___________TAR52">#REF!</definedName>
    <definedName name="___________TAR53">#REF!</definedName>
    <definedName name="___________TAR54">#REF!</definedName>
    <definedName name="___________TAR55">#REF!</definedName>
    <definedName name="___________TAR56">#REF!</definedName>
    <definedName name="___________TAR57">#REF!</definedName>
    <definedName name="___________TAR58">#REF!</definedName>
    <definedName name="___________TAR59">'[3]Unemp by prev job levels'!$H$88</definedName>
    <definedName name="___________TAR6">'[3]Unemp by prev job levels'!$F$15</definedName>
    <definedName name="___________TAR60">'[3]Unemp by prev job levels'!$I$88</definedName>
    <definedName name="___________TAR61">'[3]Unemp by prev job levels'!$J$88</definedName>
    <definedName name="___________TAR62">'[3]Unemp by prev job levels'!$K$88</definedName>
    <definedName name="___________TAR63">'[3]Unemp by prev job levels'!$L$88</definedName>
    <definedName name="___________TAR64">'[3]Unemp by prev job levels'!$M$88</definedName>
    <definedName name="___________TAR65">'[3]Unemp by prev job levels'!$N$88</definedName>
    <definedName name="___________TAR66">'[3]Unemp by prev job levels'!$O$88</definedName>
    <definedName name="___________TAR67">#REF!</definedName>
    <definedName name="___________TAR68">#REF!</definedName>
    <definedName name="___________TAR69">#REF!</definedName>
    <definedName name="___________TAR7">'[3]Unemp by prev job levels'!$G$15</definedName>
    <definedName name="___________TAR70">#REF!</definedName>
    <definedName name="___________TAR71">#REF!</definedName>
    <definedName name="___________TAR72">#REF!</definedName>
    <definedName name="___________TAR73">#REF!</definedName>
    <definedName name="___________TAR74">#REF!</definedName>
    <definedName name="___________TAR75">'[3]Unemp by prev job levels'!$H$161</definedName>
    <definedName name="___________TAR76">'[3]Unemp by prev job levels'!$I$161</definedName>
    <definedName name="___________TAR77">'[3]Unemp by prev job levels'!$J$161</definedName>
    <definedName name="___________TAR78">'[3]Unemp by prev job levels'!$K$161</definedName>
    <definedName name="___________TAR79">'[3]Unemp by prev job levels'!$L$161</definedName>
    <definedName name="___________TAR8">#REF!</definedName>
    <definedName name="___________TAR80">'[3]Unemp by prev job levels'!$M$161</definedName>
    <definedName name="___________TAR81">'[3]Unemp by prev job levels'!$N$161</definedName>
    <definedName name="___________TAR82">'[3]Unemp by prev job levels'!$O$161</definedName>
    <definedName name="___________TAR83">#REF!</definedName>
    <definedName name="___________TAR84">#REF!</definedName>
    <definedName name="___________TAR85">#REF!</definedName>
    <definedName name="___________TAR86">#REF!</definedName>
    <definedName name="___________TAR87">#REF!</definedName>
    <definedName name="___________TAR88">#REF!</definedName>
    <definedName name="___________TAR89">#REF!</definedName>
    <definedName name="___________TAR90">#REF!</definedName>
    <definedName name="___________TAR92">'[3]Unemp by prev job levels'!$B$244</definedName>
    <definedName name="___________TAR94">'[3]Unemp by prev job levels'!$C$244</definedName>
    <definedName name="___________TAR95">'[3]Unemp by prev job levels'!$D$244</definedName>
    <definedName name="___________TAR96">'[3]Unemp by prev job levels'!$E$244</definedName>
    <definedName name="___________TAR97">'[3]Unemp by prev job levels'!$F$244</definedName>
    <definedName name="___________TAR98">'[3]Unemp by prev job levels'!$G$244</definedName>
    <definedName name="___________TAR99">'[3]Unemp by prev job levels'!$H$244</definedName>
    <definedName name="__________PC1">[2]PC1!$M$103:$IV$16410</definedName>
    <definedName name="__________TAR1">'[3]Unemp by prev job levels'!$B$15</definedName>
    <definedName name="__________TAR10">#REF!</definedName>
    <definedName name="__________TAR100">'[3]Unemp by prev job levels'!$I$244</definedName>
    <definedName name="__________TAR101">'[3]Unemp by prev job levels'!$J$244</definedName>
    <definedName name="__________TAR102">'[3]Unemp by prev job levels'!$K$244</definedName>
    <definedName name="__________TAR103">'[3]Unemp by prev job levels'!$L$244</definedName>
    <definedName name="__________TAR104">'[3]Unemp by prev job levels'!$M$244</definedName>
    <definedName name="__________TAR105">'[3]Unemp by prev job levels'!$N$244</definedName>
    <definedName name="__________TAR106">'[3]Unemp by prev job levels'!$O$244</definedName>
    <definedName name="__________TAR11">#REF!</definedName>
    <definedName name="__________TAR12">#REF!</definedName>
    <definedName name="__________TAR13">#REF!</definedName>
    <definedName name="__________TAR14">#REF!</definedName>
    <definedName name="__________TAR15">'[3]Unemp by prev job levels'!$B$88</definedName>
    <definedName name="__________TAR17">'[3]Unemp by prev job levels'!$C$88</definedName>
    <definedName name="__________TAR18">'[3]Unemp by prev job levels'!$D$88</definedName>
    <definedName name="__________TAR19">'[3]Unemp by prev job levels'!$E$88</definedName>
    <definedName name="__________TAR20">'[3]Unemp by prev job levels'!$F$88</definedName>
    <definedName name="__________TAR21">'[3]Unemp by prev job levels'!$G$88</definedName>
    <definedName name="__________TAR22">#REF!</definedName>
    <definedName name="__________TAR24">#REF!</definedName>
    <definedName name="__________TAR25">#REF!</definedName>
    <definedName name="__________TAR26">#REF!</definedName>
    <definedName name="__________TAR27">#REF!</definedName>
    <definedName name="__________TAR28">#REF!</definedName>
    <definedName name="__________TAR29">'[3]Unemp by prev job levels'!$B$161</definedName>
    <definedName name="__________TAR3">'[3]Unemp by prev job levels'!$C$15</definedName>
    <definedName name="__________TAR31">'[3]Unemp by prev job levels'!$C$161</definedName>
    <definedName name="__________TAR32">'[3]Unemp by prev job levels'!$D$161</definedName>
    <definedName name="__________TAR33">'[3]Unemp by prev job levels'!$E$161</definedName>
    <definedName name="__________TAR34">'[3]Unemp by prev job levels'!$F$161</definedName>
    <definedName name="__________TAR35">'[3]Unemp by prev job levels'!$G$161</definedName>
    <definedName name="__________TAR36">#REF!</definedName>
    <definedName name="__________TAR38">#REF!</definedName>
    <definedName name="__________TAR39">#REF!</definedName>
    <definedName name="__________TAR4">'[3]Unemp by prev job levels'!$D$15</definedName>
    <definedName name="__________TAR40">#REF!</definedName>
    <definedName name="__________TAR41">#REF!</definedName>
    <definedName name="__________TAR42">#REF!</definedName>
    <definedName name="__________TAR43">'[3]Unemp by prev job levels'!$H$15</definedName>
    <definedName name="__________TAR44">'[3]Unemp by prev job levels'!$I$15</definedName>
    <definedName name="__________TAR45">'[3]Unemp by prev job levels'!$J$15</definedName>
    <definedName name="__________TAR46">'[3]Unemp by prev job levels'!$K$15</definedName>
    <definedName name="__________TAR47">'[3]Unemp by prev job levels'!$L$15</definedName>
    <definedName name="__________TAR48">'[3]Unemp by prev job levels'!$M$15</definedName>
    <definedName name="__________TAR49">'[3]Unemp by prev job levels'!$N$15</definedName>
    <definedName name="__________TAR5">'[3]Unemp by prev job levels'!$E$15</definedName>
    <definedName name="__________TAR50">'[3]Unemp by prev job levels'!$O$15</definedName>
    <definedName name="__________TAR51">#REF!</definedName>
    <definedName name="__________TAR52">#REF!</definedName>
    <definedName name="__________TAR53">#REF!</definedName>
    <definedName name="__________TAR54">#REF!</definedName>
    <definedName name="__________TAR55">#REF!</definedName>
    <definedName name="__________TAR56">#REF!</definedName>
    <definedName name="__________TAR57">#REF!</definedName>
    <definedName name="__________TAR58">#REF!</definedName>
    <definedName name="__________TAR59">'[3]Unemp by prev job levels'!$H$88</definedName>
    <definedName name="__________TAR6">'[3]Unemp by prev job levels'!$F$15</definedName>
    <definedName name="__________TAR60">'[3]Unemp by prev job levels'!$I$88</definedName>
    <definedName name="__________TAR61">'[3]Unemp by prev job levels'!$J$88</definedName>
    <definedName name="__________TAR62">'[3]Unemp by prev job levels'!$K$88</definedName>
    <definedName name="__________TAR63">'[3]Unemp by prev job levels'!$L$88</definedName>
    <definedName name="__________TAR64">'[3]Unemp by prev job levels'!$M$88</definedName>
    <definedName name="__________TAR65">'[3]Unemp by prev job levels'!$N$88</definedName>
    <definedName name="__________TAR66">'[3]Unemp by prev job levels'!$O$88</definedName>
    <definedName name="__________TAR67">#REF!</definedName>
    <definedName name="__________TAR68">#REF!</definedName>
    <definedName name="__________TAR69">#REF!</definedName>
    <definedName name="__________TAR7">'[3]Unemp by prev job levels'!$G$15</definedName>
    <definedName name="__________TAR70">#REF!</definedName>
    <definedName name="__________TAR71">#REF!</definedName>
    <definedName name="__________TAR72">#REF!</definedName>
    <definedName name="__________TAR73">#REF!</definedName>
    <definedName name="__________TAR74">#REF!</definedName>
    <definedName name="__________TAR75">'[3]Unemp by prev job levels'!$H$161</definedName>
    <definedName name="__________TAR76">'[3]Unemp by prev job levels'!$I$161</definedName>
    <definedName name="__________TAR77">'[3]Unemp by prev job levels'!$J$161</definedName>
    <definedName name="__________TAR78">'[3]Unemp by prev job levels'!$K$161</definedName>
    <definedName name="__________TAR79">'[3]Unemp by prev job levels'!$L$161</definedName>
    <definedName name="__________TAR8">#REF!</definedName>
    <definedName name="__________TAR80">'[3]Unemp by prev job levels'!$M$161</definedName>
    <definedName name="__________TAR81">'[3]Unemp by prev job levels'!$N$161</definedName>
    <definedName name="__________TAR82">'[3]Unemp by prev job levels'!$O$161</definedName>
    <definedName name="__________TAR83">#REF!</definedName>
    <definedName name="__________TAR84">#REF!</definedName>
    <definedName name="__________TAR85">#REF!</definedName>
    <definedName name="__________TAR86">#REF!</definedName>
    <definedName name="__________TAR87">#REF!</definedName>
    <definedName name="__________TAR88">#REF!</definedName>
    <definedName name="__________TAR89">#REF!</definedName>
    <definedName name="__________TAR90">#REF!</definedName>
    <definedName name="__________TAR92">'[3]Unemp by prev job levels'!$B$244</definedName>
    <definedName name="__________TAR94">'[3]Unemp by prev job levels'!$C$244</definedName>
    <definedName name="__________TAR95">'[3]Unemp by prev job levels'!$D$244</definedName>
    <definedName name="__________TAR96">'[3]Unemp by prev job levels'!$E$244</definedName>
    <definedName name="__________TAR97">'[3]Unemp by prev job levels'!$F$244</definedName>
    <definedName name="__________TAR98">'[3]Unemp by prev job levels'!$G$244</definedName>
    <definedName name="__________TAR99">'[3]Unemp by prev job levels'!$H$244</definedName>
    <definedName name="_________PC1">[2]PC1!$M$103:$IV$16410</definedName>
    <definedName name="_________TAR1">'[3]Unemp by prev job levels'!$B$15</definedName>
    <definedName name="_________TAR10">#REF!</definedName>
    <definedName name="_________TAR100">'[3]Unemp by prev job levels'!$I$244</definedName>
    <definedName name="_________TAR101">'[3]Unemp by prev job levels'!$J$244</definedName>
    <definedName name="_________TAR102">'[3]Unemp by prev job levels'!$K$244</definedName>
    <definedName name="_________TAR103">'[3]Unemp by prev job levels'!$L$244</definedName>
    <definedName name="_________TAR104">'[3]Unemp by prev job levels'!$M$244</definedName>
    <definedName name="_________TAR105">'[3]Unemp by prev job levels'!$N$244</definedName>
    <definedName name="_________TAR106">'[3]Unemp by prev job levels'!$O$244</definedName>
    <definedName name="_________TAR11">#REF!</definedName>
    <definedName name="_________TAR12">#REF!</definedName>
    <definedName name="_________TAR13">#REF!</definedName>
    <definedName name="_________TAR14">#REF!</definedName>
    <definedName name="_________TAR15">'[3]Unemp by prev job levels'!$B$88</definedName>
    <definedName name="_________TAR17">'[3]Unemp by prev job levels'!$C$88</definedName>
    <definedName name="_________TAR18">'[3]Unemp by prev job levels'!$D$88</definedName>
    <definedName name="_________TAR19">'[3]Unemp by prev job levels'!$E$88</definedName>
    <definedName name="_________TAR20">'[3]Unemp by prev job levels'!$F$88</definedName>
    <definedName name="_________TAR21">'[3]Unemp by prev job levels'!$G$88</definedName>
    <definedName name="_________TAR22">#REF!</definedName>
    <definedName name="_________TAR24">#REF!</definedName>
    <definedName name="_________TAR25">#REF!</definedName>
    <definedName name="_________TAR26">#REF!</definedName>
    <definedName name="_________TAR27">#REF!</definedName>
    <definedName name="_________TAR28">#REF!</definedName>
    <definedName name="_________TAR29">'[3]Unemp by prev job levels'!$B$161</definedName>
    <definedName name="_________TAR3">'[3]Unemp by prev job levels'!$C$15</definedName>
    <definedName name="_________TAR31">'[3]Unemp by prev job levels'!$C$161</definedName>
    <definedName name="_________TAR32">'[3]Unemp by prev job levels'!$D$161</definedName>
    <definedName name="_________TAR33">'[3]Unemp by prev job levels'!$E$161</definedName>
    <definedName name="_________TAR34">'[3]Unemp by prev job levels'!$F$161</definedName>
    <definedName name="_________TAR35">'[3]Unemp by prev job levels'!$G$161</definedName>
    <definedName name="_________TAR36">#REF!</definedName>
    <definedName name="_________TAR38">#REF!</definedName>
    <definedName name="_________TAR39">#REF!</definedName>
    <definedName name="_________TAR4">'[3]Unemp by prev job levels'!$D$15</definedName>
    <definedName name="_________TAR40">#REF!</definedName>
    <definedName name="_________TAR41">#REF!</definedName>
    <definedName name="_________TAR42">#REF!</definedName>
    <definedName name="_________TAR43">'[3]Unemp by prev job levels'!$H$15</definedName>
    <definedName name="_________TAR44">'[3]Unemp by prev job levels'!$I$15</definedName>
    <definedName name="_________TAR45">'[3]Unemp by prev job levels'!$J$15</definedName>
    <definedName name="_________TAR46">'[3]Unemp by prev job levels'!$K$15</definedName>
    <definedName name="_________TAR47">'[3]Unemp by prev job levels'!$L$15</definedName>
    <definedName name="_________TAR48">'[3]Unemp by prev job levels'!$M$15</definedName>
    <definedName name="_________TAR49">'[3]Unemp by prev job levels'!$N$15</definedName>
    <definedName name="_________TAR5">'[3]Unemp by prev job levels'!$E$15</definedName>
    <definedName name="_________TAR50">'[3]Unemp by prev job levels'!$O$15</definedName>
    <definedName name="_________TAR51">#REF!</definedName>
    <definedName name="_________TAR52">#REF!</definedName>
    <definedName name="_________TAR53">#REF!</definedName>
    <definedName name="_________TAR54">#REF!</definedName>
    <definedName name="_________TAR55">#REF!</definedName>
    <definedName name="_________TAR56">#REF!</definedName>
    <definedName name="_________TAR57">#REF!</definedName>
    <definedName name="_________TAR58">#REF!</definedName>
    <definedName name="_________TAR59">'[3]Unemp by prev job levels'!$H$88</definedName>
    <definedName name="_________TAR6">'[3]Unemp by prev job levels'!$F$15</definedName>
    <definedName name="_________TAR60">'[3]Unemp by prev job levels'!$I$88</definedName>
    <definedName name="_________TAR61">'[3]Unemp by prev job levels'!$J$88</definedName>
    <definedName name="_________TAR62">'[3]Unemp by prev job levels'!$K$88</definedName>
    <definedName name="_________TAR63">'[3]Unemp by prev job levels'!$L$88</definedName>
    <definedName name="_________TAR64">'[3]Unemp by prev job levels'!$M$88</definedName>
    <definedName name="_________TAR65">'[3]Unemp by prev job levels'!$N$88</definedName>
    <definedName name="_________TAR66">'[3]Unemp by prev job levels'!$O$88</definedName>
    <definedName name="_________TAR67">#REF!</definedName>
    <definedName name="_________TAR68">#REF!</definedName>
    <definedName name="_________TAR69">#REF!</definedName>
    <definedName name="_________TAR7">'[3]Unemp by prev job levels'!$G$15</definedName>
    <definedName name="_________TAR70">#REF!</definedName>
    <definedName name="_________TAR71">#REF!</definedName>
    <definedName name="_________TAR72">#REF!</definedName>
    <definedName name="_________TAR73">#REF!</definedName>
    <definedName name="_________TAR74">#REF!</definedName>
    <definedName name="_________TAR75">'[3]Unemp by prev job levels'!$H$161</definedName>
    <definedName name="_________TAR76">'[3]Unemp by prev job levels'!$I$161</definedName>
    <definedName name="_________TAR77">'[3]Unemp by prev job levels'!$J$161</definedName>
    <definedName name="_________TAR78">'[3]Unemp by prev job levels'!$K$161</definedName>
    <definedName name="_________TAR79">'[3]Unemp by prev job levels'!$L$161</definedName>
    <definedName name="_________TAR8">#REF!</definedName>
    <definedName name="_________TAR80">'[3]Unemp by prev job levels'!$M$161</definedName>
    <definedName name="_________TAR81">'[3]Unemp by prev job levels'!$N$161</definedName>
    <definedName name="_________TAR82">'[3]Unemp by prev job levels'!$O$161</definedName>
    <definedName name="_________TAR83">#REF!</definedName>
    <definedName name="_________TAR84">#REF!</definedName>
    <definedName name="_________TAR85">#REF!</definedName>
    <definedName name="_________TAR86">#REF!</definedName>
    <definedName name="_________TAR87">#REF!</definedName>
    <definedName name="_________TAR88">#REF!</definedName>
    <definedName name="_________TAR89">#REF!</definedName>
    <definedName name="_________TAR90">#REF!</definedName>
    <definedName name="_________TAR92">'[3]Unemp by prev job levels'!$B$244</definedName>
    <definedName name="_________TAR94">'[3]Unemp by prev job levels'!$C$244</definedName>
    <definedName name="_________TAR95">'[3]Unemp by prev job levels'!$D$244</definedName>
    <definedName name="_________TAR96">'[3]Unemp by prev job levels'!$E$244</definedName>
    <definedName name="_________TAR97">'[3]Unemp by prev job levels'!$F$244</definedName>
    <definedName name="_________TAR98">'[3]Unemp by prev job levels'!$G$244</definedName>
    <definedName name="_________TAR99">'[3]Unemp by prev job levels'!$H$244</definedName>
    <definedName name="________PC1">[2]PC1!$M$103:$IV$16410</definedName>
    <definedName name="________TAR1">'[3]Unemp by prev job levels'!$B$15</definedName>
    <definedName name="________TAR10">#REF!</definedName>
    <definedName name="________TAR100">'[3]Unemp by prev job levels'!$I$244</definedName>
    <definedName name="________TAR101">'[3]Unemp by prev job levels'!$J$244</definedName>
    <definedName name="________TAR102">'[3]Unemp by prev job levels'!$K$244</definedName>
    <definedName name="________TAR103">'[3]Unemp by prev job levels'!$L$244</definedName>
    <definedName name="________TAR104">'[3]Unemp by prev job levels'!$M$244</definedName>
    <definedName name="________TAR105">'[3]Unemp by prev job levels'!$N$244</definedName>
    <definedName name="________TAR106">'[3]Unemp by prev job levels'!$O$244</definedName>
    <definedName name="________TAR11">#REF!</definedName>
    <definedName name="________TAR12">#REF!</definedName>
    <definedName name="________TAR13">#REF!</definedName>
    <definedName name="________TAR14">#REF!</definedName>
    <definedName name="________TAR15">'[3]Unemp by prev job levels'!$B$88</definedName>
    <definedName name="________TAR17">'[3]Unemp by prev job levels'!$C$88</definedName>
    <definedName name="________TAR18">'[3]Unemp by prev job levels'!$D$88</definedName>
    <definedName name="________TAR19">'[3]Unemp by prev job levels'!$E$88</definedName>
    <definedName name="________TAR20">'[3]Unemp by prev job levels'!$F$88</definedName>
    <definedName name="________TAR21">'[3]Unemp by prev job levels'!$G$88</definedName>
    <definedName name="________TAR22">#REF!</definedName>
    <definedName name="________TAR24">#REF!</definedName>
    <definedName name="________TAR25">#REF!</definedName>
    <definedName name="________TAR26">#REF!</definedName>
    <definedName name="________TAR27">#REF!</definedName>
    <definedName name="________TAR28">#REF!</definedName>
    <definedName name="________TAR29">'[3]Unemp by prev job levels'!$B$161</definedName>
    <definedName name="________TAR3">'[3]Unemp by prev job levels'!$C$15</definedName>
    <definedName name="________TAR31">'[3]Unemp by prev job levels'!$C$161</definedName>
    <definedName name="________TAR32">'[3]Unemp by prev job levels'!$D$161</definedName>
    <definedName name="________TAR33">'[3]Unemp by prev job levels'!$E$161</definedName>
    <definedName name="________TAR34">'[3]Unemp by prev job levels'!$F$161</definedName>
    <definedName name="________TAR35">'[3]Unemp by prev job levels'!$G$161</definedName>
    <definedName name="________TAR36">#REF!</definedName>
    <definedName name="________TAR38">#REF!</definedName>
    <definedName name="________TAR39">#REF!</definedName>
    <definedName name="________TAR4">'[3]Unemp by prev job levels'!$D$15</definedName>
    <definedName name="________TAR40">#REF!</definedName>
    <definedName name="________TAR41">#REF!</definedName>
    <definedName name="________TAR42">#REF!</definedName>
    <definedName name="________TAR43">'[3]Unemp by prev job levels'!$H$15</definedName>
    <definedName name="________TAR44">'[3]Unemp by prev job levels'!$I$15</definedName>
    <definedName name="________TAR45">'[3]Unemp by prev job levels'!$J$15</definedName>
    <definedName name="________TAR46">'[3]Unemp by prev job levels'!$K$15</definedName>
    <definedName name="________TAR47">'[3]Unemp by prev job levels'!$L$15</definedName>
    <definedName name="________TAR48">'[3]Unemp by prev job levels'!$M$15</definedName>
    <definedName name="________TAR49">'[3]Unemp by prev job levels'!$N$15</definedName>
    <definedName name="________TAR5">'[3]Unemp by prev job levels'!$E$15</definedName>
    <definedName name="________TAR50">'[3]Unemp by prev job levels'!$O$15</definedName>
    <definedName name="________TAR51">#REF!</definedName>
    <definedName name="________TAR52">#REF!</definedName>
    <definedName name="________TAR53">#REF!</definedName>
    <definedName name="________TAR54">#REF!</definedName>
    <definedName name="________TAR55">#REF!</definedName>
    <definedName name="________TAR56">#REF!</definedName>
    <definedName name="________TAR57">#REF!</definedName>
    <definedName name="________TAR58">#REF!</definedName>
    <definedName name="________TAR59">'[3]Unemp by prev job levels'!$H$88</definedName>
    <definedName name="________TAR6">'[3]Unemp by prev job levels'!$F$15</definedName>
    <definedName name="________TAR60">'[3]Unemp by prev job levels'!$I$88</definedName>
    <definedName name="________TAR61">'[3]Unemp by prev job levels'!$J$88</definedName>
    <definedName name="________TAR62">'[3]Unemp by prev job levels'!$K$88</definedName>
    <definedName name="________TAR63">'[3]Unemp by prev job levels'!$L$88</definedName>
    <definedName name="________TAR64">'[3]Unemp by prev job levels'!$M$88</definedName>
    <definedName name="________TAR65">'[3]Unemp by prev job levels'!$N$88</definedName>
    <definedName name="________TAR66">'[3]Unemp by prev job levels'!$O$88</definedName>
    <definedName name="________TAR67">#REF!</definedName>
    <definedName name="________TAR68">#REF!</definedName>
    <definedName name="________TAR69">#REF!</definedName>
    <definedName name="________TAR7">'[3]Unemp by prev job levels'!$G$15</definedName>
    <definedName name="________TAR70">#REF!</definedName>
    <definedName name="________TAR71">#REF!</definedName>
    <definedName name="________TAR72">#REF!</definedName>
    <definedName name="________TAR73">#REF!</definedName>
    <definedName name="________TAR74">#REF!</definedName>
    <definedName name="________TAR75">'[3]Unemp by prev job levels'!$H$161</definedName>
    <definedName name="________TAR76">'[3]Unemp by prev job levels'!$I$161</definedName>
    <definedName name="________TAR77">'[3]Unemp by prev job levels'!$J$161</definedName>
    <definedName name="________TAR78">'[3]Unemp by prev job levels'!$K$161</definedName>
    <definedName name="________TAR79">'[3]Unemp by prev job levels'!$L$161</definedName>
    <definedName name="________TAR8">#REF!</definedName>
    <definedName name="________TAR80">'[3]Unemp by prev job levels'!$M$161</definedName>
    <definedName name="________TAR81">'[3]Unemp by prev job levels'!$N$161</definedName>
    <definedName name="________TAR82">'[3]Unemp by prev job levels'!$O$161</definedName>
    <definedName name="________TAR83">#REF!</definedName>
    <definedName name="________TAR84">#REF!</definedName>
    <definedName name="________TAR85">#REF!</definedName>
    <definedName name="________TAR86">#REF!</definedName>
    <definedName name="________TAR87">#REF!</definedName>
    <definedName name="________TAR88">#REF!</definedName>
    <definedName name="________TAR89">#REF!</definedName>
    <definedName name="________TAR90">#REF!</definedName>
    <definedName name="________TAR92">'[3]Unemp by prev job levels'!$B$244</definedName>
    <definedName name="________TAR94">'[3]Unemp by prev job levels'!$C$244</definedName>
    <definedName name="________TAR95">'[3]Unemp by prev job levels'!$D$244</definedName>
    <definedName name="________TAR96">'[3]Unemp by prev job levels'!$E$244</definedName>
    <definedName name="________TAR97">'[3]Unemp by prev job levels'!$F$244</definedName>
    <definedName name="________TAR98">'[3]Unemp by prev job levels'!$G$244</definedName>
    <definedName name="________TAR99">'[3]Unemp by prev job levels'!$H$244</definedName>
    <definedName name="_______PC1">[2]PC1!$M$103:$IV$16410</definedName>
    <definedName name="_______TAR1">'[3]Unemp by prev job levels'!$B$15</definedName>
    <definedName name="_______TAR10">#REF!</definedName>
    <definedName name="_______TAR100">'[3]Unemp by prev job levels'!$I$244</definedName>
    <definedName name="_______TAR101">'[3]Unemp by prev job levels'!$J$244</definedName>
    <definedName name="_______TAR102">'[3]Unemp by prev job levels'!$K$244</definedName>
    <definedName name="_______TAR103">'[3]Unemp by prev job levels'!$L$244</definedName>
    <definedName name="_______TAR104">'[3]Unemp by prev job levels'!$M$244</definedName>
    <definedName name="_______TAR105">'[3]Unemp by prev job levels'!$N$244</definedName>
    <definedName name="_______TAR106">'[3]Unemp by prev job levels'!$O$244</definedName>
    <definedName name="_______TAR11">#REF!</definedName>
    <definedName name="_______TAR12">#REF!</definedName>
    <definedName name="_______TAR13">#REF!</definedName>
    <definedName name="_______TAR14">#REF!</definedName>
    <definedName name="_______TAR15">'[3]Unemp by prev job levels'!$B$88</definedName>
    <definedName name="_______TAR17">'[3]Unemp by prev job levels'!$C$88</definedName>
    <definedName name="_______TAR18">'[3]Unemp by prev job levels'!$D$88</definedName>
    <definedName name="_______TAR19">'[3]Unemp by prev job levels'!$E$88</definedName>
    <definedName name="_______TAR20">'[3]Unemp by prev job levels'!$F$88</definedName>
    <definedName name="_______TAR21">'[3]Unemp by prev job levels'!$G$88</definedName>
    <definedName name="_______TAR22">#REF!</definedName>
    <definedName name="_______TAR24">#REF!</definedName>
    <definedName name="_______TAR25">#REF!</definedName>
    <definedName name="_______TAR26">#REF!</definedName>
    <definedName name="_______TAR27">#REF!</definedName>
    <definedName name="_______TAR28">#REF!</definedName>
    <definedName name="_______TAR29">'[3]Unemp by prev job levels'!$B$161</definedName>
    <definedName name="_______TAR3">'[3]Unemp by prev job levels'!$C$15</definedName>
    <definedName name="_______TAR31">'[3]Unemp by prev job levels'!$C$161</definedName>
    <definedName name="_______TAR32">'[3]Unemp by prev job levels'!$D$161</definedName>
    <definedName name="_______TAR33">'[3]Unemp by prev job levels'!$E$161</definedName>
    <definedName name="_______TAR34">'[3]Unemp by prev job levels'!$F$161</definedName>
    <definedName name="_______TAR35">'[3]Unemp by prev job levels'!$G$161</definedName>
    <definedName name="_______TAR36">#REF!</definedName>
    <definedName name="_______TAR38">#REF!</definedName>
    <definedName name="_______TAR39">#REF!</definedName>
    <definedName name="_______TAR4">'[3]Unemp by prev job levels'!$D$15</definedName>
    <definedName name="_______TAR40">#REF!</definedName>
    <definedName name="_______TAR41">#REF!</definedName>
    <definedName name="_______TAR42">#REF!</definedName>
    <definedName name="_______TAR43">'[3]Unemp by prev job levels'!$H$15</definedName>
    <definedName name="_______TAR44">'[3]Unemp by prev job levels'!$I$15</definedName>
    <definedName name="_______TAR45">'[3]Unemp by prev job levels'!$J$15</definedName>
    <definedName name="_______TAR46">'[3]Unemp by prev job levels'!$K$15</definedName>
    <definedName name="_______TAR47">'[3]Unemp by prev job levels'!$L$15</definedName>
    <definedName name="_______TAR48">'[3]Unemp by prev job levels'!$M$15</definedName>
    <definedName name="_______TAR49">'[3]Unemp by prev job levels'!$N$15</definedName>
    <definedName name="_______TAR5">'[3]Unemp by prev job levels'!$E$15</definedName>
    <definedName name="_______TAR50">'[3]Unemp by prev job levels'!$O$15</definedName>
    <definedName name="_______TAR51">#REF!</definedName>
    <definedName name="_______TAR52">#REF!</definedName>
    <definedName name="_______TAR53">#REF!</definedName>
    <definedName name="_______TAR54">#REF!</definedName>
    <definedName name="_______TAR55">#REF!</definedName>
    <definedName name="_______TAR56">#REF!</definedName>
    <definedName name="_______TAR57">#REF!</definedName>
    <definedName name="_______TAR58">#REF!</definedName>
    <definedName name="_______TAR59">'[3]Unemp by prev job levels'!$H$88</definedName>
    <definedName name="_______TAR6">'[3]Unemp by prev job levels'!$F$15</definedName>
    <definedName name="_______TAR60">'[3]Unemp by prev job levels'!$I$88</definedName>
    <definedName name="_______TAR61">'[3]Unemp by prev job levels'!$J$88</definedName>
    <definedName name="_______TAR62">'[3]Unemp by prev job levels'!$K$88</definedName>
    <definedName name="_______TAR63">'[3]Unemp by prev job levels'!$L$88</definedName>
    <definedName name="_______TAR64">'[3]Unemp by prev job levels'!$M$88</definedName>
    <definedName name="_______TAR65">'[3]Unemp by prev job levels'!$N$88</definedName>
    <definedName name="_______TAR66">'[3]Unemp by prev job levels'!$O$88</definedName>
    <definedName name="_______TAR67">#REF!</definedName>
    <definedName name="_______TAR68">#REF!</definedName>
    <definedName name="_______TAR69">#REF!</definedName>
    <definedName name="_______TAR7">'[3]Unemp by prev job levels'!$G$15</definedName>
    <definedName name="_______TAR70">#REF!</definedName>
    <definedName name="_______TAR71">#REF!</definedName>
    <definedName name="_______TAR72">#REF!</definedName>
    <definedName name="_______TAR73">#REF!</definedName>
    <definedName name="_______TAR74">#REF!</definedName>
    <definedName name="_______TAR75">'[3]Unemp by prev job levels'!$H$161</definedName>
    <definedName name="_______TAR76">'[3]Unemp by prev job levels'!$I$161</definedName>
    <definedName name="_______TAR77">'[3]Unemp by prev job levels'!$J$161</definedName>
    <definedName name="_______TAR78">'[3]Unemp by prev job levels'!$K$161</definedName>
    <definedName name="_______TAR79">'[3]Unemp by prev job levels'!$L$161</definedName>
    <definedName name="_______TAR8">#REF!</definedName>
    <definedName name="_______TAR80">'[3]Unemp by prev job levels'!$M$161</definedName>
    <definedName name="_______TAR81">'[3]Unemp by prev job levels'!$N$161</definedName>
    <definedName name="_______TAR82">'[3]Unemp by prev job levels'!$O$161</definedName>
    <definedName name="_______TAR83">#REF!</definedName>
    <definedName name="_______TAR84">#REF!</definedName>
    <definedName name="_______TAR85">#REF!</definedName>
    <definedName name="_______TAR86">#REF!</definedName>
    <definedName name="_______TAR87">#REF!</definedName>
    <definedName name="_______TAR88">#REF!</definedName>
    <definedName name="_______TAR89">#REF!</definedName>
    <definedName name="_______TAR90">#REF!</definedName>
    <definedName name="_______TAR92">'[3]Unemp by prev job levels'!$B$244</definedName>
    <definedName name="_______TAR94">'[3]Unemp by prev job levels'!$C$244</definedName>
    <definedName name="_______TAR95">'[3]Unemp by prev job levels'!$D$244</definedName>
    <definedName name="_______TAR96">'[3]Unemp by prev job levels'!$E$244</definedName>
    <definedName name="_______TAR97">'[3]Unemp by prev job levels'!$F$244</definedName>
    <definedName name="_______TAR98">'[3]Unemp by prev job levels'!$G$244</definedName>
    <definedName name="_______TAR99">'[3]Unemp by prev job levels'!$H$244</definedName>
    <definedName name="______PC1">[2]PC1!$M$103:$IV$16410</definedName>
    <definedName name="______TAR1">'[3]Unemp by prev job levels'!$B$15</definedName>
    <definedName name="______TAR10">#REF!</definedName>
    <definedName name="______TAR100">'[3]Unemp by prev job levels'!$I$244</definedName>
    <definedName name="______TAR101">'[3]Unemp by prev job levels'!$J$244</definedName>
    <definedName name="______TAR102">'[3]Unemp by prev job levels'!$K$244</definedName>
    <definedName name="______TAR103">'[3]Unemp by prev job levels'!$L$244</definedName>
    <definedName name="______TAR104">'[3]Unemp by prev job levels'!$M$244</definedName>
    <definedName name="______TAR105">'[3]Unemp by prev job levels'!$N$244</definedName>
    <definedName name="______TAR106">'[3]Unemp by prev job levels'!$O$244</definedName>
    <definedName name="______TAR11">#REF!</definedName>
    <definedName name="______TAR12">#REF!</definedName>
    <definedName name="______TAR13">#REF!</definedName>
    <definedName name="______TAR14">#REF!</definedName>
    <definedName name="______TAR15">'[3]Unemp by prev job levels'!$B$88</definedName>
    <definedName name="______TAR17">'[3]Unemp by prev job levels'!$C$88</definedName>
    <definedName name="______TAR18">'[3]Unemp by prev job levels'!$D$88</definedName>
    <definedName name="______TAR19">'[3]Unemp by prev job levels'!$E$88</definedName>
    <definedName name="______TAR20">'[3]Unemp by prev job levels'!$F$88</definedName>
    <definedName name="______TAR21">'[3]Unemp by prev job levels'!$G$88</definedName>
    <definedName name="______TAR22">#REF!</definedName>
    <definedName name="______TAR24">#REF!</definedName>
    <definedName name="______TAR25">#REF!</definedName>
    <definedName name="______TAR26">#REF!</definedName>
    <definedName name="______TAR27">#REF!</definedName>
    <definedName name="______TAR28">#REF!</definedName>
    <definedName name="______TAR29">'[3]Unemp by prev job levels'!$B$161</definedName>
    <definedName name="______TAR3">'[3]Unemp by prev job levels'!$C$15</definedName>
    <definedName name="______TAR31">'[3]Unemp by prev job levels'!$C$161</definedName>
    <definedName name="______TAR32">'[3]Unemp by prev job levels'!$D$161</definedName>
    <definedName name="______TAR33">'[3]Unemp by prev job levels'!$E$161</definedName>
    <definedName name="______TAR34">'[3]Unemp by prev job levels'!$F$161</definedName>
    <definedName name="______TAR35">'[3]Unemp by prev job levels'!$G$161</definedName>
    <definedName name="______TAR36">#REF!</definedName>
    <definedName name="______TAR38">#REF!</definedName>
    <definedName name="______TAR39">#REF!</definedName>
    <definedName name="______TAR4">'[3]Unemp by prev job levels'!$D$15</definedName>
    <definedName name="______TAR40">#REF!</definedName>
    <definedName name="______TAR41">#REF!</definedName>
    <definedName name="______TAR42">#REF!</definedName>
    <definedName name="______TAR43">'[3]Unemp by prev job levels'!$H$15</definedName>
    <definedName name="______TAR44">'[3]Unemp by prev job levels'!$I$15</definedName>
    <definedName name="______TAR45">'[3]Unemp by prev job levels'!$J$15</definedName>
    <definedName name="______TAR46">'[3]Unemp by prev job levels'!$K$15</definedName>
    <definedName name="______TAR47">'[3]Unemp by prev job levels'!$L$15</definedName>
    <definedName name="______TAR48">'[3]Unemp by prev job levels'!$M$15</definedName>
    <definedName name="______TAR49">'[3]Unemp by prev job levels'!$N$15</definedName>
    <definedName name="______TAR5">'[3]Unemp by prev job levels'!$E$15</definedName>
    <definedName name="______TAR50">'[3]Unemp by prev job levels'!$O$15</definedName>
    <definedName name="______TAR51">#REF!</definedName>
    <definedName name="______TAR52">#REF!</definedName>
    <definedName name="______TAR53">#REF!</definedName>
    <definedName name="______TAR54">#REF!</definedName>
    <definedName name="______TAR55">#REF!</definedName>
    <definedName name="______TAR56">#REF!</definedName>
    <definedName name="______TAR57">#REF!</definedName>
    <definedName name="______TAR58">#REF!</definedName>
    <definedName name="______TAR59">'[3]Unemp by prev job levels'!$H$88</definedName>
    <definedName name="______TAR6">'[3]Unemp by prev job levels'!$F$15</definedName>
    <definedName name="______TAR60">'[3]Unemp by prev job levels'!$I$88</definedName>
    <definedName name="______TAR61">'[3]Unemp by prev job levels'!$J$88</definedName>
    <definedName name="______TAR62">'[3]Unemp by prev job levels'!$K$88</definedName>
    <definedName name="______TAR63">'[3]Unemp by prev job levels'!$L$88</definedName>
    <definedName name="______TAR64">'[3]Unemp by prev job levels'!$M$88</definedName>
    <definedName name="______TAR65">'[3]Unemp by prev job levels'!$N$88</definedName>
    <definedName name="______TAR66">'[3]Unemp by prev job levels'!$O$88</definedName>
    <definedName name="______TAR67">#REF!</definedName>
    <definedName name="______TAR68">#REF!</definedName>
    <definedName name="______TAR69">#REF!</definedName>
    <definedName name="______TAR7">'[3]Unemp by prev job levels'!$G$15</definedName>
    <definedName name="______TAR70">#REF!</definedName>
    <definedName name="______TAR71">#REF!</definedName>
    <definedName name="______TAR72">#REF!</definedName>
    <definedName name="______TAR73">#REF!</definedName>
    <definedName name="______TAR74">#REF!</definedName>
    <definedName name="______TAR75">'[3]Unemp by prev job levels'!$H$161</definedName>
    <definedName name="______TAR76">'[3]Unemp by prev job levels'!$I$161</definedName>
    <definedName name="______TAR77">'[3]Unemp by prev job levels'!$J$161</definedName>
    <definedName name="______TAR78">'[3]Unemp by prev job levels'!$K$161</definedName>
    <definedName name="______TAR79">'[3]Unemp by prev job levels'!$L$161</definedName>
    <definedName name="______TAR8">#REF!</definedName>
    <definedName name="______TAR80">'[3]Unemp by prev job levels'!$M$161</definedName>
    <definedName name="______TAR81">'[3]Unemp by prev job levels'!$N$161</definedName>
    <definedName name="______TAR82">'[3]Unemp by prev job levels'!$O$161</definedName>
    <definedName name="______TAR83">#REF!</definedName>
    <definedName name="______TAR84">#REF!</definedName>
    <definedName name="______TAR85">#REF!</definedName>
    <definedName name="______TAR86">#REF!</definedName>
    <definedName name="______TAR87">#REF!</definedName>
    <definedName name="______TAR88">#REF!</definedName>
    <definedName name="______TAR89">#REF!</definedName>
    <definedName name="______TAR90">#REF!</definedName>
    <definedName name="______TAR92">'[3]Unemp by prev job levels'!$B$244</definedName>
    <definedName name="______TAR94">'[3]Unemp by prev job levels'!$C$244</definedName>
    <definedName name="______TAR95">'[3]Unemp by prev job levels'!$D$244</definedName>
    <definedName name="______TAR96">'[3]Unemp by prev job levels'!$E$244</definedName>
    <definedName name="______TAR97">'[3]Unemp by prev job levels'!$F$244</definedName>
    <definedName name="______TAR98">'[3]Unemp by prev job levels'!$G$244</definedName>
    <definedName name="______TAR99">'[3]Unemp by prev job levels'!$H$244</definedName>
    <definedName name="_____PC1">[2]PC1!$M$103:$IV$16410</definedName>
    <definedName name="_____TAR1">'[3]Unemp by prev job levels'!$B$15</definedName>
    <definedName name="_____TAR10">#REF!</definedName>
    <definedName name="_____TAR100">'[3]Unemp by prev job levels'!$I$244</definedName>
    <definedName name="_____TAR101">'[3]Unemp by prev job levels'!$J$244</definedName>
    <definedName name="_____TAR102">'[3]Unemp by prev job levels'!$K$244</definedName>
    <definedName name="_____TAR103">'[3]Unemp by prev job levels'!$L$244</definedName>
    <definedName name="_____TAR104">'[3]Unemp by prev job levels'!$M$244</definedName>
    <definedName name="_____TAR105">'[3]Unemp by prev job levels'!$N$244</definedName>
    <definedName name="_____TAR106">'[3]Unemp by prev job levels'!$O$244</definedName>
    <definedName name="_____TAR11">#REF!</definedName>
    <definedName name="_____TAR12">#REF!</definedName>
    <definedName name="_____TAR13">#REF!</definedName>
    <definedName name="_____TAR14">#REF!</definedName>
    <definedName name="_____TAR15">'[3]Unemp by prev job levels'!$B$88</definedName>
    <definedName name="_____TAR17">'[3]Unemp by prev job levels'!$C$88</definedName>
    <definedName name="_____TAR18">'[3]Unemp by prev job levels'!$D$88</definedName>
    <definedName name="_____TAR19">'[3]Unemp by prev job levels'!$E$88</definedName>
    <definedName name="_____TAR20">'[3]Unemp by prev job levels'!$F$88</definedName>
    <definedName name="_____TAR21">'[3]Unemp by prev job levels'!$G$88</definedName>
    <definedName name="_____TAR22">#REF!</definedName>
    <definedName name="_____TAR24">#REF!</definedName>
    <definedName name="_____TAR25">#REF!</definedName>
    <definedName name="_____TAR26">#REF!</definedName>
    <definedName name="_____TAR27">#REF!</definedName>
    <definedName name="_____TAR28">#REF!</definedName>
    <definedName name="_____TAR29">'[3]Unemp by prev job levels'!$B$161</definedName>
    <definedName name="_____TAR3">'[3]Unemp by prev job levels'!$C$15</definedName>
    <definedName name="_____TAR31">'[3]Unemp by prev job levels'!$C$161</definedName>
    <definedName name="_____TAR32">'[3]Unemp by prev job levels'!$D$161</definedName>
    <definedName name="_____TAR33">'[3]Unemp by prev job levels'!$E$161</definedName>
    <definedName name="_____TAR34">'[3]Unemp by prev job levels'!$F$161</definedName>
    <definedName name="_____TAR35">'[3]Unemp by prev job levels'!$G$161</definedName>
    <definedName name="_____TAR36">#REF!</definedName>
    <definedName name="_____TAR38">#REF!</definedName>
    <definedName name="_____TAR39">#REF!</definedName>
    <definedName name="_____TAR4">'[3]Unemp by prev job levels'!$D$15</definedName>
    <definedName name="_____TAR40">#REF!</definedName>
    <definedName name="_____TAR41">#REF!</definedName>
    <definedName name="_____TAR42">#REF!</definedName>
    <definedName name="_____TAR43">'[3]Unemp by prev job levels'!$H$15</definedName>
    <definedName name="_____TAR44">'[3]Unemp by prev job levels'!$I$15</definedName>
    <definedName name="_____TAR45">'[3]Unemp by prev job levels'!$J$15</definedName>
    <definedName name="_____TAR46">'[3]Unemp by prev job levels'!$K$15</definedName>
    <definedName name="_____TAR47">'[3]Unemp by prev job levels'!$L$15</definedName>
    <definedName name="_____TAR48">'[3]Unemp by prev job levels'!$M$15</definedName>
    <definedName name="_____TAR49">'[3]Unemp by prev job levels'!$N$15</definedName>
    <definedName name="_____TAR5">'[3]Unemp by prev job levels'!$E$15</definedName>
    <definedName name="_____TAR50">'[3]Unemp by prev job levels'!$O$15</definedName>
    <definedName name="_____TAR51">#REF!</definedName>
    <definedName name="_____TAR52">#REF!</definedName>
    <definedName name="_____TAR53">#REF!</definedName>
    <definedName name="_____TAR54">#REF!</definedName>
    <definedName name="_____TAR55">#REF!</definedName>
    <definedName name="_____TAR56">#REF!</definedName>
    <definedName name="_____TAR57">#REF!</definedName>
    <definedName name="_____TAR58">#REF!</definedName>
    <definedName name="_____TAR59">'[3]Unemp by prev job levels'!$H$88</definedName>
    <definedName name="_____TAR6">'[3]Unemp by prev job levels'!$F$15</definedName>
    <definedName name="_____TAR60">'[3]Unemp by prev job levels'!$I$88</definedName>
    <definedName name="_____TAR61">'[3]Unemp by prev job levels'!$J$88</definedName>
    <definedName name="_____TAR62">'[3]Unemp by prev job levels'!$K$88</definedName>
    <definedName name="_____TAR63">'[3]Unemp by prev job levels'!$L$88</definedName>
    <definedName name="_____TAR64">'[3]Unemp by prev job levels'!$M$88</definedName>
    <definedName name="_____TAR65">'[3]Unemp by prev job levels'!$N$88</definedName>
    <definedName name="_____TAR66">'[3]Unemp by prev job levels'!$O$88</definedName>
    <definedName name="_____TAR67">#REF!</definedName>
    <definedName name="_____TAR68">#REF!</definedName>
    <definedName name="_____TAR69">#REF!</definedName>
    <definedName name="_____TAR7">'[3]Unemp by prev job levels'!$G$15</definedName>
    <definedName name="_____TAR70">#REF!</definedName>
    <definedName name="_____TAR71">#REF!</definedName>
    <definedName name="_____TAR72">#REF!</definedName>
    <definedName name="_____TAR73">#REF!</definedName>
    <definedName name="_____TAR74">#REF!</definedName>
    <definedName name="_____TAR75">'[3]Unemp by prev job levels'!$H$161</definedName>
    <definedName name="_____TAR76">'[3]Unemp by prev job levels'!$I$161</definedName>
    <definedName name="_____TAR77">'[3]Unemp by prev job levels'!$J$161</definedName>
    <definedName name="_____TAR78">'[3]Unemp by prev job levels'!$K$161</definedName>
    <definedName name="_____TAR79">'[3]Unemp by prev job levels'!$L$161</definedName>
    <definedName name="_____TAR8">#REF!</definedName>
    <definedName name="_____TAR80">'[3]Unemp by prev job levels'!$M$161</definedName>
    <definedName name="_____TAR81">'[3]Unemp by prev job levels'!$N$161</definedName>
    <definedName name="_____TAR82">'[3]Unemp by prev job levels'!$O$161</definedName>
    <definedName name="_____TAR83">#REF!</definedName>
    <definedName name="_____TAR84">#REF!</definedName>
    <definedName name="_____TAR85">#REF!</definedName>
    <definedName name="_____TAR86">#REF!</definedName>
    <definedName name="_____TAR87">#REF!</definedName>
    <definedName name="_____TAR88">#REF!</definedName>
    <definedName name="_____TAR89">#REF!</definedName>
    <definedName name="_____TAR90">#REF!</definedName>
    <definedName name="_____TAR92">'[3]Unemp by prev job levels'!$B$244</definedName>
    <definedName name="_____TAR94">'[3]Unemp by prev job levels'!$C$244</definedName>
    <definedName name="_____TAR95">'[3]Unemp by prev job levels'!$D$244</definedName>
    <definedName name="_____TAR96">'[3]Unemp by prev job levels'!$E$244</definedName>
    <definedName name="_____TAR97">'[3]Unemp by prev job levels'!$F$244</definedName>
    <definedName name="_____TAR98">'[3]Unemp by prev job levels'!$G$244</definedName>
    <definedName name="_____TAR99">'[3]Unemp by prev job levels'!$H$244</definedName>
    <definedName name="____PC1">[2]PC1!$M$103:$IV$16410</definedName>
    <definedName name="____TAR1">'[3]Unemp by prev job levels'!$B$15</definedName>
    <definedName name="____TAR10">#REF!</definedName>
    <definedName name="____TAR100">'[3]Unemp by prev job levels'!$I$244</definedName>
    <definedName name="____TAR101">'[3]Unemp by prev job levels'!$J$244</definedName>
    <definedName name="____TAR102">'[3]Unemp by prev job levels'!$K$244</definedName>
    <definedName name="____TAR103">'[3]Unemp by prev job levels'!$L$244</definedName>
    <definedName name="____TAR104">'[3]Unemp by prev job levels'!$M$244</definedName>
    <definedName name="____TAR105">'[3]Unemp by prev job levels'!$N$244</definedName>
    <definedName name="____TAR106">'[3]Unemp by prev job levels'!$O$244</definedName>
    <definedName name="____TAR11">#REF!</definedName>
    <definedName name="____TAR12">#REF!</definedName>
    <definedName name="____TAR13">#REF!</definedName>
    <definedName name="____TAR14">#REF!</definedName>
    <definedName name="____TAR15">'[3]Unemp by prev job levels'!$B$88</definedName>
    <definedName name="____TAR17">'[3]Unemp by prev job levels'!$C$88</definedName>
    <definedName name="____TAR18">'[3]Unemp by prev job levels'!$D$88</definedName>
    <definedName name="____TAR19">'[3]Unemp by prev job levels'!$E$88</definedName>
    <definedName name="____TAR20">'[3]Unemp by prev job levels'!$F$88</definedName>
    <definedName name="____TAR21">'[3]Unemp by prev job levels'!$G$88</definedName>
    <definedName name="____TAR22">#REF!</definedName>
    <definedName name="____TAR24">#REF!</definedName>
    <definedName name="____TAR25">#REF!</definedName>
    <definedName name="____TAR26">#REF!</definedName>
    <definedName name="____TAR27">#REF!</definedName>
    <definedName name="____TAR28">#REF!</definedName>
    <definedName name="____TAR29">'[3]Unemp by prev job levels'!$B$161</definedName>
    <definedName name="____TAR3">'[3]Unemp by prev job levels'!$C$15</definedName>
    <definedName name="____TAR31">'[3]Unemp by prev job levels'!$C$161</definedName>
    <definedName name="____TAR32">'[3]Unemp by prev job levels'!$D$161</definedName>
    <definedName name="____TAR33">'[3]Unemp by prev job levels'!$E$161</definedName>
    <definedName name="____TAR34">'[3]Unemp by prev job levels'!$F$161</definedName>
    <definedName name="____TAR35">'[3]Unemp by prev job levels'!$G$161</definedName>
    <definedName name="____TAR36">#REF!</definedName>
    <definedName name="____TAR38">#REF!</definedName>
    <definedName name="____TAR39">#REF!</definedName>
    <definedName name="____TAR4">'[3]Unemp by prev job levels'!$D$15</definedName>
    <definedName name="____TAR40">#REF!</definedName>
    <definedName name="____TAR41">#REF!</definedName>
    <definedName name="____TAR42">#REF!</definedName>
    <definedName name="____TAR43">'[3]Unemp by prev job levels'!$H$15</definedName>
    <definedName name="____TAR44">'[3]Unemp by prev job levels'!$I$15</definedName>
    <definedName name="____TAR45">'[3]Unemp by prev job levels'!$J$15</definedName>
    <definedName name="____TAR46">'[3]Unemp by prev job levels'!$K$15</definedName>
    <definedName name="____TAR47">'[3]Unemp by prev job levels'!$L$15</definedName>
    <definedName name="____TAR48">'[3]Unemp by prev job levels'!$M$15</definedName>
    <definedName name="____TAR49">'[3]Unemp by prev job levels'!$N$15</definedName>
    <definedName name="____TAR5">'[3]Unemp by prev job levels'!$E$15</definedName>
    <definedName name="____TAR50">'[3]Unemp by prev job levels'!$O$15</definedName>
    <definedName name="____TAR51">#REF!</definedName>
    <definedName name="____TAR52">#REF!</definedName>
    <definedName name="____TAR53">#REF!</definedName>
    <definedName name="____TAR54">#REF!</definedName>
    <definedName name="____TAR55">#REF!</definedName>
    <definedName name="____TAR56">#REF!</definedName>
    <definedName name="____TAR57">#REF!</definedName>
    <definedName name="____TAR58">#REF!</definedName>
    <definedName name="____TAR59">'[3]Unemp by prev job levels'!$H$88</definedName>
    <definedName name="____TAR6">'[3]Unemp by prev job levels'!$F$15</definedName>
    <definedName name="____TAR60">'[3]Unemp by prev job levels'!$I$88</definedName>
    <definedName name="____TAR61">'[3]Unemp by prev job levels'!$J$88</definedName>
    <definedName name="____TAR62">'[3]Unemp by prev job levels'!$K$88</definedName>
    <definedName name="____TAR63">'[3]Unemp by prev job levels'!$L$88</definedName>
    <definedName name="____TAR64">'[3]Unemp by prev job levels'!$M$88</definedName>
    <definedName name="____TAR65">'[3]Unemp by prev job levels'!$N$88</definedName>
    <definedName name="____TAR66">'[3]Unemp by prev job levels'!$O$88</definedName>
    <definedName name="____TAR67">#REF!</definedName>
    <definedName name="____TAR68">#REF!</definedName>
    <definedName name="____TAR69">#REF!</definedName>
    <definedName name="____TAR7">'[3]Unemp by prev job levels'!$G$15</definedName>
    <definedName name="____TAR70">#REF!</definedName>
    <definedName name="____TAR71">#REF!</definedName>
    <definedName name="____TAR72">#REF!</definedName>
    <definedName name="____TAR73">#REF!</definedName>
    <definedName name="____TAR74">#REF!</definedName>
    <definedName name="____TAR75">'[3]Unemp by prev job levels'!$H$161</definedName>
    <definedName name="____TAR76">'[3]Unemp by prev job levels'!$I$161</definedName>
    <definedName name="____TAR77">'[3]Unemp by prev job levels'!$J$161</definedName>
    <definedName name="____TAR78">'[3]Unemp by prev job levels'!$K$161</definedName>
    <definedName name="____TAR79">'[3]Unemp by prev job levels'!$L$161</definedName>
    <definedName name="____TAR8">#REF!</definedName>
    <definedName name="____TAR80">'[3]Unemp by prev job levels'!$M$161</definedName>
    <definedName name="____TAR81">'[3]Unemp by prev job levels'!$N$161</definedName>
    <definedName name="____TAR82">'[3]Unemp by prev job levels'!$O$161</definedName>
    <definedName name="____TAR83">#REF!</definedName>
    <definedName name="____TAR84">#REF!</definedName>
    <definedName name="____TAR85">#REF!</definedName>
    <definedName name="____TAR86">#REF!</definedName>
    <definedName name="____TAR87">#REF!</definedName>
    <definedName name="____TAR88">#REF!</definedName>
    <definedName name="____TAR89">#REF!</definedName>
    <definedName name="____TAR90">#REF!</definedName>
    <definedName name="____TAR92">'[3]Unemp by prev job levels'!$B$244</definedName>
    <definedName name="____TAR94">'[3]Unemp by prev job levels'!$C$244</definedName>
    <definedName name="____TAR95">'[3]Unemp by prev job levels'!$D$244</definedName>
    <definedName name="____TAR96">'[3]Unemp by prev job levels'!$E$244</definedName>
    <definedName name="____TAR97">'[3]Unemp by prev job levels'!$F$244</definedName>
    <definedName name="____TAR98">'[3]Unemp by prev job levels'!$G$244</definedName>
    <definedName name="____TAR99">'[3]Unemp by prev job levels'!$H$244</definedName>
    <definedName name="___PC1">[2]PC1!$M$103:$IV$16410</definedName>
    <definedName name="___TAR1">'[3]Unemp by prev job levels'!$B$15</definedName>
    <definedName name="___TAR10">#REF!</definedName>
    <definedName name="___TAR100">'[3]Unemp by prev job levels'!$I$244</definedName>
    <definedName name="___TAR101">'[3]Unemp by prev job levels'!$J$244</definedName>
    <definedName name="___TAR102">'[3]Unemp by prev job levels'!$K$244</definedName>
    <definedName name="___TAR103">'[3]Unemp by prev job levels'!$L$244</definedName>
    <definedName name="___TAR104">'[3]Unemp by prev job levels'!$M$244</definedName>
    <definedName name="___TAR105">'[3]Unemp by prev job levels'!$N$244</definedName>
    <definedName name="___TAR106">'[3]Unemp by prev job levels'!$O$244</definedName>
    <definedName name="___TAR11">#REF!</definedName>
    <definedName name="___TAR12">#REF!</definedName>
    <definedName name="___TAR13">#REF!</definedName>
    <definedName name="___TAR14">#REF!</definedName>
    <definedName name="___TAR15">'[3]Unemp by prev job levels'!$B$88</definedName>
    <definedName name="___TAR17">'[3]Unemp by prev job levels'!$C$88</definedName>
    <definedName name="___TAR18">'[3]Unemp by prev job levels'!$D$88</definedName>
    <definedName name="___TAR19">'[3]Unemp by prev job levels'!$E$88</definedName>
    <definedName name="___TAR20">'[3]Unemp by prev job levels'!$F$88</definedName>
    <definedName name="___TAR21">'[3]Unemp by prev job levels'!$G$88</definedName>
    <definedName name="___TAR22">#REF!</definedName>
    <definedName name="___TAR24">#REF!</definedName>
    <definedName name="___TAR25">#REF!</definedName>
    <definedName name="___TAR26">#REF!</definedName>
    <definedName name="___TAR27">#REF!</definedName>
    <definedName name="___TAR28">#REF!</definedName>
    <definedName name="___TAR29">'[3]Unemp by prev job levels'!$B$161</definedName>
    <definedName name="___TAR3">'[3]Unemp by prev job levels'!$C$15</definedName>
    <definedName name="___TAR31">'[3]Unemp by prev job levels'!$C$161</definedName>
    <definedName name="___TAR32">'[3]Unemp by prev job levels'!$D$161</definedName>
    <definedName name="___TAR33">'[3]Unemp by prev job levels'!$E$161</definedName>
    <definedName name="___TAR34">'[3]Unemp by prev job levels'!$F$161</definedName>
    <definedName name="___TAR35">'[3]Unemp by prev job levels'!$G$161</definedName>
    <definedName name="___TAR36">#REF!</definedName>
    <definedName name="___TAR38">#REF!</definedName>
    <definedName name="___TAR39">#REF!</definedName>
    <definedName name="___TAR4">'[3]Unemp by prev job levels'!$D$15</definedName>
    <definedName name="___TAR40">#REF!</definedName>
    <definedName name="___TAR41">#REF!</definedName>
    <definedName name="___TAR42">#REF!</definedName>
    <definedName name="___TAR43">'[3]Unemp by prev job levels'!$H$15</definedName>
    <definedName name="___TAR44">'[3]Unemp by prev job levels'!$I$15</definedName>
    <definedName name="___TAR45">'[3]Unemp by prev job levels'!$J$15</definedName>
    <definedName name="___TAR46">'[3]Unemp by prev job levels'!$K$15</definedName>
    <definedName name="___TAR47">'[3]Unemp by prev job levels'!$L$15</definedName>
    <definedName name="___TAR48">'[3]Unemp by prev job levels'!$M$15</definedName>
    <definedName name="___TAR49">'[3]Unemp by prev job levels'!$N$15</definedName>
    <definedName name="___TAR5">'[3]Unemp by prev job levels'!$E$15</definedName>
    <definedName name="___TAR50">'[3]Unemp by prev job levels'!$O$15</definedName>
    <definedName name="___TAR51">#REF!</definedName>
    <definedName name="___TAR52">#REF!</definedName>
    <definedName name="___TAR53">#REF!</definedName>
    <definedName name="___TAR54">#REF!</definedName>
    <definedName name="___TAR55">#REF!</definedName>
    <definedName name="___TAR56">#REF!</definedName>
    <definedName name="___TAR57">#REF!</definedName>
    <definedName name="___TAR58">#REF!</definedName>
    <definedName name="___TAR59">'[3]Unemp by prev job levels'!$H$88</definedName>
    <definedName name="___TAR6">'[3]Unemp by prev job levels'!$F$15</definedName>
    <definedName name="___TAR60">'[3]Unemp by prev job levels'!$I$88</definedName>
    <definedName name="___TAR61">'[3]Unemp by prev job levels'!$J$88</definedName>
    <definedName name="___TAR62">'[3]Unemp by prev job levels'!$K$88</definedName>
    <definedName name="___TAR63">'[3]Unemp by prev job levels'!$L$88</definedName>
    <definedName name="___TAR64">'[3]Unemp by prev job levels'!$M$88</definedName>
    <definedName name="___TAR65">'[3]Unemp by prev job levels'!$N$88</definedName>
    <definedName name="___TAR66">'[3]Unemp by prev job levels'!$O$88</definedName>
    <definedName name="___TAR67">#REF!</definedName>
    <definedName name="___TAR68">#REF!</definedName>
    <definedName name="___TAR69">#REF!</definedName>
    <definedName name="___TAR7">'[3]Unemp by prev job levels'!$G$15</definedName>
    <definedName name="___TAR70">#REF!</definedName>
    <definedName name="___TAR71">#REF!</definedName>
    <definedName name="___TAR72">#REF!</definedName>
    <definedName name="___TAR73">#REF!</definedName>
    <definedName name="___TAR74">#REF!</definedName>
    <definedName name="___TAR75">'[3]Unemp by prev job levels'!$H$161</definedName>
    <definedName name="___TAR76">'[3]Unemp by prev job levels'!$I$161</definedName>
    <definedName name="___TAR77">'[3]Unemp by prev job levels'!$J$161</definedName>
    <definedName name="___TAR78">'[3]Unemp by prev job levels'!$K$161</definedName>
    <definedName name="___TAR79">'[3]Unemp by prev job levels'!$L$161</definedName>
    <definedName name="___TAR8">#REF!</definedName>
    <definedName name="___TAR80">'[3]Unemp by prev job levels'!$M$161</definedName>
    <definedName name="___TAR81">'[3]Unemp by prev job levels'!$N$161</definedName>
    <definedName name="___TAR82">'[3]Unemp by prev job levels'!$O$161</definedName>
    <definedName name="___TAR83">#REF!</definedName>
    <definedName name="___TAR84">#REF!</definedName>
    <definedName name="___TAR85">#REF!</definedName>
    <definedName name="___TAR86">#REF!</definedName>
    <definedName name="___TAR87">#REF!</definedName>
    <definedName name="___TAR88">#REF!</definedName>
    <definedName name="___TAR89">#REF!</definedName>
    <definedName name="___TAR90">#REF!</definedName>
    <definedName name="___TAR92">'[3]Unemp by prev job levels'!$B$244</definedName>
    <definedName name="___TAR94">'[3]Unemp by prev job levels'!$C$244</definedName>
    <definedName name="___TAR95">'[3]Unemp by prev job levels'!$D$244</definedName>
    <definedName name="___TAR96">'[3]Unemp by prev job levels'!$E$244</definedName>
    <definedName name="___TAR97">'[3]Unemp by prev job levels'!$F$244</definedName>
    <definedName name="___TAR98">'[3]Unemp by prev job levels'!$G$244</definedName>
    <definedName name="___TAR99">'[3]Unemp by prev job levels'!$H$244</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05MAY11">#REF!</definedName>
    <definedName name="__123Graph_A" localSheetId="50" hidden="1">'[4]Model inputs'!#REF!</definedName>
    <definedName name="__123Graph_A" localSheetId="32" hidden="1">'[4]Model inputs'!#REF!</definedName>
    <definedName name="__123Graph_A" localSheetId="58" hidden="1">'[4]Model inputs'!#REF!</definedName>
    <definedName name="__123Graph_A" localSheetId="23" hidden="1">'[4]Model inputs'!#REF!</definedName>
    <definedName name="__123Graph_A" localSheetId="24" hidden="1">'[4]Model inputs'!#REF!</definedName>
    <definedName name="__123Graph_A" hidden="1">'[4]Model inputs'!#REF!</definedName>
    <definedName name="__123Graph_AALLTAX" localSheetId="50" hidden="1">'[5]Forecast data'!#REF!</definedName>
    <definedName name="__123Graph_AALLTAX" localSheetId="32" hidden="1">'[5]Forecast data'!#REF!</definedName>
    <definedName name="__123Graph_AALLTAX" localSheetId="58" hidden="1">'[5]Forecast data'!#REF!</definedName>
    <definedName name="__123Graph_AALLTAX" localSheetId="23" hidden="1">'[5]Forecast data'!#REF!</definedName>
    <definedName name="__123Graph_AALLTAX" localSheetId="24" hidden="1">'[5]Forecast data'!#REF!</definedName>
    <definedName name="__123Graph_AALLTAX" hidden="1">'[5]Forecast data'!#REF!</definedName>
    <definedName name="__123Graph_ACFSINDIV" localSheetId="50" hidden="1">[6]Data!#REF!</definedName>
    <definedName name="__123Graph_ACFSINDIV" localSheetId="32" hidden="1">[6]Data!#REF!</definedName>
    <definedName name="__123Graph_ACFSINDIV" localSheetId="58" hidden="1">[7]Data!#REF!</definedName>
    <definedName name="__123Graph_ACFSINDIV" localSheetId="23" hidden="1">[7]Data!#REF!</definedName>
    <definedName name="__123Graph_ACFSINDIV" localSheetId="24" hidden="1">[7]Data!#REF!</definedName>
    <definedName name="__123Graph_ACFSINDIV" hidden="1">[6]Data!#REF!</definedName>
    <definedName name="__123Graph_AChart1" hidden="1">[8]table!$B$14:$B$16</definedName>
    <definedName name="__123Graph_ACHGSPD1" localSheetId="58" hidden="1">'[9]CHGSPD19.FIN'!$B$10:$B$20</definedName>
    <definedName name="__123Graph_ACHGSPD1" localSheetId="23" hidden="1">'[10]CHGSPD19.FIN'!$B$10:$B$20</definedName>
    <definedName name="__123Graph_ACHGSPD1" localSheetId="24" hidden="1">'[10]CHGSPD19.FIN'!$B$10:$B$20</definedName>
    <definedName name="__123Graph_ACHGSPD1" hidden="1">'[11]CHGSPD19.FIN'!$B$10:$B$20</definedName>
    <definedName name="__123Graph_ACHGSPD2" localSheetId="58" hidden="1">'[9]CHGSPD19.FIN'!$E$11:$E$20</definedName>
    <definedName name="__123Graph_ACHGSPD2" localSheetId="23" hidden="1">'[10]CHGSPD19.FIN'!$E$11:$E$20</definedName>
    <definedName name="__123Graph_ACHGSPD2" localSheetId="24" hidden="1">'[10]CHGSPD19.FIN'!$E$11:$E$20</definedName>
    <definedName name="__123Graph_ACHGSPD2" hidden="1">'[11]CHGSPD19.FIN'!$E$11:$E$20</definedName>
    <definedName name="__123Graph_ACurrent" hidden="1">[8]table!$B$14:$B$16</definedName>
    <definedName name="__123Graph_ADUMMY" hidden="1">[12]weekly!#REF!</definedName>
    <definedName name="__123Graph_AEFF" localSheetId="50" hidden="1">'[13]T3 Page 1'!#REF!</definedName>
    <definedName name="__123Graph_AEFF" localSheetId="32" hidden="1">'[13]T3 Page 1'!#REF!</definedName>
    <definedName name="__123Graph_AEFF" localSheetId="58" hidden="1">'[13]T3 Page 1'!#REF!</definedName>
    <definedName name="__123Graph_AEFF" localSheetId="23" hidden="1">'[13]T3 Page 1'!#REF!</definedName>
    <definedName name="__123Graph_AEFF" localSheetId="24" hidden="1">'[13]T3 Page 1'!#REF!</definedName>
    <definedName name="__123Graph_AEFF" hidden="1">'[13]T3 Page 1'!#REF!</definedName>
    <definedName name="__123Graph_AGR14PBF1" localSheetId="58" hidden="1">'[14]HIS19FIN(A)'!$AF$70:$AF$81</definedName>
    <definedName name="__123Graph_AGR14PBF1" localSheetId="23" hidden="1">'[15]HIS19FIN(A)'!$AF$70:$AF$81</definedName>
    <definedName name="__123Graph_AGR14PBF1" localSheetId="24" hidden="1">'[15]HIS19FIN(A)'!$AF$70:$AF$81</definedName>
    <definedName name="__123Graph_AGR14PBF1" hidden="1">'[16]HIS19FIN(A)'!$AF$70:$AF$81</definedName>
    <definedName name="__123Graph_AHOMEVAT" localSheetId="50" hidden="1">'[5]Forecast data'!#REF!</definedName>
    <definedName name="__123Graph_AHOMEVAT" localSheetId="32" hidden="1">'[5]Forecast data'!#REF!</definedName>
    <definedName name="__123Graph_AHOMEVAT" localSheetId="58" hidden="1">'[5]Forecast data'!#REF!</definedName>
    <definedName name="__123Graph_AHOMEVAT" localSheetId="23" hidden="1">'[5]Forecast data'!#REF!</definedName>
    <definedName name="__123Graph_AHOMEVAT" localSheetId="24" hidden="1">'[5]Forecast data'!#REF!</definedName>
    <definedName name="__123Graph_AHOMEVAT" hidden="1">'[5]Forecast data'!#REF!</definedName>
    <definedName name="__123Graph_AIMPORT" localSheetId="50" hidden="1">'[5]Forecast data'!#REF!</definedName>
    <definedName name="__123Graph_AIMPORT" localSheetId="32" hidden="1">'[5]Forecast data'!#REF!</definedName>
    <definedName name="__123Graph_AIMPORT" localSheetId="58" hidden="1">'[5]Forecast data'!#REF!</definedName>
    <definedName name="__123Graph_AIMPORT" localSheetId="23" hidden="1">'[5]Forecast data'!#REF!</definedName>
    <definedName name="__123Graph_AIMPORT" localSheetId="24" hidden="1">'[5]Forecast data'!#REF!</definedName>
    <definedName name="__123Graph_AIMPORT" hidden="1">'[5]Forecast data'!#REF!</definedName>
    <definedName name="__123Graph_ALBFFIN" localSheetId="50" hidden="1">'[13]FC Page 1'!#REF!</definedName>
    <definedName name="__123Graph_ALBFFIN" localSheetId="32" hidden="1">'[13]FC Page 1'!#REF!</definedName>
    <definedName name="__123Graph_ALBFFIN" localSheetId="58" hidden="1">'[13]FC Page 1'!#REF!</definedName>
    <definedName name="__123Graph_ALBFFIN" localSheetId="23" hidden="1">'[13]FC Page 1'!#REF!</definedName>
    <definedName name="__123Graph_ALBFFIN" localSheetId="24" hidden="1">'[13]FC Page 1'!#REF!</definedName>
    <definedName name="__123Graph_ALBFFIN" hidden="1">'[13]FC Page 1'!#REF!</definedName>
    <definedName name="__123Graph_ALBFFIN2" localSheetId="58" hidden="1">'[14]HIS19FIN(A)'!$K$59:$Q$59</definedName>
    <definedName name="__123Graph_ALBFFIN2" localSheetId="23" hidden="1">'[15]HIS19FIN(A)'!$K$59:$Q$59</definedName>
    <definedName name="__123Graph_ALBFFIN2" localSheetId="24" hidden="1">'[15]HIS19FIN(A)'!$K$59:$Q$59</definedName>
    <definedName name="__123Graph_ALBFFIN2" hidden="1">'[16]HIS19FIN(A)'!$K$59:$Q$59</definedName>
    <definedName name="__123Graph_ALBFHIC2" localSheetId="58" hidden="1">'[14]HIS19FIN(A)'!$D$59:$J$59</definedName>
    <definedName name="__123Graph_ALBFHIC2" localSheetId="23" hidden="1">'[15]HIS19FIN(A)'!$D$59:$J$59</definedName>
    <definedName name="__123Graph_ALBFHIC2" localSheetId="24" hidden="1">'[15]HIS19FIN(A)'!$D$59:$J$59</definedName>
    <definedName name="__123Graph_ALBFHIC2" hidden="1">'[16]HIS19FIN(A)'!$D$59:$J$59</definedName>
    <definedName name="__123Graph_ALCB" localSheetId="58" hidden="1">'[14]HIS19FIN(A)'!$D$83:$I$83</definedName>
    <definedName name="__123Graph_ALCB" localSheetId="23" hidden="1">'[15]HIS19FIN(A)'!$D$83:$I$83</definedName>
    <definedName name="__123Graph_ALCB" localSheetId="24" hidden="1">'[15]HIS19FIN(A)'!$D$83:$I$83</definedName>
    <definedName name="__123Graph_ALCB" hidden="1">'[16]HIS19FIN(A)'!$D$83:$I$83</definedName>
    <definedName name="__123Graph_AMAIN" hidden="1">[12]weekly!#REF!</definedName>
    <definedName name="__123Graph_AMONTHLY" hidden="1">[12]weekly!#REF!</definedName>
    <definedName name="__123Graph_AMONTHLY2" hidden="1">[12]weekly!#REF!</definedName>
    <definedName name="__123Graph_ANACFIN" localSheetId="58" hidden="1">'[14]HIS19FIN(A)'!$K$97:$Q$97</definedName>
    <definedName name="__123Graph_ANACFIN" localSheetId="23" hidden="1">'[15]HIS19FIN(A)'!$K$97:$Q$97</definedName>
    <definedName name="__123Graph_ANACFIN" localSheetId="24" hidden="1">'[15]HIS19FIN(A)'!$K$97:$Q$97</definedName>
    <definedName name="__123Graph_ANACFIN" hidden="1">'[16]HIS19FIN(A)'!$K$97:$Q$97</definedName>
    <definedName name="__123Graph_ANACHIC" localSheetId="58" hidden="1">'[14]HIS19FIN(A)'!$D$97:$J$97</definedName>
    <definedName name="__123Graph_ANACHIC" localSheetId="23" hidden="1">'[15]HIS19FIN(A)'!$D$97:$J$97</definedName>
    <definedName name="__123Graph_ANACHIC" localSheetId="24" hidden="1">'[15]HIS19FIN(A)'!$D$97:$J$97</definedName>
    <definedName name="__123Graph_ANACHIC" hidden="1">'[16]HIS19FIN(A)'!$D$97:$J$97</definedName>
    <definedName name="__123Graph_APDNUMBERS" localSheetId="23" hidden="1">'[17]SUMMARY TABLE'!$U$6:$U$49</definedName>
    <definedName name="__123Graph_APDNUMBERS" localSheetId="24" hidden="1">'[17]SUMMARY TABLE'!$U$6:$U$49</definedName>
    <definedName name="__123Graph_APDNUMBERS" hidden="1">'[18]SUMMARY TABLE'!$U$6:$U$49</definedName>
    <definedName name="__123Graph_APDTRENDS" localSheetId="23" hidden="1">'[17]SUMMARY TABLE'!$S$23:$S$46</definedName>
    <definedName name="__123Graph_APDTRENDS" localSheetId="24" hidden="1">'[17]SUMMARY TABLE'!$S$23:$S$46</definedName>
    <definedName name="__123Graph_APDTRENDS" hidden="1">'[18]SUMMARY TABLE'!$S$23:$S$46</definedName>
    <definedName name="__123Graph_APIC" localSheetId="50" hidden="1">'[13]T3 Page 1'!#REF!</definedName>
    <definedName name="__123Graph_APIC" localSheetId="32" hidden="1">'[13]T3 Page 1'!#REF!</definedName>
    <definedName name="__123Graph_APIC" localSheetId="58" hidden="1">'[13]T3 Page 1'!#REF!</definedName>
    <definedName name="__123Graph_APIC" localSheetId="23" hidden="1">'[13]T3 Page 1'!#REF!</definedName>
    <definedName name="__123Graph_APIC" localSheetId="24" hidden="1">'[13]T3 Page 1'!#REF!</definedName>
    <definedName name="__123Graph_APIC" hidden="1">'[13]T3 Page 1'!#REF!</definedName>
    <definedName name="__123Graph_ATOBREV" localSheetId="50" hidden="1">'[5]Forecast data'!#REF!</definedName>
    <definedName name="__123Graph_ATOBREV" localSheetId="32" hidden="1">'[5]Forecast data'!#REF!</definedName>
    <definedName name="__123Graph_ATOBREV" localSheetId="58" hidden="1">'[5]Forecast data'!#REF!</definedName>
    <definedName name="__123Graph_ATOBREV" localSheetId="23" hidden="1">'[5]Forecast data'!#REF!</definedName>
    <definedName name="__123Graph_ATOBREV" localSheetId="24" hidden="1">'[5]Forecast data'!#REF!</definedName>
    <definedName name="__123Graph_ATOBREV" hidden="1">'[5]Forecast data'!#REF!</definedName>
    <definedName name="__123Graph_ATOTAL" localSheetId="50" hidden="1">'[5]Forecast data'!#REF!</definedName>
    <definedName name="__123Graph_ATOTAL" localSheetId="32" hidden="1">'[5]Forecast data'!#REF!</definedName>
    <definedName name="__123Graph_ATOTAL" localSheetId="58" hidden="1">'[5]Forecast data'!#REF!</definedName>
    <definedName name="__123Graph_ATOTAL" localSheetId="23" hidden="1">'[5]Forecast data'!#REF!</definedName>
    <definedName name="__123Graph_ATOTAL" localSheetId="24" hidden="1">'[5]Forecast data'!#REF!</definedName>
    <definedName name="__123Graph_ATOTAL" hidden="1">'[5]Forecast data'!#REF!</definedName>
    <definedName name="__123Graph_B" localSheetId="50" hidden="1">'[4]Model inputs'!#REF!</definedName>
    <definedName name="__123Graph_B" localSheetId="32" hidden="1">'[4]Model inputs'!#REF!</definedName>
    <definedName name="__123Graph_B" localSheetId="58" hidden="1">'[4]Model inputs'!#REF!</definedName>
    <definedName name="__123Graph_B" localSheetId="23" hidden="1">'[4]Model inputs'!#REF!</definedName>
    <definedName name="__123Graph_B" localSheetId="24" hidden="1">'[4]Model inputs'!#REF!</definedName>
    <definedName name="__123Graph_B" hidden="1">'[4]Model inputs'!#REF!</definedName>
    <definedName name="__123Graph_BCFSINDIV" localSheetId="50" hidden="1">[6]Data!#REF!</definedName>
    <definedName name="__123Graph_BCFSINDIV" localSheetId="32" hidden="1">[6]Data!#REF!</definedName>
    <definedName name="__123Graph_BCFSINDIV" localSheetId="58" hidden="1">[7]Data!#REF!</definedName>
    <definedName name="__123Graph_BCFSINDIV" localSheetId="23" hidden="1">[7]Data!#REF!</definedName>
    <definedName name="__123Graph_BCFSINDIV" localSheetId="24" hidden="1">[7]Data!#REF!</definedName>
    <definedName name="__123Graph_BCFSINDIV" hidden="1">[6]Data!#REF!</definedName>
    <definedName name="__123Graph_BCFSUK" localSheetId="50" hidden="1">[6]Data!#REF!</definedName>
    <definedName name="__123Graph_BCFSUK" localSheetId="32" hidden="1">[6]Data!#REF!</definedName>
    <definedName name="__123Graph_BCFSUK" localSheetId="58" hidden="1">[7]Data!#REF!</definedName>
    <definedName name="__123Graph_BCFSUK" localSheetId="23" hidden="1">[7]Data!#REF!</definedName>
    <definedName name="__123Graph_BCFSUK" localSheetId="24" hidden="1">[7]Data!#REF!</definedName>
    <definedName name="__123Graph_BCFSUK" hidden="1">[6]Data!#REF!</definedName>
    <definedName name="__123Graph_BChart1" hidden="1">[8]table!#REF!</definedName>
    <definedName name="__123Graph_BCHGSPD1" localSheetId="58" hidden="1">'[9]CHGSPD19.FIN'!$H$10:$H$25</definedName>
    <definedName name="__123Graph_BCHGSPD1" localSheetId="23" hidden="1">'[10]CHGSPD19.FIN'!$H$10:$H$25</definedName>
    <definedName name="__123Graph_BCHGSPD1" localSheetId="24" hidden="1">'[10]CHGSPD19.FIN'!$H$10:$H$25</definedName>
    <definedName name="__123Graph_BCHGSPD1" hidden="1">'[11]CHGSPD19.FIN'!$H$10:$H$25</definedName>
    <definedName name="__123Graph_BCHGSPD2" localSheetId="58" hidden="1">'[9]CHGSPD19.FIN'!$I$11:$I$25</definedName>
    <definedName name="__123Graph_BCHGSPD2" localSheetId="23" hidden="1">'[10]CHGSPD19.FIN'!$I$11:$I$25</definedName>
    <definedName name="__123Graph_BCHGSPD2" localSheetId="24" hidden="1">'[10]CHGSPD19.FIN'!$I$11:$I$25</definedName>
    <definedName name="__123Graph_BCHGSPD2" hidden="1">'[11]CHGSPD19.FIN'!$I$11:$I$25</definedName>
    <definedName name="__123Graph_BCurrent" hidden="1">[8]table!#REF!</definedName>
    <definedName name="__123Graph_BDUMMY" hidden="1">[12]weekly!#REF!</definedName>
    <definedName name="__123Graph_BEFF" localSheetId="50" hidden="1">'[13]T3 Page 1'!#REF!</definedName>
    <definedName name="__123Graph_BEFF" localSheetId="32" hidden="1">'[13]T3 Page 1'!#REF!</definedName>
    <definedName name="__123Graph_BEFF" localSheetId="58" hidden="1">'[13]T3 Page 1'!#REF!</definedName>
    <definedName name="__123Graph_BEFF" localSheetId="23" hidden="1">'[13]T3 Page 1'!#REF!</definedName>
    <definedName name="__123Graph_BEFF" localSheetId="24" hidden="1">'[13]T3 Page 1'!#REF!</definedName>
    <definedName name="__123Graph_BEFF" hidden="1">'[13]T3 Page 1'!#REF!</definedName>
    <definedName name="__123Graph_BHOMEVAT" localSheetId="50" hidden="1">'[5]Forecast data'!#REF!</definedName>
    <definedName name="__123Graph_BHOMEVAT" localSheetId="32" hidden="1">'[5]Forecast data'!#REF!</definedName>
    <definedName name="__123Graph_BHOMEVAT" localSheetId="58" hidden="1">'[5]Forecast data'!#REF!</definedName>
    <definedName name="__123Graph_BHOMEVAT" localSheetId="23" hidden="1">'[5]Forecast data'!#REF!</definedName>
    <definedName name="__123Graph_BHOMEVAT" localSheetId="24" hidden="1">'[5]Forecast data'!#REF!</definedName>
    <definedName name="__123Graph_BHOMEVAT" hidden="1">'[5]Forecast data'!#REF!</definedName>
    <definedName name="__123Graph_BIMPORT" localSheetId="50" hidden="1">'[5]Forecast data'!#REF!</definedName>
    <definedName name="__123Graph_BIMPORT" localSheetId="32" hidden="1">'[5]Forecast data'!#REF!</definedName>
    <definedName name="__123Graph_BIMPORT" localSheetId="58" hidden="1">'[5]Forecast data'!#REF!</definedName>
    <definedName name="__123Graph_BIMPORT" localSheetId="23" hidden="1">'[5]Forecast data'!#REF!</definedName>
    <definedName name="__123Graph_BIMPORT" localSheetId="24" hidden="1">'[5]Forecast data'!#REF!</definedName>
    <definedName name="__123Graph_BIMPORT" hidden="1">'[5]Forecast data'!#REF!</definedName>
    <definedName name="__123Graph_BLBF" localSheetId="50" hidden="1">'[13]T3 Page 1'!#REF!</definedName>
    <definedName name="__123Graph_BLBF" localSheetId="32" hidden="1">'[13]T3 Page 1'!#REF!</definedName>
    <definedName name="__123Graph_BLBF" hidden="1">'[13]T3 Page 1'!#REF!</definedName>
    <definedName name="__123Graph_BLBFFIN" localSheetId="50" hidden="1">'[13]FC Page 1'!#REF!</definedName>
    <definedName name="__123Graph_BLBFFIN" localSheetId="32" hidden="1">'[13]FC Page 1'!#REF!</definedName>
    <definedName name="__123Graph_BLBFFIN" hidden="1">'[13]FC Page 1'!#REF!</definedName>
    <definedName name="__123Graph_BLBFFIN_NEW" hidden="1">'[13]FC Page 1'!#REF!</definedName>
    <definedName name="__123Graph_BLCB" localSheetId="58" hidden="1">'[14]HIS19FIN(A)'!$D$79:$I$79</definedName>
    <definedName name="__123Graph_BLCB" localSheetId="23" hidden="1">'[15]HIS19FIN(A)'!$D$79:$I$79</definedName>
    <definedName name="__123Graph_BLCB" localSheetId="24" hidden="1">'[15]HIS19FIN(A)'!$D$79:$I$79</definedName>
    <definedName name="__123Graph_BLCB" hidden="1">'[16]HIS19FIN(A)'!$D$79:$I$79</definedName>
    <definedName name="__123Graph_BMAIN" hidden="1">[12]weekly!#REF!</definedName>
    <definedName name="__123Graph_BMONTHLY" hidden="1">[12]weekly!#REF!</definedName>
    <definedName name="__123Graph_BMONTHLY2" hidden="1">[12]weekly!#REF!</definedName>
    <definedName name="__123Graph_BPDTRENDS" localSheetId="23" hidden="1">'[17]SUMMARY TABLE'!$T$23:$T$46</definedName>
    <definedName name="__123Graph_BPDTRENDS" localSheetId="24" hidden="1">'[17]SUMMARY TABLE'!$T$23:$T$46</definedName>
    <definedName name="__123Graph_BPDTRENDS" hidden="1">'[18]SUMMARY TABLE'!$T$23:$T$46</definedName>
    <definedName name="__123Graph_BPIC" localSheetId="50" hidden="1">'[13]T3 Page 1'!#REF!</definedName>
    <definedName name="__123Graph_BPIC" localSheetId="32" hidden="1">'[13]T3 Page 1'!#REF!</definedName>
    <definedName name="__123Graph_BPIC" localSheetId="58" hidden="1">'[13]T3 Page 1'!#REF!</definedName>
    <definedName name="__123Graph_BPIC" localSheetId="23" hidden="1">'[13]T3 Page 1'!#REF!</definedName>
    <definedName name="__123Graph_BPIC" localSheetId="24" hidden="1">'[13]T3 Page 1'!#REF!</definedName>
    <definedName name="__123Graph_BPIC" hidden="1">'[13]T3 Page 1'!#REF!</definedName>
    <definedName name="__123Graph_BTOTAL" localSheetId="50" hidden="1">'[5]Forecast data'!#REF!</definedName>
    <definedName name="__123Graph_BTOTAL" localSheetId="32" hidden="1">'[5]Forecast data'!#REF!</definedName>
    <definedName name="__123Graph_BTOTAL" localSheetId="58" hidden="1">'[5]Forecast data'!#REF!</definedName>
    <definedName name="__123Graph_BTOTAL" localSheetId="23" hidden="1">'[5]Forecast data'!#REF!</definedName>
    <definedName name="__123Graph_BTOTAL" localSheetId="24" hidden="1">'[5]Forecast data'!#REF!</definedName>
    <definedName name="__123Graph_BTOTAL" hidden="1">'[5]Forecast data'!#REF!</definedName>
    <definedName name="__123Graph_C" hidden="1">[8]table!$C$14:$C$16</definedName>
    <definedName name="__123Graph_CACT13BUD" localSheetId="50" hidden="1">'[13]FC Page 1'!#REF!</definedName>
    <definedName name="__123Graph_CACT13BUD" localSheetId="32" hidden="1">'[13]FC Page 1'!#REF!</definedName>
    <definedName name="__123Graph_CACT13BUD" localSheetId="58" hidden="1">'[13]FC Page 1'!#REF!</definedName>
    <definedName name="__123Graph_CACT13BUD" localSheetId="23" hidden="1">'[13]FC Page 1'!#REF!</definedName>
    <definedName name="__123Graph_CACT13BUD" localSheetId="24" hidden="1">'[13]FC Page 1'!#REF!</definedName>
    <definedName name="__123Graph_CACT13BUD" hidden="1">'[13]FC Page 1'!#REF!</definedName>
    <definedName name="__123Graph_CCFSINDIV" localSheetId="50" hidden="1">[6]Data!#REF!</definedName>
    <definedName name="__123Graph_CCFSINDIV" localSheetId="32" hidden="1">[6]Data!#REF!</definedName>
    <definedName name="__123Graph_CCFSINDIV" localSheetId="58" hidden="1">[7]Data!#REF!</definedName>
    <definedName name="__123Graph_CCFSINDIV" localSheetId="23" hidden="1">[7]Data!#REF!</definedName>
    <definedName name="__123Graph_CCFSINDIV" localSheetId="24" hidden="1">[7]Data!#REF!</definedName>
    <definedName name="__123Graph_CCFSINDIV" hidden="1">[6]Data!#REF!</definedName>
    <definedName name="__123Graph_CCFSUK" localSheetId="50" hidden="1">[6]Data!#REF!</definedName>
    <definedName name="__123Graph_CCFSUK" localSheetId="32" hidden="1">[6]Data!#REF!</definedName>
    <definedName name="__123Graph_CCFSUK" localSheetId="58" hidden="1">[7]Data!#REF!</definedName>
    <definedName name="__123Graph_CCFSUK" localSheetId="23" hidden="1">[7]Data!#REF!</definedName>
    <definedName name="__123Graph_CCFSUK" localSheetId="24" hidden="1">[7]Data!#REF!</definedName>
    <definedName name="__123Graph_CCFSUK" hidden="1">[6]Data!#REF!</definedName>
    <definedName name="__123Graph_CChart1" hidden="1">[8]table!$C$14:$C$16</definedName>
    <definedName name="__123Graph_CCurrent" hidden="1">[8]table!$C$14:$C$16</definedName>
    <definedName name="__123Graph_CDUMMY" hidden="1">[12]weekly!#REF!</definedName>
    <definedName name="__123Graph_CEFF" localSheetId="50" hidden="1">'[13]T3 Page 1'!#REF!</definedName>
    <definedName name="__123Graph_CEFF" localSheetId="32" hidden="1">'[13]T3 Page 1'!#REF!</definedName>
    <definedName name="__123Graph_CEFF" localSheetId="23" hidden="1">'[13]T3 Page 1'!#REF!</definedName>
    <definedName name="__123Graph_CEFF" localSheetId="24" hidden="1">'[13]T3 Page 1'!#REF!</definedName>
    <definedName name="__123Graph_CEFF" hidden="1">'[13]T3 Page 1'!#REF!</definedName>
    <definedName name="__123Graph_CGR14PBF1" localSheetId="58" hidden="1">'[14]HIS19FIN(A)'!$AK$70:$AK$81</definedName>
    <definedName name="__123Graph_CGR14PBF1" localSheetId="23" hidden="1">'[15]HIS19FIN(A)'!$AK$70:$AK$81</definedName>
    <definedName name="__123Graph_CGR14PBF1" localSheetId="24" hidden="1">'[15]HIS19FIN(A)'!$AK$70:$AK$81</definedName>
    <definedName name="__123Graph_CGR14PBF1" hidden="1">'[16]HIS19FIN(A)'!$AK$70:$AK$81</definedName>
    <definedName name="__123Graph_CLBF" localSheetId="50" hidden="1">'[13]T3 Page 1'!#REF!</definedName>
    <definedName name="__123Graph_CLBF" localSheetId="32" hidden="1">'[13]T3 Page 1'!#REF!</definedName>
    <definedName name="__123Graph_CLBF" localSheetId="58" hidden="1">'[13]T3 Page 1'!#REF!</definedName>
    <definedName name="__123Graph_CLBF" localSheetId="23" hidden="1">'[13]T3 Page 1'!#REF!</definedName>
    <definedName name="__123Graph_CLBF" localSheetId="24" hidden="1">'[13]T3 Page 1'!#REF!</definedName>
    <definedName name="__123Graph_CLBF" hidden="1">'[13]T3 Page 1'!#REF!</definedName>
    <definedName name="__123Graph_CMONTHLY" hidden="1">[12]weekly!#REF!</definedName>
    <definedName name="__123Graph_CMONTHLY2" hidden="1">[12]weekly!#REF!</definedName>
    <definedName name="__123Graph_CPIC" localSheetId="50" hidden="1">'[13]T3 Page 1'!#REF!</definedName>
    <definedName name="__123Graph_CPIC" localSheetId="32" hidden="1">'[13]T3 Page 1'!#REF!</definedName>
    <definedName name="__123Graph_CPIC" localSheetId="58" hidden="1">'[13]T3 Page 1'!#REF!</definedName>
    <definedName name="__123Graph_CPIC" localSheetId="23" hidden="1">'[13]T3 Page 1'!#REF!</definedName>
    <definedName name="__123Graph_CPIC" localSheetId="24" hidden="1">'[13]T3 Page 1'!#REF!</definedName>
    <definedName name="__123Graph_CPIC" hidden="1">'[13]T3 Page 1'!#REF!</definedName>
    <definedName name="__123Graph_D" hidden="1">[8]table!$D$14:$D$16</definedName>
    <definedName name="__123Graph_DACT13BUD" localSheetId="50" hidden="1">'[13]FC Page 1'!#REF!</definedName>
    <definedName name="__123Graph_DACT13BUD" localSheetId="32" hidden="1">'[13]FC Page 1'!#REF!</definedName>
    <definedName name="__123Graph_DACT13BUD" localSheetId="23" hidden="1">'[13]FC Page 1'!#REF!</definedName>
    <definedName name="__123Graph_DACT13BUD" localSheetId="24" hidden="1">'[13]FC Page 1'!#REF!</definedName>
    <definedName name="__123Graph_DACT13BUD" hidden="1">'[13]FC Page 1'!#REF!</definedName>
    <definedName name="__123Graph_DCFSINDIV" localSheetId="50" hidden="1">[6]Data!#REF!</definedName>
    <definedName name="__123Graph_DCFSINDIV" localSheetId="32" hidden="1">[6]Data!#REF!</definedName>
    <definedName name="__123Graph_DCFSINDIV" localSheetId="58" hidden="1">[7]Data!#REF!</definedName>
    <definedName name="__123Graph_DCFSINDIV" localSheetId="23" hidden="1">[7]Data!#REF!</definedName>
    <definedName name="__123Graph_DCFSINDIV" localSheetId="24" hidden="1">[7]Data!#REF!</definedName>
    <definedName name="__123Graph_DCFSINDIV" hidden="1">[6]Data!#REF!</definedName>
    <definedName name="__123Graph_DCFSUK" localSheetId="50" hidden="1">[6]Data!#REF!</definedName>
    <definedName name="__123Graph_DCFSUK" localSheetId="32" hidden="1">[6]Data!#REF!</definedName>
    <definedName name="__123Graph_DCFSUK" localSheetId="58" hidden="1">[7]Data!#REF!</definedName>
    <definedName name="__123Graph_DCFSUK" localSheetId="23" hidden="1">[7]Data!#REF!</definedName>
    <definedName name="__123Graph_DCFSUK" localSheetId="24" hidden="1">[7]Data!#REF!</definedName>
    <definedName name="__123Graph_DCFSUK" hidden="1">[6]Data!#REF!</definedName>
    <definedName name="__123Graph_DChart1" hidden="1">[8]table!$D$14:$D$16</definedName>
    <definedName name="__123Graph_DCurrent" hidden="1">[8]table!$D$14:$D$16</definedName>
    <definedName name="__123Graph_DEFF" localSheetId="50" hidden="1">'[13]T3 Page 1'!#REF!</definedName>
    <definedName name="__123Graph_DEFF" localSheetId="32" hidden="1">'[13]T3 Page 1'!#REF!</definedName>
    <definedName name="__123Graph_DEFF" localSheetId="23" hidden="1">'[13]T3 Page 1'!#REF!</definedName>
    <definedName name="__123Graph_DEFF" localSheetId="24" hidden="1">'[13]T3 Page 1'!#REF!</definedName>
    <definedName name="__123Graph_DEFF" hidden="1">'[13]T3 Page 1'!#REF!</definedName>
    <definedName name="__123Graph_DEFF2" localSheetId="23" hidden="1">'[13]T3 Page 1'!#REF!</definedName>
    <definedName name="__123Graph_DEFF2" localSheetId="24" hidden="1">'[13]T3 Page 1'!#REF!</definedName>
    <definedName name="__123Graph_DEFF2" hidden="1">'[13]T3 Page 1'!#REF!</definedName>
    <definedName name="__123Graph_DGR14PBF1" localSheetId="58" hidden="1">'[14]HIS19FIN(A)'!$AH$70:$AH$81</definedName>
    <definedName name="__123Graph_DGR14PBF1" localSheetId="23" hidden="1">'[15]HIS19FIN(A)'!$AH$70:$AH$81</definedName>
    <definedName name="__123Graph_DGR14PBF1" localSheetId="24" hidden="1">'[15]HIS19FIN(A)'!$AH$70:$AH$81</definedName>
    <definedName name="__123Graph_DGR14PBF1" hidden="1">'[16]HIS19FIN(A)'!$AH$70:$AH$81</definedName>
    <definedName name="__123Graph_DLBF" localSheetId="50" hidden="1">'[13]T3 Page 1'!#REF!</definedName>
    <definedName name="__123Graph_DLBF" localSheetId="32" hidden="1">'[13]T3 Page 1'!#REF!</definedName>
    <definedName name="__123Graph_DLBF" localSheetId="58" hidden="1">'[13]T3 Page 1'!#REF!</definedName>
    <definedName name="__123Graph_DLBF" localSheetId="23" hidden="1">'[13]T3 Page 1'!#REF!</definedName>
    <definedName name="__123Graph_DLBF" localSheetId="24" hidden="1">'[13]T3 Page 1'!#REF!</definedName>
    <definedName name="__123Graph_DLBF" hidden="1">'[13]T3 Page 1'!#REF!</definedName>
    <definedName name="__123Graph_DMONTHLY2" hidden="1">[12]weekly!#REF!</definedName>
    <definedName name="__123Graph_DPIC" localSheetId="50" hidden="1">'[13]T3 Page 1'!#REF!</definedName>
    <definedName name="__123Graph_DPIC" localSheetId="32" hidden="1">'[13]T3 Page 1'!#REF!</definedName>
    <definedName name="__123Graph_DPIC" localSheetId="58" hidden="1">'[13]T3 Page 1'!#REF!</definedName>
    <definedName name="__123Graph_DPIC" localSheetId="23" hidden="1">'[13]T3 Page 1'!#REF!</definedName>
    <definedName name="__123Graph_DPIC" localSheetId="24" hidden="1">'[13]T3 Page 1'!#REF!</definedName>
    <definedName name="__123Graph_DPIC" hidden="1">'[13]T3 Page 1'!#REF!</definedName>
    <definedName name="__123Graph_E" hidden="1">[8]table!#REF!</definedName>
    <definedName name="__123Graph_EACT13BUD" localSheetId="50" hidden="1">'[13]FC Page 1'!#REF!</definedName>
    <definedName name="__123Graph_EACT13BUD" localSheetId="32" hidden="1">'[13]FC Page 1'!#REF!</definedName>
    <definedName name="__123Graph_EACT13BUD" localSheetId="58" hidden="1">'[13]FC Page 1'!#REF!</definedName>
    <definedName name="__123Graph_EACT13BUD" localSheetId="23" hidden="1">'[13]FC Page 1'!#REF!</definedName>
    <definedName name="__123Graph_EACT13BUD" localSheetId="24" hidden="1">'[13]FC Page 1'!#REF!</definedName>
    <definedName name="__123Graph_EACT13BUD" hidden="1">'[13]FC Page 1'!#REF!</definedName>
    <definedName name="__123Graph_ECFSINDIV" localSheetId="50" hidden="1">[6]Data!#REF!</definedName>
    <definedName name="__123Graph_ECFSINDIV" localSheetId="32" hidden="1">[6]Data!#REF!</definedName>
    <definedName name="__123Graph_ECFSINDIV" localSheetId="58" hidden="1">[7]Data!#REF!</definedName>
    <definedName name="__123Graph_ECFSINDIV" localSheetId="23" hidden="1">[7]Data!#REF!</definedName>
    <definedName name="__123Graph_ECFSINDIV" localSheetId="24" hidden="1">[7]Data!#REF!</definedName>
    <definedName name="__123Graph_ECFSINDIV" hidden="1">[6]Data!#REF!</definedName>
    <definedName name="__123Graph_ECFSUK" localSheetId="50" hidden="1">[6]Data!#REF!</definedName>
    <definedName name="__123Graph_ECFSUK" localSheetId="32" hidden="1">[6]Data!#REF!</definedName>
    <definedName name="__123Graph_ECFSUK" localSheetId="58" hidden="1">[7]Data!#REF!</definedName>
    <definedName name="__123Graph_ECFSUK" localSheetId="23" hidden="1">[7]Data!#REF!</definedName>
    <definedName name="__123Graph_ECFSUK" localSheetId="24" hidden="1">[7]Data!#REF!</definedName>
    <definedName name="__123Graph_ECFSUK" hidden="1">[6]Data!#REF!</definedName>
    <definedName name="__123Graph_EChart1" hidden="1">[8]table!#REF!</definedName>
    <definedName name="__123Graph_ECurrent" hidden="1">[8]table!#REF!</definedName>
    <definedName name="__123Graph_EEFF" localSheetId="50" hidden="1">'[13]T3 Page 1'!#REF!</definedName>
    <definedName name="__123Graph_EEFF" localSheetId="32" hidden="1">'[13]T3 Page 1'!#REF!</definedName>
    <definedName name="__123Graph_EEFF" hidden="1">'[13]T3 Page 1'!#REF!</definedName>
    <definedName name="__123Graph_EEFFHIC" localSheetId="50" hidden="1">'[13]FC Page 1'!#REF!</definedName>
    <definedName name="__123Graph_EEFFHIC" localSheetId="32" hidden="1">'[13]FC Page 1'!#REF!</definedName>
    <definedName name="__123Graph_EEFFHIC" hidden="1">'[13]FC Page 1'!#REF!</definedName>
    <definedName name="__123Graph_EGR14PBF1" localSheetId="58" hidden="1">'[14]HIS19FIN(A)'!$AG$67:$AG$67</definedName>
    <definedName name="__123Graph_EGR14PBF1" localSheetId="23" hidden="1">'[15]HIS19FIN(A)'!$AG$67:$AG$67</definedName>
    <definedName name="__123Graph_EGR14PBF1" localSheetId="24" hidden="1">'[15]HIS19FIN(A)'!$AG$67:$AG$67</definedName>
    <definedName name="__123Graph_EGR14PBF1" hidden="1">'[16]HIS19FIN(A)'!$AG$67:$AG$67</definedName>
    <definedName name="__123Graph_ELBF" localSheetId="50" hidden="1">'[13]T3 Page 1'!#REF!</definedName>
    <definedName name="__123Graph_ELBF" localSheetId="32" hidden="1">'[13]T3 Page 1'!#REF!</definedName>
    <definedName name="__123Graph_ELBF" localSheetId="58" hidden="1">'[13]T3 Page 1'!#REF!</definedName>
    <definedName name="__123Graph_ELBF" localSheetId="23" hidden="1">'[13]T3 Page 1'!#REF!</definedName>
    <definedName name="__123Graph_ELBF" localSheetId="24" hidden="1">'[13]T3 Page 1'!#REF!</definedName>
    <definedName name="__123Graph_ELBF" hidden="1">'[13]T3 Page 1'!#REF!</definedName>
    <definedName name="__123Graph_EMONTHLY2" hidden="1">[12]weekly!#REF!</definedName>
    <definedName name="__123Graph_EPIC" localSheetId="50" hidden="1">'[13]T3 Page 1'!#REF!</definedName>
    <definedName name="__123Graph_EPIC" localSheetId="32" hidden="1">'[13]T3 Page 1'!#REF!</definedName>
    <definedName name="__123Graph_EPIC" localSheetId="58" hidden="1">'[13]T3 Page 1'!#REF!</definedName>
    <definedName name="__123Graph_EPIC" localSheetId="23" hidden="1">'[13]T3 Page 1'!#REF!</definedName>
    <definedName name="__123Graph_EPIC" localSheetId="24" hidden="1">'[13]T3 Page 1'!#REF!</definedName>
    <definedName name="__123Graph_EPIC" hidden="1">'[13]T3 Page 1'!#REF!</definedName>
    <definedName name="__123Graph_F" hidden="1">[8]table!$F$14:$F$16</definedName>
    <definedName name="__123Graph_FACT13BUD" localSheetId="50" hidden="1">'[13]FC Page 1'!#REF!</definedName>
    <definedName name="__123Graph_FACT13BUD" localSheetId="32" hidden="1">'[13]FC Page 1'!#REF!</definedName>
    <definedName name="__123Graph_FACT13BUD" localSheetId="58" hidden="1">'[13]FC Page 1'!#REF!</definedName>
    <definedName name="__123Graph_FACT13BUD" localSheetId="23" hidden="1">'[13]FC Page 1'!#REF!</definedName>
    <definedName name="__123Graph_FACT13BUD" localSheetId="24" hidden="1">'[13]FC Page 1'!#REF!</definedName>
    <definedName name="__123Graph_FACT13BUD" hidden="1">'[13]FC Page 1'!#REF!</definedName>
    <definedName name="__123Graph_FCFSUK" localSheetId="50" hidden="1">[6]Data!#REF!</definedName>
    <definedName name="__123Graph_FCFSUK" localSheetId="32" hidden="1">[6]Data!#REF!</definedName>
    <definedName name="__123Graph_FCFSUK" localSheetId="58" hidden="1">[7]Data!#REF!</definedName>
    <definedName name="__123Graph_FCFSUK" localSheetId="23" hidden="1">[7]Data!#REF!</definedName>
    <definedName name="__123Graph_FCFSUK" localSheetId="24" hidden="1">[7]Data!#REF!</definedName>
    <definedName name="__123Graph_FCFSUK" hidden="1">[6]Data!#REF!</definedName>
    <definedName name="__123Graph_FChart1" hidden="1">[8]table!$F$14:$F$16</definedName>
    <definedName name="__123Graph_FCurrent" hidden="1">[8]table!$F$14:$F$16</definedName>
    <definedName name="__123Graph_FEFF" localSheetId="50" hidden="1">'[13]T3 Page 1'!#REF!</definedName>
    <definedName name="__123Graph_FEFF" localSheetId="32" hidden="1">'[13]T3 Page 1'!#REF!</definedName>
    <definedName name="__123Graph_FEFF" localSheetId="23" hidden="1">'[13]T3 Page 1'!#REF!</definedName>
    <definedName name="__123Graph_FEFF" localSheetId="24" hidden="1">'[13]T3 Page 1'!#REF!</definedName>
    <definedName name="__123Graph_FEFF" hidden="1">'[13]T3 Page 1'!#REF!</definedName>
    <definedName name="__123Graph_FEFFHIC" localSheetId="50" hidden="1">'[13]FC Page 1'!#REF!</definedName>
    <definedName name="__123Graph_FEFFHIC" localSheetId="32" hidden="1">'[13]FC Page 1'!#REF!</definedName>
    <definedName name="__123Graph_FEFFHIC" localSheetId="23" hidden="1">'[13]FC Page 1'!#REF!</definedName>
    <definedName name="__123Graph_FEFFHIC" localSheetId="24" hidden="1">'[13]FC Page 1'!#REF!</definedName>
    <definedName name="__123Graph_FEFFHIC" hidden="1">'[13]FC Page 1'!#REF!</definedName>
    <definedName name="__123Graph_FGR14PBF1" localSheetId="58" hidden="1">'[14]HIS19FIN(A)'!$AH$67:$AH$67</definedName>
    <definedName name="__123Graph_FGR14PBF1" localSheetId="23" hidden="1">'[15]HIS19FIN(A)'!$AH$67:$AH$67</definedName>
    <definedName name="__123Graph_FGR14PBF1" localSheetId="24" hidden="1">'[15]HIS19FIN(A)'!$AH$67:$AH$67</definedName>
    <definedName name="__123Graph_FGR14PBF1" hidden="1">'[16]HIS19FIN(A)'!$AH$67:$AH$67</definedName>
    <definedName name="__123Graph_FLBF" localSheetId="50" hidden="1">'[13]T3 Page 1'!#REF!</definedName>
    <definedName name="__123Graph_FLBF" localSheetId="32" hidden="1">'[13]T3 Page 1'!#REF!</definedName>
    <definedName name="__123Graph_FLBF" localSheetId="58" hidden="1">'[13]T3 Page 1'!#REF!</definedName>
    <definedName name="__123Graph_FLBF" localSheetId="23" hidden="1">'[13]T3 Page 1'!#REF!</definedName>
    <definedName name="__123Graph_FLBF" localSheetId="24" hidden="1">'[13]T3 Page 1'!#REF!</definedName>
    <definedName name="__123Graph_FLBF" hidden="1">'[13]T3 Page 1'!#REF!</definedName>
    <definedName name="__123Graph_FMONTHLY2" hidden="1">[12]weekly!#REF!</definedName>
    <definedName name="__123Graph_FPIC" localSheetId="50" hidden="1">'[13]T3 Page 1'!#REF!</definedName>
    <definedName name="__123Graph_FPIC" localSheetId="32" hidden="1">'[13]T3 Page 1'!#REF!</definedName>
    <definedName name="__123Graph_FPIC" localSheetId="58" hidden="1">'[13]T3 Page 1'!#REF!</definedName>
    <definedName name="__123Graph_FPIC" localSheetId="23" hidden="1">'[13]T3 Page 1'!#REF!</definedName>
    <definedName name="__123Graph_FPIC" localSheetId="24" hidden="1">'[13]T3 Page 1'!#REF!</definedName>
    <definedName name="__123Graph_FPIC" hidden="1">'[13]T3 Page 1'!#REF!</definedName>
    <definedName name="__123Graph_G" hidden="1">'[4]Model inputs'!#REF!</definedName>
    <definedName name="__123Graph_LBL_ARESID" localSheetId="58" hidden="1">'[14]HIS19FIN(A)'!$R$3:$W$3</definedName>
    <definedName name="__123Graph_LBL_ARESID" localSheetId="23" hidden="1">'[15]HIS19FIN(A)'!$R$3:$W$3</definedName>
    <definedName name="__123Graph_LBL_ARESID" localSheetId="24" hidden="1">'[15]HIS19FIN(A)'!$R$3:$W$3</definedName>
    <definedName name="__123Graph_LBL_ARESID" hidden="1">'[16]HIS19FIN(A)'!$R$3:$W$3</definedName>
    <definedName name="__123Graph_LBL_BRESID" localSheetId="58" hidden="1">'[14]HIS19FIN(A)'!$R$3:$W$3</definedName>
    <definedName name="__123Graph_LBL_BRESID" localSheetId="23" hidden="1">'[15]HIS19FIN(A)'!$R$3:$W$3</definedName>
    <definedName name="__123Graph_LBL_BRESID" localSheetId="24" hidden="1">'[15]HIS19FIN(A)'!$R$3:$W$3</definedName>
    <definedName name="__123Graph_LBL_BRESID" hidden="1">'[16]HIS19FIN(A)'!$R$3:$W$3</definedName>
    <definedName name="__123Graph_X" localSheetId="50" hidden="1">'[5]Forecast data'!#REF!</definedName>
    <definedName name="__123Graph_X" localSheetId="32" hidden="1">'[5]Forecast data'!#REF!</definedName>
    <definedName name="__123Graph_X" localSheetId="58" hidden="1">'[5]Forecast data'!#REF!</definedName>
    <definedName name="__123Graph_X" localSheetId="23" hidden="1">'[5]Forecast data'!#REF!</definedName>
    <definedName name="__123Graph_X" localSheetId="24" hidden="1">'[5]Forecast data'!#REF!</definedName>
    <definedName name="__123Graph_X" hidden="1">'[5]Forecast data'!#REF!</definedName>
    <definedName name="__123Graph_XACTHIC" localSheetId="50" hidden="1">'[13]FC Page 1'!#REF!</definedName>
    <definedName name="__123Graph_XACTHIC" localSheetId="32" hidden="1">'[13]FC Page 1'!#REF!</definedName>
    <definedName name="__123Graph_XACTHIC" localSheetId="58" hidden="1">'[13]FC Page 1'!#REF!</definedName>
    <definedName name="__123Graph_XACTHIC" localSheetId="23" hidden="1">'[13]FC Page 1'!#REF!</definedName>
    <definedName name="__123Graph_XACTHIC" localSheetId="24" hidden="1">'[13]FC Page 1'!#REF!</definedName>
    <definedName name="__123Graph_XACTHIC" hidden="1">'[13]FC Page 1'!#REF!</definedName>
    <definedName name="__123Graph_XALLTAX" localSheetId="50" hidden="1">'[5]Forecast data'!#REF!</definedName>
    <definedName name="__123Graph_XALLTAX" localSheetId="32" hidden="1">'[5]Forecast data'!#REF!</definedName>
    <definedName name="__123Graph_XALLTAX" localSheetId="58" hidden="1">'[5]Forecast data'!#REF!</definedName>
    <definedName name="__123Graph_XALLTAX" localSheetId="23" hidden="1">'[5]Forecast data'!#REF!</definedName>
    <definedName name="__123Graph_XALLTAX" localSheetId="24" hidden="1">'[5]Forecast data'!#REF!</definedName>
    <definedName name="__123Graph_XALLTAX" hidden="1">'[5]Forecast data'!#REF!</definedName>
    <definedName name="__123Graph_XChart1" hidden="1">[8]table!$A$14:$A$16</definedName>
    <definedName name="__123Graph_XCHGSPD1" localSheetId="58" hidden="1">'[9]CHGSPD19.FIN'!$A$10:$A$25</definedName>
    <definedName name="__123Graph_XCHGSPD1" localSheetId="23" hidden="1">'[10]CHGSPD19.FIN'!$A$10:$A$25</definedName>
    <definedName name="__123Graph_XCHGSPD1" localSheetId="24" hidden="1">'[10]CHGSPD19.FIN'!$A$10:$A$25</definedName>
    <definedName name="__123Graph_XCHGSPD1" hidden="1">'[11]CHGSPD19.FIN'!$A$10:$A$25</definedName>
    <definedName name="__123Graph_XCHGSPD2" localSheetId="58" hidden="1">'[9]CHGSPD19.FIN'!$A$11:$A$25</definedName>
    <definedName name="__123Graph_XCHGSPD2" localSheetId="23" hidden="1">'[10]CHGSPD19.FIN'!$A$11:$A$25</definedName>
    <definedName name="__123Graph_XCHGSPD2" localSheetId="24" hidden="1">'[10]CHGSPD19.FIN'!$A$11:$A$25</definedName>
    <definedName name="__123Graph_XCHGSPD2" hidden="1">'[11]CHGSPD19.FIN'!$A$11:$A$25</definedName>
    <definedName name="__123Graph_XCurrent" hidden="1">[8]table!$A$14:$A$16</definedName>
    <definedName name="__123Graph_XEFF" localSheetId="50" hidden="1">'[13]T3 Page 1'!#REF!</definedName>
    <definedName name="__123Graph_XEFF" localSheetId="32" hidden="1">'[13]T3 Page 1'!#REF!</definedName>
    <definedName name="__123Graph_XEFF" localSheetId="58" hidden="1">'[13]T3 Page 1'!#REF!</definedName>
    <definedName name="__123Graph_XEFF" localSheetId="23" hidden="1">'[13]T3 Page 1'!#REF!</definedName>
    <definedName name="__123Graph_XEFF" localSheetId="24" hidden="1">'[13]T3 Page 1'!#REF!</definedName>
    <definedName name="__123Graph_XEFF" hidden="1">'[13]T3 Page 1'!#REF!</definedName>
    <definedName name="__123Graph_XGR14PBF1" localSheetId="58" hidden="1">'[14]HIS19FIN(A)'!$AL$70:$AL$81</definedName>
    <definedName name="__123Graph_XGR14PBF1" localSheetId="23" hidden="1">'[15]HIS19FIN(A)'!$AL$70:$AL$81</definedName>
    <definedName name="__123Graph_XGR14PBF1" localSheetId="24" hidden="1">'[15]HIS19FIN(A)'!$AL$70:$AL$81</definedName>
    <definedName name="__123Graph_XGR14PBF1" hidden="1">'[16]HIS19FIN(A)'!$AL$70:$AL$81</definedName>
    <definedName name="__123Graph_XHOMEVAT" localSheetId="50" hidden="1">'[5]Forecast data'!#REF!</definedName>
    <definedName name="__123Graph_XHOMEVAT" localSheetId="32" hidden="1">'[5]Forecast data'!#REF!</definedName>
    <definedName name="__123Graph_XHOMEVAT" localSheetId="58" hidden="1">'[5]Forecast data'!#REF!</definedName>
    <definedName name="__123Graph_XHOMEVAT" localSheetId="23" hidden="1">'[5]Forecast data'!#REF!</definedName>
    <definedName name="__123Graph_XHOMEVAT" localSheetId="24" hidden="1">'[5]Forecast data'!#REF!</definedName>
    <definedName name="__123Graph_XHOMEVAT" hidden="1">'[5]Forecast data'!#REF!</definedName>
    <definedName name="__123Graph_XIMPORT" localSheetId="50" hidden="1">'[5]Forecast data'!#REF!</definedName>
    <definedName name="__123Graph_XIMPORT" localSheetId="32" hidden="1">'[5]Forecast data'!#REF!</definedName>
    <definedName name="__123Graph_XIMPORT" localSheetId="58" hidden="1">'[5]Forecast data'!#REF!</definedName>
    <definedName name="__123Graph_XIMPORT" localSheetId="23" hidden="1">'[5]Forecast data'!#REF!</definedName>
    <definedName name="__123Graph_XIMPORT" localSheetId="24" hidden="1">'[5]Forecast data'!#REF!</definedName>
    <definedName name="__123Graph_XIMPORT" hidden="1">'[5]Forecast data'!#REF!</definedName>
    <definedName name="__123Graph_XLBF" localSheetId="50" hidden="1">'[13]T3 Page 1'!#REF!</definedName>
    <definedName name="__123Graph_XLBF" localSheetId="32" hidden="1">'[13]T3 Page 1'!#REF!</definedName>
    <definedName name="__123Graph_XLBF" localSheetId="58" hidden="1">'[13]T3 Page 1'!#REF!</definedName>
    <definedName name="__123Graph_XLBF" localSheetId="23" hidden="1">'[13]T3 Page 1'!#REF!</definedName>
    <definedName name="__123Graph_XLBF" localSheetId="24" hidden="1">'[13]T3 Page 1'!#REF!</definedName>
    <definedName name="__123Graph_XLBF" hidden="1">'[13]T3 Page 1'!#REF!</definedName>
    <definedName name="__123Graph_XLBFFIN2" localSheetId="58" hidden="1">'[14]HIS19FIN(A)'!$K$61:$Q$61</definedName>
    <definedName name="__123Graph_XLBFFIN2" localSheetId="23" hidden="1">'[15]HIS19FIN(A)'!$K$61:$Q$61</definedName>
    <definedName name="__123Graph_XLBFFIN2" localSheetId="24" hidden="1">'[15]HIS19FIN(A)'!$K$61:$Q$61</definedName>
    <definedName name="__123Graph_XLBFFIN2" hidden="1">'[16]HIS19FIN(A)'!$K$61:$Q$61</definedName>
    <definedName name="__123Graph_XLBFHIC" localSheetId="58" hidden="1">'[14]HIS19FIN(A)'!$D$61:$J$61</definedName>
    <definedName name="__123Graph_XLBFHIC" localSheetId="23" hidden="1">'[15]HIS19FIN(A)'!$D$61:$J$61</definedName>
    <definedName name="__123Graph_XLBFHIC" localSheetId="24" hidden="1">'[15]HIS19FIN(A)'!$D$61:$J$61</definedName>
    <definedName name="__123Graph_XLBFHIC" hidden="1">'[16]HIS19FIN(A)'!$D$61:$J$61</definedName>
    <definedName name="__123Graph_XLBFHIC2" localSheetId="58" hidden="1">'[14]HIS19FIN(A)'!$D$61:$J$61</definedName>
    <definedName name="__123Graph_XLBFHIC2" localSheetId="23" hidden="1">'[15]HIS19FIN(A)'!$D$61:$J$61</definedName>
    <definedName name="__123Graph_XLBFHIC2" localSheetId="24" hidden="1">'[15]HIS19FIN(A)'!$D$61:$J$61</definedName>
    <definedName name="__123Graph_XLBFHIC2" hidden="1">'[16]HIS19FIN(A)'!$D$61:$J$61</definedName>
    <definedName name="__123Graph_XLCB" localSheetId="58" hidden="1">'[14]HIS19FIN(A)'!$D$79:$I$79</definedName>
    <definedName name="__123Graph_XLCB" localSheetId="23" hidden="1">'[15]HIS19FIN(A)'!$D$79:$I$79</definedName>
    <definedName name="__123Graph_XLCB" localSheetId="24" hidden="1">'[15]HIS19FIN(A)'!$D$79:$I$79</definedName>
    <definedName name="__123Graph_XLCB" hidden="1">'[16]HIS19FIN(A)'!$D$79:$I$79</definedName>
    <definedName name="__123Graph_XMAIN" hidden="1">[12]weekly!#REF!</definedName>
    <definedName name="__123Graph_XMONTHLY" hidden="1">[12]weekly!#REF!</definedName>
    <definedName name="__123Graph_XMONTHLY2" hidden="1">[12]weekly!#REF!</definedName>
    <definedName name="__123Graph_XNACFIN" localSheetId="58" hidden="1">'[14]HIS19FIN(A)'!$K$95:$Q$95</definedName>
    <definedName name="__123Graph_XNACFIN" localSheetId="23" hidden="1">'[15]HIS19FIN(A)'!$K$95:$Q$95</definedName>
    <definedName name="__123Graph_XNACFIN" localSheetId="24" hidden="1">'[15]HIS19FIN(A)'!$K$95:$Q$95</definedName>
    <definedName name="__123Graph_XNACFIN" hidden="1">'[16]HIS19FIN(A)'!$K$95:$Q$95</definedName>
    <definedName name="__123Graph_XNACHIC" localSheetId="58" hidden="1">'[14]HIS19FIN(A)'!$D$95:$J$95</definedName>
    <definedName name="__123Graph_XNACHIC" localSheetId="23" hidden="1">'[15]HIS19FIN(A)'!$D$95:$J$95</definedName>
    <definedName name="__123Graph_XNACHIC" localSheetId="24" hidden="1">'[15]HIS19FIN(A)'!$D$95:$J$95</definedName>
    <definedName name="__123Graph_XNACHIC" hidden="1">'[16]HIS19FIN(A)'!$D$95:$J$95</definedName>
    <definedName name="__123Graph_XPDNUMBERS" localSheetId="23" hidden="1">'[17]SUMMARY TABLE'!$Q$6:$Q$49</definedName>
    <definedName name="__123Graph_XPDNUMBERS" localSheetId="24" hidden="1">'[17]SUMMARY TABLE'!$Q$6:$Q$49</definedName>
    <definedName name="__123Graph_XPDNUMBERS" hidden="1">'[18]SUMMARY TABLE'!$Q$6:$Q$49</definedName>
    <definedName name="__123Graph_XPDTRENDS" localSheetId="23" hidden="1">'[17]SUMMARY TABLE'!$P$23:$P$46</definedName>
    <definedName name="__123Graph_XPDTRENDS" localSheetId="24" hidden="1">'[17]SUMMARY TABLE'!$P$23:$P$46</definedName>
    <definedName name="__123Graph_XPDTRENDS" hidden="1">'[18]SUMMARY TABLE'!$P$23:$P$46</definedName>
    <definedName name="__123Graph_XPIC" localSheetId="50" hidden="1">'[13]T3 Page 1'!#REF!</definedName>
    <definedName name="__123Graph_XPIC" localSheetId="32" hidden="1">'[13]T3 Page 1'!#REF!</definedName>
    <definedName name="__123Graph_XPIC" localSheetId="58" hidden="1">'[13]T3 Page 1'!#REF!</definedName>
    <definedName name="__123Graph_XPIC" localSheetId="23" hidden="1">'[13]T3 Page 1'!#REF!</definedName>
    <definedName name="__123Graph_XPIC" localSheetId="24" hidden="1">'[13]T3 Page 1'!#REF!</definedName>
    <definedName name="__123Graph_XPIC" hidden="1">'[13]T3 Page 1'!#REF!</definedName>
    <definedName name="__123Graph_XSTAG2ALL" localSheetId="50" hidden="1">'[5]Forecast data'!#REF!</definedName>
    <definedName name="__123Graph_XSTAG2ALL" localSheetId="32" hidden="1">'[5]Forecast data'!#REF!</definedName>
    <definedName name="__123Graph_XSTAG2ALL" localSheetId="58" hidden="1">'[5]Forecast data'!#REF!</definedName>
    <definedName name="__123Graph_XSTAG2ALL" localSheetId="23" hidden="1">'[5]Forecast data'!#REF!</definedName>
    <definedName name="__123Graph_XSTAG2ALL" localSheetId="24" hidden="1">'[5]Forecast data'!#REF!</definedName>
    <definedName name="__123Graph_XSTAG2ALL" hidden="1">'[5]Forecast data'!#REF!</definedName>
    <definedName name="__123Graph_XSTAG2EC" localSheetId="50" hidden="1">'[5]Forecast data'!#REF!</definedName>
    <definedName name="__123Graph_XSTAG2EC" localSheetId="32" hidden="1">'[5]Forecast data'!#REF!</definedName>
    <definedName name="__123Graph_XSTAG2EC" localSheetId="58" hidden="1">'[5]Forecast data'!#REF!</definedName>
    <definedName name="__123Graph_XSTAG2EC" localSheetId="23" hidden="1">'[5]Forecast data'!#REF!</definedName>
    <definedName name="__123Graph_XSTAG2EC" localSheetId="24" hidden="1">'[5]Forecast data'!#REF!</definedName>
    <definedName name="__123Graph_XSTAG2EC" hidden="1">'[5]Forecast data'!#REF!</definedName>
    <definedName name="__123Graph_XTOBREV" localSheetId="50" hidden="1">'[5]Forecast data'!#REF!</definedName>
    <definedName name="__123Graph_XTOBREV" localSheetId="32" hidden="1">'[5]Forecast data'!#REF!</definedName>
    <definedName name="__123Graph_XTOBREV" localSheetId="58" hidden="1">'[5]Forecast data'!#REF!</definedName>
    <definedName name="__123Graph_XTOBREV" localSheetId="23" hidden="1">'[5]Forecast data'!#REF!</definedName>
    <definedName name="__123Graph_XTOBREV" localSheetId="24" hidden="1">'[5]Forecast data'!#REF!</definedName>
    <definedName name="__123Graph_XTOBREV" hidden="1">'[5]Forecast data'!#REF!</definedName>
    <definedName name="__123Graph_XTOTAL" localSheetId="50" hidden="1">'[5]Forecast data'!#REF!</definedName>
    <definedName name="__123Graph_XTOTAL" localSheetId="32" hidden="1">'[5]Forecast data'!#REF!</definedName>
    <definedName name="__123Graph_XTOTAL" hidden="1">'[5]Forecast data'!#REF!</definedName>
    <definedName name="__PC1">[2]PC1!$M$103:$IV$16410</definedName>
    <definedName name="__TAR1">'[3]Unemp by prev job levels'!$B$15</definedName>
    <definedName name="__TAR10">#REF!</definedName>
    <definedName name="__TAR100">'[3]Unemp by prev job levels'!$I$244</definedName>
    <definedName name="__TAR101">'[3]Unemp by prev job levels'!$J$244</definedName>
    <definedName name="__TAR102">'[3]Unemp by prev job levels'!$K$244</definedName>
    <definedName name="__TAR103">'[3]Unemp by prev job levels'!$L$244</definedName>
    <definedName name="__TAR104">'[3]Unemp by prev job levels'!$M$244</definedName>
    <definedName name="__TAR105">'[3]Unemp by prev job levels'!$N$244</definedName>
    <definedName name="__TAR106">'[3]Unemp by prev job levels'!$O$244</definedName>
    <definedName name="__TAR11">#REF!</definedName>
    <definedName name="__TAR12">#REF!</definedName>
    <definedName name="__TAR13">#REF!</definedName>
    <definedName name="__TAR14">#REF!</definedName>
    <definedName name="__TAR15">'[3]Unemp by prev job levels'!$B$88</definedName>
    <definedName name="__TAR17">'[3]Unemp by prev job levels'!$C$88</definedName>
    <definedName name="__TAR18">'[3]Unemp by prev job levels'!$D$88</definedName>
    <definedName name="__TAR19">'[3]Unemp by prev job levels'!$E$88</definedName>
    <definedName name="__TAR20">'[3]Unemp by prev job levels'!$F$88</definedName>
    <definedName name="__TAR21">'[3]Unemp by prev job levels'!$G$88</definedName>
    <definedName name="__TAR22">#REF!</definedName>
    <definedName name="__TAR24">#REF!</definedName>
    <definedName name="__TAR25">#REF!</definedName>
    <definedName name="__TAR26">#REF!</definedName>
    <definedName name="__TAR27">#REF!</definedName>
    <definedName name="__TAR28">#REF!</definedName>
    <definedName name="__TAR29">'[3]Unemp by prev job levels'!$B$161</definedName>
    <definedName name="__TAR3">'[3]Unemp by prev job levels'!$C$15</definedName>
    <definedName name="__TAR31">'[3]Unemp by prev job levels'!$C$161</definedName>
    <definedName name="__TAR32">'[3]Unemp by prev job levels'!$D$161</definedName>
    <definedName name="__TAR33">'[3]Unemp by prev job levels'!$E$161</definedName>
    <definedName name="__TAR34">'[3]Unemp by prev job levels'!$F$161</definedName>
    <definedName name="__TAR35">'[3]Unemp by prev job levels'!$G$161</definedName>
    <definedName name="__TAR36">#REF!</definedName>
    <definedName name="__TAR38">#REF!</definedName>
    <definedName name="__TAR39">#REF!</definedName>
    <definedName name="__TAR4">'[3]Unemp by prev job levels'!$D$15</definedName>
    <definedName name="__TAR40">#REF!</definedName>
    <definedName name="__TAR41">#REF!</definedName>
    <definedName name="__TAR42">#REF!</definedName>
    <definedName name="__TAR43">'[3]Unemp by prev job levels'!$H$15</definedName>
    <definedName name="__TAR44">'[3]Unemp by prev job levels'!$I$15</definedName>
    <definedName name="__TAR45">'[3]Unemp by prev job levels'!$J$15</definedName>
    <definedName name="__TAR46">'[3]Unemp by prev job levels'!$K$15</definedName>
    <definedName name="__TAR47">'[3]Unemp by prev job levels'!$L$15</definedName>
    <definedName name="__TAR48">'[3]Unemp by prev job levels'!$M$15</definedName>
    <definedName name="__TAR49">'[3]Unemp by prev job levels'!$N$15</definedName>
    <definedName name="__TAR5">'[3]Unemp by prev job levels'!$E$15</definedName>
    <definedName name="__TAR50">'[3]Unemp by prev job levels'!$O$15</definedName>
    <definedName name="__TAR51">#REF!</definedName>
    <definedName name="__TAR52">#REF!</definedName>
    <definedName name="__TAR53">#REF!</definedName>
    <definedName name="__TAR54">#REF!</definedName>
    <definedName name="__TAR55">#REF!</definedName>
    <definedName name="__TAR56">#REF!</definedName>
    <definedName name="__TAR57">#REF!</definedName>
    <definedName name="__TAR58">#REF!</definedName>
    <definedName name="__TAR59">'[3]Unemp by prev job levels'!$H$88</definedName>
    <definedName name="__TAR6">'[3]Unemp by prev job levels'!$F$15</definedName>
    <definedName name="__TAR60">'[3]Unemp by prev job levels'!$I$88</definedName>
    <definedName name="__TAR61">'[3]Unemp by prev job levels'!$J$88</definedName>
    <definedName name="__TAR62">'[3]Unemp by prev job levels'!$K$88</definedName>
    <definedName name="__TAR63">'[3]Unemp by prev job levels'!$L$88</definedName>
    <definedName name="__TAR64">'[3]Unemp by prev job levels'!$M$88</definedName>
    <definedName name="__TAR65">'[3]Unemp by prev job levels'!$N$88</definedName>
    <definedName name="__TAR66">'[3]Unemp by prev job levels'!$O$88</definedName>
    <definedName name="__TAR67">#REF!</definedName>
    <definedName name="__TAR68">#REF!</definedName>
    <definedName name="__TAR69">#REF!</definedName>
    <definedName name="__TAR7">'[3]Unemp by prev job levels'!$G$15</definedName>
    <definedName name="__TAR70">#REF!</definedName>
    <definedName name="__TAR71">#REF!</definedName>
    <definedName name="__TAR72">#REF!</definedName>
    <definedName name="__TAR73">#REF!</definedName>
    <definedName name="__TAR74">#REF!</definedName>
    <definedName name="__TAR75">'[3]Unemp by prev job levels'!$H$161</definedName>
    <definedName name="__TAR76">'[3]Unemp by prev job levels'!$I$161</definedName>
    <definedName name="__TAR77">'[3]Unemp by prev job levels'!$J$161</definedName>
    <definedName name="__TAR78">'[3]Unemp by prev job levels'!$K$161</definedName>
    <definedName name="__TAR79">'[3]Unemp by prev job levels'!$L$161</definedName>
    <definedName name="__TAR8">#REF!</definedName>
    <definedName name="__TAR80">'[3]Unemp by prev job levels'!$M$161</definedName>
    <definedName name="__TAR81">'[3]Unemp by prev job levels'!$N$161</definedName>
    <definedName name="__TAR82">'[3]Unemp by prev job levels'!$O$161</definedName>
    <definedName name="__TAR83">#REF!</definedName>
    <definedName name="__TAR84">#REF!</definedName>
    <definedName name="__TAR85">#REF!</definedName>
    <definedName name="__TAR86">#REF!</definedName>
    <definedName name="__TAR87">#REF!</definedName>
    <definedName name="__TAR88">#REF!</definedName>
    <definedName name="__TAR89">#REF!</definedName>
    <definedName name="__TAR90">#REF!</definedName>
    <definedName name="__TAR92">'[3]Unemp by prev job levels'!$B$244</definedName>
    <definedName name="__TAR94">'[3]Unemp by prev job levels'!$C$244</definedName>
    <definedName name="__TAR95">'[3]Unemp by prev job levels'!$D$244</definedName>
    <definedName name="__TAR96">'[3]Unemp by prev job levels'!$E$244</definedName>
    <definedName name="__TAR97">'[3]Unemp by prev job levels'!$F$244</definedName>
    <definedName name="__TAR98">'[3]Unemp by prev job levels'!$G$244</definedName>
    <definedName name="__TAR99">'[3]Unemp by prev job levels'!$H$244</definedName>
    <definedName name="_1_" localSheetId="50">#REF!</definedName>
    <definedName name="_1_" localSheetId="32">#REF!</definedName>
    <definedName name="_1_" localSheetId="58">#REF!</definedName>
    <definedName name="_1_">#REF!</definedName>
    <definedName name="_1__123Graph_ACHART_15" hidden="1">[19]USGC!$B$34:$B$53</definedName>
    <definedName name="_1__123Graph_XTOB" hidden="1">'[20]Forecast data'!#REF!</definedName>
    <definedName name="_1_0">#REF!</definedName>
    <definedName name="_10__123Graph_XCHART_15" hidden="1">[19]USGC!$A$34:$A$53</definedName>
    <definedName name="_123Graph_FLBT" hidden="1">'[13]T3 Page 1'!#REF!</definedName>
    <definedName name="_2__123Graph_BCHART_10" hidden="1">[19]USGC!$L$34:$L$53</definedName>
    <definedName name="_2__123Graph_XTOB" hidden="1">'[20]Forecast data'!#REF!</definedName>
    <definedName name="_2_0">#REF!</definedName>
    <definedName name="_2_0ecm">#REF!</definedName>
    <definedName name="_2004_Data_entered">#REF!</definedName>
    <definedName name="_2012_13_Q1">#REF!</definedName>
    <definedName name="_2012_13_Q2">#REF!</definedName>
    <definedName name="_2019_20">[21]lists!$A$1:$A$3</definedName>
    <definedName name="_2754_0ecm">#REF!</definedName>
    <definedName name="_2ecm" localSheetId="50">#REF!</definedName>
    <definedName name="_2ecm" localSheetId="32">#REF!</definedName>
    <definedName name="_2ecm" localSheetId="58">#REF!</definedName>
    <definedName name="_2ecm">#REF!</definedName>
    <definedName name="_3__123Graph_BCHART_13" hidden="1">[19]USGC!$R$34:$R$53</definedName>
    <definedName name="_3_0ecm">#REF!</definedName>
    <definedName name="_3_0ecw">#REF!</definedName>
    <definedName name="_3ecw" localSheetId="50">#REF!</definedName>
    <definedName name="_3ecw" localSheetId="32">#REF!</definedName>
    <definedName name="_3ecw" localSheetId="58">#REF!</definedName>
    <definedName name="_3ecw">#REF!</definedName>
    <definedName name="_4__123Graph_BCHART_15" hidden="1">[19]USGC!$C$34:$C$53</definedName>
    <definedName name="_4_0ecm">#REF!</definedName>
    <definedName name="_4131_0ecw">#REF!</definedName>
    <definedName name="_5__123Graph_CCHART_10" hidden="1">[19]USGC!$F$34:$F$53</definedName>
    <definedName name="_5_0ecw">#REF!</definedName>
    <definedName name="_567" hidden="1">[6]Data!#REF!</definedName>
    <definedName name="_586Home_" hidden="1">'[5]Forecast data'!#REF!</definedName>
    <definedName name="_6__123Graph_CCHART_13" hidden="1">[19]USGC!$O$34:$O$53</definedName>
    <definedName name="_6_0ecw">#REF!</definedName>
    <definedName name="_7__123Graph_CCHART_15" hidden="1">[19]USGC!$D$34:$D$53</definedName>
    <definedName name="_8__123Graph_XCHART_10" hidden="1">[19]USGC!$A$34:$A$53</definedName>
    <definedName name="_9__123Graph_XCHART_13" hidden="1">[19]USGC!$A$34:$A$53</definedName>
    <definedName name="_a190000">#REF!</definedName>
    <definedName name="_ADS2010">[22]ADS2010_Map!$G$7:$G$388</definedName>
    <definedName name="_AMO_UniqueIdentifier" hidden="1">"'ffa00cf8-6c1d-44ea-bc41-890a9792086d'"</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4</definedName>
    <definedName name="_AtRisk_SimSetting_ReportsList_1" hidden="1">4</definedName>
    <definedName name="_AtRisk_SimSetting_SimName001" hidden="1">"Historical"</definedName>
    <definedName name="_AtRisk_SimSetting_SimName002" hidden="1">"Household projections"</definedName>
    <definedName name="_AtRisk_SimSetting_SimName003" hidden="1">"Local plans"</definedName>
    <definedName name="_AtRisk_SimSetting_SimName004" hidden="1">"Adjusted local plans"</definedName>
    <definedName name="_AtRisk_SimSetting_SimName005" hidden="1">"Manual"</definedName>
    <definedName name="_AtRisk_SimSetting_SimName006" hidden="1">"Min Net Additions"</definedName>
    <definedName name="_AtRisk_SimSetting_SimName007" hidden="1">"Central Net Additions"</definedName>
    <definedName name="_AtRisk_SimSetting_SimName008" hidden="1">"Max Net Additions"</definedName>
    <definedName name="_AtRisk_SimSetting_SimNameCount" hidden="1">8</definedName>
    <definedName name="_AtRisk_SimSetting_SimNameCount_1" hidden="1">8</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Behavior_1" hidden="1">1</definedName>
    <definedName name="_AtRisk_SimSetting_StdRecalcWithoutRiskStatic" hidden="1">0</definedName>
    <definedName name="_AtRisk_SimSetting_StdRecalcWithoutRiskStaticPercentile" hidden="1">0.5</definedName>
    <definedName name="_CTR1">#REF!</definedName>
    <definedName name="_Fill" localSheetId="50" hidden="1">'[5]Forecast data'!#REF!</definedName>
    <definedName name="_Fill" localSheetId="32" hidden="1">'[5]Forecast data'!#REF!</definedName>
    <definedName name="_Fill" localSheetId="58" hidden="1">'[5]Forecast data'!#REF!</definedName>
    <definedName name="_Fill" localSheetId="23" hidden="1">'[5]Forecast data'!#REF!</definedName>
    <definedName name="_Fill" localSheetId="24" hidden="1">'[5]Forecast data'!#REF!</definedName>
    <definedName name="_Fill" hidden="1">'[5]Forecast data'!#REF!</definedName>
    <definedName name="_xlnm._FilterDatabase" localSheetId="33" hidden="1">'Historic spend V1'!$A$1:$BV$83</definedName>
    <definedName name="_xlnm._FilterDatabase" hidden="1">#REF!</definedName>
    <definedName name="_FilterDatabase1" hidden="1">#REF!</definedName>
    <definedName name="_FliterDatabase2" hidden="1">#REF!</definedName>
    <definedName name="_HIDE72_83">#REF!</definedName>
    <definedName name="_HIDE72_89">#REF!</definedName>
    <definedName name="_HIDE84_95">#REF!</definedName>
    <definedName name="_Key1" localSheetId="50" hidden="1">#REF!</definedName>
    <definedName name="_Key1" localSheetId="32" hidden="1">#REF!</definedName>
    <definedName name="_Key1" localSheetId="58" hidden="1">#REF!</definedName>
    <definedName name="_Key1" hidden="1">#REF!</definedName>
    <definedName name="_LA1">#REF!</definedName>
    <definedName name="_NIF6002">[1]NICs!#REF!</definedName>
    <definedName name="_NIF8504">[1]NICs!#REF!</definedName>
    <definedName name="_Order1" hidden="1">255</definedName>
    <definedName name="_Order2" localSheetId="58" hidden="1">0</definedName>
    <definedName name="_Order2" hidden="1">255</definedName>
    <definedName name="_PC1">[2]PC1!$M$103:$IV$16410</definedName>
    <definedName name="_PFICHARGES">'[23]Capital finance'!#REF!</definedName>
    <definedName name="_PRv2">#REF!</definedName>
    <definedName name="_PUv2">#REF!</definedName>
    <definedName name="_QRC4">#REF!</definedName>
    <definedName name="_ra1tot">'[24]EPCS Bits'!#REF!</definedName>
    <definedName name="_Regression_Int" hidden="1">1</definedName>
    <definedName name="_Regression_Out" localSheetId="50" hidden="1">#REF!</definedName>
    <definedName name="_Regression_Out" localSheetId="32" hidden="1">#REF!</definedName>
    <definedName name="_Regression_Out" localSheetId="58" hidden="1">#REF!</definedName>
    <definedName name="_Regression_Out" hidden="1">#REF!</definedName>
    <definedName name="_Regression_X" localSheetId="50" hidden="1">#REF!</definedName>
    <definedName name="_Regression_X" localSheetId="32" hidden="1">#REF!</definedName>
    <definedName name="_Regression_X" localSheetId="58" hidden="1">#REF!</definedName>
    <definedName name="_Regression_X" hidden="1">#REF!</definedName>
    <definedName name="_Regression_Y" localSheetId="50" hidden="1">#REF!</definedName>
    <definedName name="_Regression_Y" localSheetId="32" hidden="1">#REF!</definedName>
    <definedName name="_Regression_Y" localSheetId="58" hidden="1">#REF!</definedName>
    <definedName name="_Regression_Y" hidden="1">#REF!</definedName>
    <definedName name="_sfra1">'[24]Scaling Factor'!#REF!</definedName>
    <definedName name="_Sort" localSheetId="58" hidden="1">#REF!</definedName>
    <definedName name="_Sort" hidden="1">#REF!</definedName>
    <definedName name="_T4A">#REF!</definedName>
    <definedName name="_T4B">#REF!</definedName>
    <definedName name="_T5A">#REF!</definedName>
    <definedName name="_T5B">#REF!</definedName>
    <definedName name="_T5C">#REF!</definedName>
    <definedName name="_TAB2">#REF!</definedName>
    <definedName name="_TAB9">#REF!</definedName>
    <definedName name="_TAR1">'[3]Unemp by prev job levels'!$B$15</definedName>
    <definedName name="_TAR10">#REF!</definedName>
    <definedName name="_TAR100">'[3]Unemp by prev job levels'!$I$244</definedName>
    <definedName name="_TAR101">'[3]Unemp by prev job levels'!$J$244</definedName>
    <definedName name="_TAR102">'[3]Unemp by prev job levels'!$K$244</definedName>
    <definedName name="_TAR103">'[3]Unemp by prev job levels'!$L$244</definedName>
    <definedName name="_TAR104">'[3]Unemp by prev job levels'!$M$244</definedName>
    <definedName name="_TAR105">'[3]Unemp by prev job levels'!$N$244</definedName>
    <definedName name="_TAR106">'[3]Unemp by prev job levels'!$O$244</definedName>
    <definedName name="_TAR11">#REF!</definedName>
    <definedName name="_TAR12">#REF!</definedName>
    <definedName name="_TAR13">#REF!</definedName>
    <definedName name="_TAR14">#REF!</definedName>
    <definedName name="_TAR15">'[3]Unemp by prev job levels'!$B$88</definedName>
    <definedName name="_TAR17">'[3]Unemp by prev job levels'!$C$88</definedName>
    <definedName name="_TAR18">'[3]Unemp by prev job levels'!$D$88</definedName>
    <definedName name="_TAR19">'[3]Unemp by prev job levels'!$E$88</definedName>
    <definedName name="_TAR20">'[3]Unemp by prev job levels'!$F$88</definedName>
    <definedName name="_TAR21">'[3]Unemp by prev job levels'!$G$88</definedName>
    <definedName name="_TAR22">#REF!</definedName>
    <definedName name="_TAR24">#REF!</definedName>
    <definedName name="_TAR25">#REF!</definedName>
    <definedName name="_TAR26">#REF!</definedName>
    <definedName name="_TAR27">#REF!</definedName>
    <definedName name="_TAR28">#REF!</definedName>
    <definedName name="_TAR29">'[3]Unemp by prev job levels'!$B$161</definedName>
    <definedName name="_TAR3">'[3]Unemp by prev job levels'!$C$15</definedName>
    <definedName name="_TAR31">'[3]Unemp by prev job levels'!$C$161</definedName>
    <definedName name="_TAR32">'[3]Unemp by prev job levels'!$D$161</definedName>
    <definedName name="_TAR33">'[3]Unemp by prev job levels'!$E$161</definedName>
    <definedName name="_TAR34">'[3]Unemp by prev job levels'!$F$161</definedName>
    <definedName name="_TAR35">'[3]Unemp by prev job levels'!$G$161</definedName>
    <definedName name="_TAR36">#REF!</definedName>
    <definedName name="_TAR38">#REF!</definedName>
    <definedName name="_TAR39">#REF!</definedName>
    <definedName name="_TAR4">'[3]Unemp by prev job levels'!$D$15</definedName>
    <definedName name="_TAR40">#REF!</definedName>
    <definedName name="_TAR41">#REF!</definedName>
    <definedName name="_TAR42">#REF!</definedName>
    <definedName name="_TAR43">'[3]Unemp by prev job levels'!$H$15</definedName>
    <definedName name="_TAR44">'[3]Unemp by prev job levels'!$I$15</definedName>
    <definedName name="_TAR45">'[3]Unemp by prev job levels'!$J$15</definedName>
    <definedName name="_TAR46">'[3]Unemp by prev job levels'!$K$15</definedName>
    <definedName name="_TAR47">'[3]Unemp by prev job levels'!$L$15</definedName>
    <definedName name="_TAR48">'[3]Unemp by prev job levels'!$M$15</definedName>
    <definedName name="_TAR49">'[3]Unemp by prev job levels'!$N$15</definedName>
    <definedName name="_TAR5">'[3]Unemp by prev job levels'!$E$15</definedName>
    <definedName name="_TAR50">'[3]Unemp by prev job levels'!$O$15</definedName>
    <definedName name="_TAR51">#REF!</definedName>
    <definedName name="_TAR52">#REF!</definedName>
    <definedName name="_TAR53">#REF!</definedName>
    <definedName name="_TAR54">#REF!</definedName>
    <definedName name="_TAR55">#REF!</definedName>
    <definedName name="_TAR56">#REF!</definedName>
    <definedName name="_TAR57">#REF!</definedName>
    <definedName name="_TAR58">#REF!</definedName>
    <definedName name="_TAR59">'[3]Unemp by prev job levels'!$H$88</definedName>
    <definedName name="_TAR6">'[3]Unemp by prev job levels'!$F$15</definedName>
    <definedName name="_TAR60">'[3]Unemp by prev job levels'!$I$88</definedName>
    <definedName name="_TAR61">'[3]Unemp by prev job levels'!$J$88</definedName>
    <definedName name="_TAR62">'[3]Unemp by prev job levels'!$K$88</definedName>
    <definedName name="_TAR63">'[3]Unemp by prev job levels'!$L$88</definedName>
    <definedName name="_TAR64">'[3]Unemp by prev job levels'!$M$88</definedName>
    <definedName name="_TAR65">'[3]Unemp by prev job levels'!$N$88</definedName>
    <definedName name="_TAR66">'[3]Unemp by prev job levels'!$O$88</definedName>
    <definedName name="_TAR67">#REF!</definedName>
    <definedName name="_TAR68">#REF!</definedName>
    <definedName name="_TAR69">#REF!</definedName>
    <definedName name="_TAR7">'[3]Unemp by prev job levels'!$G$15</definedName>
    <definedName name="_TAR70">#REF!</definedName>
    <definedName name="_TAR71">#REF!</definedName>
    <definedName name="_TAR72">#REF!</definedName>
    <definedName name="_TAR73">#REF!</definedName>
    <definedName name="_TAR74">#REF!</definedName>
    <definedName name="_TAR75">'[3]Unemp by prev job levels'!$H$161</definedName>
    <definedName name="_TAR76">'[3]Unemp by prev job levels'!$I$161</definedName>
    <definedName name="_TAR77">'[3]Unemp by prev job levels'!$J$161</definedName>
    <definedName name="_TAR78">'[3]Unemp by prev job levels'!$K$161</definedName>
    <definedName name="_TAR79">'[3]Unemp by prev job levels'!$L$161</definedName>
    <definedName name="_TAR8">#REF!</definedName>
    <definedName name="_TAR80">'[3]Unemp by prev job levels'!$M$161</definedName>
    <definedName name="_TAR81">'[3]Unemp by prev job levels'!$N$161</definedName>
    <definedName name="_TAR82">'[3]Unemp by prev job levels'!$O$161</definedName>
    <definedName name="_TAR83">#REF!</definedName>
    <definedName name="_TAR84">#REF!</definedName>
    <definedName name="_TAR85">#REF!</definedName>
    <definedName name="_TAR86">#REF!</definedName>
    <definedName name="_TAR87">#REF!</definedName>
    <definedName name="_TAR88">#REF!</definedName>
    <definedName name="_TAR89">#REF!</definedName>
    <definedName name="_TAR90">#REF!</definedName>
    <definedName name="_TAR92">'[3]Unemp by prev job levels'!$B$244</definedName>
    <definedName name="_TAR94">'[3]Unemp by prev job levels'!$C$244</definedName>
    <definedName name="_TAR95">'[3]Unemp by prev job levels'!$D$244</definedName>
    <definedName name="_TAR96">'[3]Unemp by prev job levels'!$E$244</definedName>
    <definedName name="_TAR97">'[3]Unemp by prev job levels'!$F$244</definedName>
    <definedName name="_TAR98">'[3]Unemp by prev job levels'!$G$244</definedName>
    <definedName name="_TAR99">'[3]Unemp by prev job levels'!$H$244</definedName>
    <definedName name="_TRv2">#REF!</definedName>
    <definedName name="_tuv2">#REF!</definedName>
    <definedName name="a">{#N/A,#N/A,FALSE,"TMCOMP96";#N/A,#N/A,FALSE,"MAT96";#N/A,#N/A,FALSE,"FANDA96";#N/A,#N/A,FALSE,"INTRAN96";#N/A,#N/A,FALSE,"NAA9697";#N/A,#N/A,FALSE,"ECWEBB";#N/A,#N/A,FALSE,"MFT96";#N/A,#N/A,FALSE,"CTrecon"}</definedName>
    <definedName name="A.RA1">'[24]EPCS Bits'!#REF!</definedName>
    <definedName name="a_1" hidden="1">{#N/A,#N/A,FALSE,"TMCOMP96";#N/A,#N/A,FALSE,"MAT96";#N/A,#N/A,FALSE,"FANDA96";#N/A,#N/A,FALSE,"INTRAN96";#N/A,#N/A,FALSE,"NAA9697";#N/A,#N/A,FALSE,"ECWEBB";#N/A,#N/A,FALSE,"MFT96";#N/A,#N/A,FALSE,"CTrecon"}</definedName>
    <definedName name="a_2" hidden="1">{#N/A,#N/A,FALSE,"TMCOMP96";#N/A,#N/A,FALSE,"MAT96";#N/A,#N/A,FALSE,"FANDA96";#N/A,#N/A,FALSE,"INTRAN96";#N/A,#N/A,FALSE,"NAA9697";#N/A,#N/A,FALSE,"ECWEBB";#N/A,#N/A,FALSE,"MFT96";#N/A,#N/A,FALSE,"CTrecon"}</definedName>
    <definedName name="AA">'[25]Inputs 5 - Other parameters'!$C$11</definedName>
    <definedName name="aAt2a">'[26]academic age'!#REF!</definedName>
    <definedName name="ACAEDU">[27]ACA!$D:$D</definedName>
    <definedName name="ACAFIR">[27]ACA!$H:$H</definedName>
    <definedName name="ACAHWAY">[27]ACA!$I:$I</definedName>
    <definedName name="ACAOSB">[27]ACA!$J:$J</definedName>
    <definedName name="ACAPOL">[27]ACA!$G:$G</definedName>
    <definedName name="ACAPSS1">[27]ACA!$E:$E</definedName>
    <definedName name="ACAPSS2">[24]ACA!#REF!</definedName>
    <definedName name="ACAPSS3">[27]ACA!$F:$F</definedName>
    <definedName name="Accommodation">'[28]T&amp;S'!$C$8:$W$8</definedName>
    <definedName name="ACCut">[29]Cover!$K$28</definedName>
    <definedName name="ACORN1">[27]Data!$AU:$AU</definedName>
    <definedName name="ACORN5">[27]Data!$AP:$AP</definedName>
    <definedName name="ActColD">[30]Councils!$C$162</definedName>
    <definedName name="ActColID2">[30]Councils!$C$163</definedName>
    <definedName name="Action">[31]Matrix!$L$3:$L$6</definedName>
    <definedName name="active_printer">#REF!</definedName>
    <definedName name="ADJ">'[23]EPCS upper tier'!#REF!</definedName>
    <definedName name="adj_factor">'[32]Part 1'!#REF!</definedName>
    <definedName name="ADJUST_FINAL_YEAR1">[33]ADJUSTMENTS!$P:$P</definedName>
    <definedName name="ADJUST_FINAL_YEAR10">[33]ADJUSTMENTS!$Y:$Y</definedName>
    <definedName name="ADJUST_FINAL_YEAR11">[33]ADJUSTMENTS!$Z:$Z</definedName>
    <definedName name="ADJUST_FINAL_YEAR12">[34]ADJUSTMENTS!$V:$V</definedName>
    <definedName name="ADJUST_FINAL_YEAR13">[34]ADJUSTMENTS!$W:$W</definedName>
    <definedName name="ADJUST_FINAL_YEAR14">[35]ADJUSTMENTS!$W:$W</definedName>
    <definedName name="ADJUST_FINAL_YEAR2">[33]ADJUSTMENTS!$Q:$Q</definedName>
    <definedName name="ADJUST_FINAL_YEAR3">[33]ADJUSTMENTS!$R:$R</definedName>
    <definedName name="ADJUST_FINAL_YEAR4">[33]ADJUSTMENTS!$S:$S</definedName>
    <definedName name="ADJUST_FINAL_YEAR5">[33]ADJUSTMENTS!$T:$T</definedName>
    <definedName name="ADJUST_FINAL_YEAR6">[33]ADJUSTMENTS!$U:$U</definedName>
    <definedName name="ADJUST_FINAL_YEAR7">[33]ADJUSTMENTS!$V:$V</definedName>
    <definedName name="ADJUST_FINAL_YEAR8">[33]ADJUSTMENTS!$W:$W</definedName>
    <definedName name="ADJUST_FINAL_YEAR9">[33]ADJUSTMENTS!$X:$X</definedName>
    <definedName name="Adur">[36]DATA!#REF!</definedName>
    <definedName name="AHW">#REF!</definedName>
    <definedName name="AIDS">#REF!</definedName>
    <definedName name="Air_Travel">'[28]T&amp;S'!$C$12:$W$12</definedName>
    <definedName name="all">#REF!</definedName>
    <definedName name="ALLCTB">#REF!</definedName>
    <definedName name="ALLCTB2">#REF!</definedName>
    <definedName name="ALLCTBS">#REF!</definedName>
    <definedName name="AllCTR1Data">#REF!</definedName>
    <definedName name="AllCTR2Data">#REF!</definedName>
    <definedName name="ALLCTRDATA">#REF!</definedName>
    <definedName name="AllCTS">#REF!</definedName>
    <definedName name="AllFA">#REF!</definedName>
    <definedName name="AllFE">#REF!</definedName>
    <definedName name="Allocations">[37]!Tbl_InitialAllocations[[#Headers],[#Data]]</definedName>
    <definedName name="Amb">#REF!</definedName>
    <definedName name="AME" localSheetId="58">OFFSET([38]AME!$H$15,0,0,MAX([38]AME!$B$15:$B100),1)</definedName>
    <definedName name="AME" localSheetId="23">OFFSET([39]AME!$H$15,0,0,MAX([39]AME!$B$15:$B100),1)</definedName>
    <definedName name="AME" localSheetId="24">OFFSET([39]AME!$H$15,0,0,MAX([39]AME!$B$15:$B100),1)</definedName>
    <definedName name="AME">OFFSET([40]AME!$H$15,0,0,MAX([40]AME!$B$15:$B100),1)</definedName>
    <definedName name="Amytest" localSheetId="50">#REF!</definedName>
    <definedName name="Amytest" localSheetId="32">#REF!</definedName>
    <definedName name="Amytest">#REF!</definedName>
    <definedName name="Analysis">#REF!</definedName>
    <definedName name="ANCT">'[41]Pre-damping'!#REF!</definedName>
    <definedName name="APR_2012">'[28]T&amp;S'!$C$6:$C$17</definedName>
    <definedName name="APR_2013">'[28]T&amp;S'!$P$6:$P$17</definedName>
    <definedName name="ASale">[29]Cover!$K$96</definedName>
    <definedName name="ASC">[42]Lists!$A$20:$A$23</definedName>
    <definedName name="ASCEffAdj">[29]Exp2!$E$84</definedName>
    <definedName name="asdas" localSheetId="50" hidden="1">{#N/A,#N/A,FALSE,"TMCOMP96";#N/A,#N/A,FALSE,"MAT96";#N/A,#N/A,FALSE,"FANDA96";#N/A,#N/A,FALSE,"INTRAN96";#N/A,#N/A,FALSE,"NAA9697";#N/A,#N/A,FALSE,"ECWEBB";#N/A,#N/A,FALSE,"MFT96";#N/A,#N/A,FALSE,"CTrecon"}</definedName>
    <definedName name="asdas" localSheetId="32" hidden="1">{#N/A,#N/A,FALSE,"TMCOMP96";#N/A,#N/A,FALSE,"MAT96";#N/A,#N/A,FALSE,"FANDA96";#N/A,#N/A,FALSE,"INTRAN96";#N/A,#N/A,FALSE,"NAA9697";#N/A,#N/A,FALSE,"ECWEBB";#N/A,#N/A,FALSE,"MFT96";#N/A,#N/A,FALSE,"CTrecon"}</definedName>
    <definedName name="asdas" localSheetId="58" hidden="1">{#N/A,#N/A,FALSE,"TMCOMP96";#N/A,#N/A,FALSE,"MAT96";#N/A,#N/A,FALSE,"FANDA96";#N/A,#N/A,FALSE,"INTRAN96";#N/A,#N/A,FALSE,"NAA9697";#N/A,#N/A,FALSE,"ECWEBB";#N/A,#N/A,FALSE,"MFT96";#N/A,#N/A,FALSE,"CTrecon"}</definedName>
    <definedName name="asdas" hidden="1">{#N/A,#N/A,FALSE,"TMCOMP96";#N/A,#N/A,FALSE,"MAT96";#N/A,#N/A,FALSE,"FANDA96";#N/A,#N/A,FALSE,"INTRAN96";#N/A,#N/A,FALSE,"NAA9697";#N/A,#N/A,FALSE,"ECWEBB";#N/A,#N/A,FALSE,"MFT96";#N/A,#N/A,FALSE,"CTrecon"}</definedName>
    <definedName name="asdas_1" hidden="1">{#N/A,#N/A,FALSE,"TMCOMP96";#N/A,#N/A,FALSE,"MAT96";#N/A,#N/A,FALSE,"FANDA96";#N/A,#N/A,FALSE,"INTRAN96";#N/A,#N/A,FALSE,"NAA9697";#N/A,#N/A,FALSE,"ECWEBB";#N/A,#N/A,FALSE,"MFT96";#N/A,#N/A,FALSE,"CTrecon"}</definedName>
    <definedName name="asdas_2" hidden="1">{#N/A,#N/A,FALSE,"TMCOMP96";#N/A,#N/A,FALSE,"MAT96";#N/A,#N/A,FALSE,"FANDA96";#N/A,#N/A,FALSE,"INTRAN96";#N/A,#N/A,FALSE,"NAA9697";#N/A,#N/A,FALSE,"ECWEBB";#N/A,#N/A,FALSE,"MFT96";#N/A,#N/A,FALSE,"CTrecon"}</definedName>
    <definedName name="asdas17aug" hidden="1">{#N/A,#N/A,FALSE,"TMCOMP96";#N/A,#N/A,FALSE,"MAT96";#N/A,#N/A,FALSE,"FANDA96";#N/A,#N/A,FALSE,"INTRAN96";#N/A,#N/A,FALSE,"NAA9697";#N/A,#N/A,FALSE,"ECWEBB";#N/A,#N/A,FALSE,"MFT96";#N/A,#N/A,FALSE,"CTrecon"}</definedName>
    <definedName name="ASDASFD" localSheetId="50" hidden="1">{#N/A,#N/A,FALSE,"TMCOMP96";#N/A,#N/A,FALSE,"MAT96";#N/A,#N/A,FALSE,"FANDA96";#N/A,#N/A,FALSE,"INTRAN96";#N/A,#N/A,FALSE,"NAA9697";#N/A,#N/A,FALSE,"ECWEBB";#N/A,#N/A,FALSE,"MFT96";#N/A,#N/A,FALSE,"CTrecon"}</definedName>
    <definedName name="ASDASFD" localSheetId="32" hidden="1">{#N/A,#N/A,FALSE,"TMCOMP96";#N/A,#N/A,FALSE,"MAT96";#N/A,#N/A,FALSE,"FANDA96";#N/A,#N/A,FALSE,"INTRAN96";#N/A,#N/A,FALSE,"NAA9697";#N/A,#N/A,FALSE,"ECWEBB";#N/A,#N/A,FALSE,"MFT96";#N/A,#N/A,FALSE,"CTrecon"}</definedName>
    <definedName name="ASDASFD" localSheetId="58"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localSheetId="50" hidden="1">{#N/A,#N/A,FALSE,"TMCOMP96";#N/A,#N/A,FALSE,"MAT96";#N/A,#N/A,FALSE,"FANDA96";#N/A,#N/A,FALSE,"INTRAN96";#N/A,#N/A,FALSE,"NAA9697";#N/A,#N/A,FALSE,"ECWEBB";#N/A,#N/A,FALSE,"MFT96";#N/A,#N/A,FALSE,"CTrecon"}</definedName>
    <definedName name="ASDF" localSheetId="32" hidden="1">{#N/A,#N/A,FALSE,"TMCOMP96";#N/A,#N/A,FALSE,"MAT96";#N/A,#N/A,FALSE,"FANDA96";#N/A,#N/A,FALSE,"INTRAN96";#N/A,#N/A,FALSE,"NAA9697";#N/A,#N/A,FALSE,"ECWEBB";#N/A,#N/A,FALSE,"MFT96";#N/A,#N/A,FALSE,"CTrecon"}</definedName>
    <definedName name="ASDF" localSheetId="58"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localSheetId="50" hidden="1">{#N/A,#N/A,FALSE,"TMCOMP96";#N/A,#N/A,FALSE,"MAT96";#N/A,#N/A,FALSE,"FANDA96";#N/A,#N/A,FALSE,"INTRAN96";#N/A,#N/A,FALSE,"NAA9697";#N/A,#N/A,FALSE,"ECWEBB";#N/A,#N/A,FALSE,"MFT96";#N/A,#N/A,FALSE,"CTrecon"}</definedName>
    <definedName name="ASDFA" localSheetId="32" hidden="1">{#N/A,#N/A,FALSE,"TMCOMP96";#N/A,#N/A,FALSE,"MAT96";#N/A,#N/A,FALSE,"FANDA96";#N/A,#N/A,FALSE,"INTRAN96";#N/A,#N/A,FALSE,"NAA9697";#N/A,#N/A,FALSE,"ECWEBB";#N/A,#N/A,FALSE,"MFT96";#N/A,#N/A,FALSE,"CTrecon"}</definedName>
    <definedName name="ASDFA" localSheetId="58"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localSheetId="50" hidden="1">{#N/A,#N/A,FALSE,"TMCOMP96";#N/A,#N/A,FALSE,"MAT96";#N/A,#N/A,FALSE,"FANDA96";#N/A,#N/A,FALSE,"INTRAN96";#N/A,#N/A,FALSE,"NAA9697";#N/A,#N/A,FALSE,"ECWEBB";#N/A,#N/A,FALSE,"MFT96";#N/A,#N/A,FALSE,"CTrecon"}</definedName>
    <definedName name="ASFD" localSheetId="32" hidden="1">{#N/A,#N/A,FALSE,"TMCOMP96";#N/A,#N/A,FALSE,"MAT96";#N/A,#N/A,FALSE,"FANDA96";#N/A,#N/A,FALSE,"INTRAN96";#N/A,#N/A,FALSE,"NAA9697";#N/A,#N/A,FALSE,"ECWEBB";#N/A,#N/A,FALSE,"MFT96";#N/A,#N/A,FALSE,"CTrecon"}</definedName>
    <definedName name="ASFD" localSheetId="58"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ASFRs" localSheetId="23">#REF!</definedName>
    <definedName name="ASFRs" localSheetId="24">#REF!</definedName>
    <definedName name="ASFRs">#REF!</definedName>
    <definedName name="Astartpg" localSheetId="50">#REF!</definedName>
    <definedName name="Astartpg" localSheetId="32">#REF!</definedName>
    <definedName name="Astartpg" localSheetId="58">[43]Persons!#REF!</definedName>
    <definedName name="Astartpg">#REF!</definedName>
    <definedName name="ATALLOW3">[27]Data!$V:$V</definedName>
    <definedName name="AUC_AN_CDEL_Balance">[44]AUC_Data!$U$1:$U$65536</definedName>
    <definedName name="AUC_AN_CDEL_Category">[44]AUC_Data!$T$1:$T$65536</definedName>
    <definedName name="AUG_2012">'[28]T&amp;S'!$G$6:$G$17</definedName>
    <definedName name="AUG_2013">'[28]T&amp;S'!$T$6:$T$17</definedName>
    <definedName name="Authority">[45]ECodes!$B$2:$B$445</definedName>
    <definedName name="Authority3">'[45]ECodes (2)'!$B$2:$B$422</definedName>
    <definedName name="authority4">'[45]ECodes (3)'!$B$2:$B$452</definedName>
    <definedName name="authority5">'[45]Ecodes (4)'!$B$2:$B$385</definedName>
    <definedName name="AuthorityList">'[46]LA Dropdown'!$J$4:$J$409</definedName>
    <definedName name="_xlnm.Auto_Open">#REF!</definedName>
    <definedName name="av_dom_fee">'[25]Inputs 5 - Other parameters'!#REF!</definedName>
    <definedName name="av_fee">'[25]Inputs 5 - Other parameters'!#REF!</definedName>
    <definedName name="AverageConfiscationA">'[47]Global Inputs'!$D$401</definedName>
    <definedName name="AverageConfiscationAgency">'[47]Global Inputs'!$D$407</definedName>
    <definedName name="AverageConfiscationB">'[47]Global Inputs'!$D$402</definedName>
    <definedName name="AverageConfiscationC">'[47]Global Inputs'!$D$403</definedName>
    <definedName name="AverageConfiscationD">'[47]Global Inputs'!$D$404</definedName>
    <definedName name="AverageConfiscationE">'[47]Global Inputs'!$D$405</definedName>
    <definedName name="AverageConfiscationF">'[47]Global Inputs'!$D$406</definedName>
    <definedName name="AverageEdu">'[48]Closure Options'!$S$13</definedName>
    <definedName name="AverageFixedPenaltyA">'[47]Global Inputs'!$D$409</definedName>
    <definedName name="AverageFixedPenaltyAgency">'[47]Global Inputs'!$D$415</definedName>
    <definedName name="AverageFixedPenaltyB">'[47]Global Inputs'!$D$410</definedName>
    <definedName name="AverageFixedPenaltyC">'[47]Global Inputs'!$D$411</definedName>
    <definedName name="AverageFixedPenaltyD">'[47]Global Inputs'!$D$412</definedName>
    <definedName name="AverageFixedPenaltyE">'[47]Global Inputs'!$D$413</definedName>
    <definedName name="AverageFixedPenaltyF">'[47]Global Inputs'!$D$414</definedName>
    <definedName name="AverageLondonA">'[47]Global Inputs'!$D$345</definedName>
    <definedName name="AverageLondonAgency">'[47]Global Inputs'!$D$351</definedName>
    <definedName name="AverageLondonB">'[47]Global Inputs'!$D$346</definedName>
    <definedName name="AverageLondonC">'[47]Global Inputs'!$D$347</definedName>
    <definedName name="AverageLondonD">'[47]Global Inputs'!$D$348</definedName>
    <definedName name="AverageLondonE">'[47]Global Inputs'!$D$349</definedName>
    <definedName name="AverageLondonF">'[47]Global Inputs'!$D$350</definedName>
    <definedName name="AverageMaintenanceSavings">'[48]Closure Options'!$S$10</definedName>
    <definedName name="AverageMidlandsA">'[47]Global Inputs'!$D$353</definedName>
    <definedName name="AverageMidlandsAgency">'[47]Global Inputs'!$D$359</definedName>
    <definedName name="AverageMidlandsB">'[47]Global Inputs'!$D$354</definedName>
    <definedName name="AverageMidlandsC">'[47]Global Inputs'!$D$355</definedName>
    <definedName name="AverageMidlandsD">'[47]Global Inputs'!$D$356</definedName>
    <definedName name="AverageMidlandsE">'[47]Global Inputs'!$D$357</definedName>
    <definedName name="AverageMidlandsF">'[47]Global Inputs'!$D$358</definedName>
    <definedName name="AverageNationalA">'[47]Global Inputs'!$D$417</definedName>
    <definedName name="AverageNationalAgency">'[47]Global Inputs'!$D$423</definedName>
    <definedName name="AverageNationalB">'[47]Global Inputs'!$D$418</definedName>
    <definedName name="AverageNationalC">'[47]Global Inputs'!$D$419</definedName>
    <definedName name="AverageNationalD">'[47]Global Inputs'!$D$420</definedName>
    <definedName name="AverageNationalE">'[47]Global Inputs'!$D$421</definedName>
    <definedName name="AverageNationalF">'[47]Global Inputs'!$D$422</definedName>
    <definedName name="AverageNorthEastA">'[47]Global Inputs'!$D$361</definedName>
    <definedName name="AverageNorthEastAgency">'[47]Global Inputs'!$D$367</definedName>
    <definedName name="AverageNorthEastB">'[47]Global Inputs'!$D$362</definedName>
    <definedName name="AverageNorthEastC">'[47]Global Inputs'!$D$363</definedName>
    <definedName name="AverageNorthEastD">'[47]Global Inputs'!$D$364</definedName>
    <definedName name="AverageNorthEastE">'[47]Global Inputs'!$D$365</definedName>
    <definedName name="AverageNorthEastF">'[47]Global Inputs'!$D$366</definedName>
    <definedName name="AverageNorthWestA">'[47]Global Inputs'!$D$369</definedName>
    <definedName name="AverageNorthWestAgency">'[47]Global Inputs'!$D$375</definedName>
    <definedName name="AverageNorthWestB">'[47]Global Inputs'!$D$370</definedName>
    <definedName name="AverageNorthWestC">'[47]Global Inputs'!$D$371</definedName>
    <definedName name="AverageNorthWestD">'[47]Global Inputs'!$D$372</definedName>
    <definedName name="AverageNorthWestE">'[47]Global Inputs'!$D$373</definedName>
    <definedName name="AverageNorthWestF">'[47]Global Inputs'!$D$374</definedName>
    <definedName name="AverageSouthEastA">'[47]Global Inputs'!$D$377</definedName>
    <definedName name="AverageSouthEastAgency">'[47]Global Inputs'!$D$383</definedName>
    <definedName name="AverageSouthEastB">'[47]Global Inputs'!$D$378</definedName>
    <definedName name="AverageSouthEastC">'[47]Global Inputs'!$D$379</definedName>
    <definedName name="AverageSouthEastD">'[47]Global Inputs'!$D$380</definedName>
    <definedName name="AverageSouthEastE">'[47]Global Inputs'!$D$381</definedName>
    <definedName name="AverageSouthEastF">'[47]Global Inputs'!$D$382</definedName>
    <definedName name="AverageSouthWestA">'[47]Global Inputs'!$D$385</definedName>
    <definedName name="AverageSouthWestAgency">'[47]Global Inputs'!$D$391</definedName>
    <definedName name="AverageSouthWestB">'[47]Global Inputs'!$D$386</definedName>
    <definedName name="AverageSouthWestC">'[47]Global Inputs'!$D$387</definedName>
    <definedName name="AverageSouthWestD">'[47]Global Inputs'!$D$388</definedName>
    <definedName name="AverageSouthWestE">'[47]Global Inputs'!$D$389</definedName>
    <definedName name="AverageSouthWestF">'[47]Global Inputs'!$D$390</definedName>
    <definedName name="AverageWalesA">'[47]Global Inputs'!$D$393</definedName>
    <definedName name="AverageWalesAgency">'[47]Global Inputs'!$D$399</definedName>
    <definedName name="AverageWalesB">'[47]Global Inputs'!$D$394</definedName>
    <definedName name="AverageWalesC">'[47]Global Inputs'!$D$395</definedName>
    <definedName name="AverageWalesD">'[47]Global Inputs'!$D$396</definedName>
    <definedName name="AverageWalesE">'[47]Global Inputs'!$D$397</definedName>
    <definedName name="AverageWalesF">'[47]Global Inputs'!$D$398</definedName>
    <definedName name="Avg">#REF!</definedName>
    <definedName name="AVON" localSheetId="58">#REF!</definedName>
    <definedName name="AVON">#REF!</definedName>
    <definedName name="b" hidden="1">{#N/A,#N/A,FALSE,"TMCOMP96";#N/A,#N/A,FALSE,"MAT96";#N/A,#N/A,FALSE,"FANDA96";#N/A,#N/A,FALSE,"INTRAN96";#N/A,#N/A,FALSE,"NAA9697";#N/A,#N/A,FALSE,"ECWEBB";#N/A,#N/A,FALSE,"MFT96";#N/A,#N/A,FALSE,"CTrecon"}</definedName>
    <definedName name="b_1" hidden="1">{#N/A,#N/A,FALSE,"TMCOMP96";#N/A,#N/A,FALSE,"MAT96";#N/A,#N/A,FALSE,"FANDA96";#N/A,#N/A,FALSE,"INTRAN96";#N/A,#N/A,FALSE,"NAA9697";#N/A,#N/A,FALSE,"ECWEBB";#N/A,#N/A,FALSE,"MFT96";#N/A,#N/A,FALSE,"CTrecon"}</definedName>
    <definedName name="b_2" hidden="1">{#N/A,#N/A,FALSE,"TMCOMP96";#N/A,#N/A,FALSE,"MAT96";#N/A,#N/A,FALSE,"FANDA96";#N/A,#N/A,FALSE,"INTRAN96";#N/A,#N/A,FALSE,"NAA9697";#N/A,#N/A,FALSE,"ECWEBB";#N/A,#N/A,FALSE,"MFT96";#N/A,#N/A,FALSE,"CTrecon"}</definedName>
    <definedName name="B_MoJ" hidden="1">#REF!</definedName>
    <definedName name="bb" hidden="1">'[13]T3 Page 1'!#REF!</definedName>
    <definedName name="bbb" hidden="1">'[13]FC Page 1'!#REF!</definedName>
    <definedName name="bcpol">[23]Background!#REF!</definedName>
    <definedName name="BEDS" localSheetId="58">#REF!</definedName>
    <definedName name="BEDS">#REF!</definedName>
    <definedName name="BERKS" localSheetId="58">#REF!</definedName>
    <definedName name="BERKS">#REF!</definedName>
    <definedName name="Bias_BuildCostCapital">'[48]Front Sheet'!$D$12</definedName>
    <definedName name="Bias_BuildCostResource">'[48]Front Sheet'!$D$11</definedName>
    <definedName name="Bias_ClosureSavings">'[48]Front Sheet'!$D$14</definedName>
    <definedName name="Bias_LandValues">'[48]Front Sheet'!$D$13</definedName>
    <definedName name="Bias_RedundancyCost">'[48]Front Sheet'!$D$15</definedName>
    <definedName name="Billing">[49]Global!$C$9:$IS$65541</definedName>
    <definedName name="Billing_Codes">[49]Global!$C$9:$IS$9</definedName>
    <definedName name="Births">#REF!</definedName>
    <definedName name="blankkk" hidden="1">'[5]Forecast data'!#REF!</definedName>
    <definedName name="blankold" hidden="1">'[13]T3 Page 1'!#REF!</definedName>
    <definedName name="blarg"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blarg_1"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blarg2"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blarg2_1"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blarg3"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blarg3_1"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BLPH1" hidden="1">'[50]4.6 ten year bonds'!$A$4</definedName>
    <definedName name="BLPH2" hidden="1">'[50]4.6 ten year bonds'!$D$4</definedName>
    <definedName name="BLPH3" hidden="1">'[50]4.6 ten year bonds'!$G$4</definedName>
    <definedName name="BLPH4" hidden="1">'[50]4.6 ten year bonds'!$J$4</definedName>
    <definedName name="BLPH5" hidden="1">'[50]4.6 ten year bonds'!$M$4</definedName>
    <definedName name="BLUE8">#N/A</definedName>
    <definedName name="BLUE9">#N/A</definedName>
    <definedName name="BOTO">#REF!</definedName>
    <definedName name="BOTO2">#REF!</definedName>
    <definedName name="BR">'[51]Precepting Authorities'!#REF!</definedName>
    <definedName name="BRCOL">'[52]BR 2020-21 onward source'!$C$9:$C$393</definedName>
    <definedName name="Breakdown">'[53]Full Data'!$A$1:$U$51870</definedName>
    <definedName name="BRprint1">#REF!</definedName>
    <definedName name="BRprint2">#REF!</definedName>
    <definedName name="BRROW">'[52]BR 2020-21 onward source'!$C$9:$M$9</definedName>
    <definedName name="BSOG1516BL">'[54]1516 data'!$K:$K</definedName>
    <definedName name="BUCEN">'[52]BR 2020-21 onward source'!$P$400:$Z$784</definedName>
    <definedName name="BUCKS" localSheetId="58">#REF!</definedName>
    <definedName name="BUCKS">#REF!</definedName>
    <definedName name="BufferOptionSelection">'[48]Front Sheet'!$C$53</definedName>
    <definedName name="Build">'[48]Front Sheet'!$G$33</definedName>
    <definedName name="BuildList">'[48]Options List'!$C$3:$C$500</definedName>
    <definedName name="BuildNumber">'[48]Options List'!$A$3:$A$500</definedName>
    <definedName name="BuildSite">'[48]Front Sheet'!$G$34</definedName>
    <definedName name="BULOW">'[52]BR 2020-21 onward source'!$C$400:$M$784</definedName>
    <definedName name="BUUP">'[52]BR 2020-21 onward source'!$AC$400:$AM$784</definedName>
    <definedName name="byl">#REF!</definedName>
    <definedName name="c_ecode">[55]Calc!$A:$A</definedName>
    <definedName name="c_locAuth">[55]Calc!$D:$D</definedName>
    <definedName name="c_pressureASC">[55]Calc!$I:$I</definedName>
    <definedName name="c_pressureTot">[55]Calc!$G:$G</definedName>
    <definedName name="c_resTot">[55]Calc!$T:$T</definedName>
    <definedName name="c_resUsable">[55]Calc!$AC:$AC</definedName>
    <definedName name="C_Table_01">#REF!</definedName>
    <definedName name="C_Table_02">#REF!</definedName>
    <definedName name="C_Table_03">#REF!</definedName>
    <definedName name="C_Table_04">#REF!</definedName>
    <definedName name="C_Table_05">#REF!</definedName>
    <definedName name="C_Table_06">#REF!</definedName>
    <definedName name="C_Table_07">#REF!</definedName>
    <definedName name="C_Table_08">#REF!</definedName>
    <definedName name="C_Table_09">#REF!</definedName>
    <definedName name="C_Table_10">#REF!</definedName>
    <definedName name="C_Table_11">#REF!</definedName>
    <definedName name="C_Table_12">#REF!</definedName>
    <definedName name="C_Table_13">#REF!</definedName>
    <definedName name="C_Table_14">#REF!</definedName>
    <definedName name="C_Table_14a">#REF!</definedName>
    <definedName name="C_Table_15">#REF!</definedName>
    <definedName name="C_Table_16">#REF!</definedName>
    <definedName name="C_Table_17">#REF!</definedName>
    <definedName name="C_Table_18">#REF!</definedName>
    <definedName name="C_Table_19">#REF!</definedName>
    <definedName name="C_Table_20">#REF!</definedName>
    <definedName name="C_Table_21">#REF!</definedName>
    <definedName name="C_Table_22">#REF!</definedName>
    <definedName name="C_Table_23">#REF!</definedName>
    <definedName name="C_Table_24a">#REF!</definedName>
    <definedName name="C_Table_24b">#REF!</definedName>
    <definedName name="C_Table_24c">#REF!</definedName>
    <definedName name="C_Table_24d">#REF!</definedName>
    <definedName name="C_Table_25">#REF!</definedName>
    <definedName name="C_Table_26">#REF!</definedName>
    <definedName name="C_table_99">#REF!</definedName>
    <definedName name="CA">#REF!</definedName>
    <definedName name="CalSht1">#REF!</definedName>
    <definedName name="CAMBS" localSheetId="58">#REF!</definedName>
    <definedName name="CAMBS">#REF!</definedName>
    <definedName name="cap">'[25]Inputs 5 - Other parameters'!$C$5</definedName>
    <definedName name="CapAME">'[56]Dept AMEsum'!#REF!</definedName>
    <definedName name="CapDEL">[56]DELsum!#REF!</definedName>
    <definedName name="CAPFINRNF">'[27]Capital Financing'!$H:$H</definedName>
    <definedName name="Car_Hire">'[28]T&amp;S'!$C$13:$W$13</definedName>
    <definedName name="care_fee_fraction1">'[25]Inputs 2 - OA details'!$E$5</definedName>
    <definedName name="care_fee_fraction2">'[25]Inputs 2 - OA details'!$E$6</definedName>
    <definedName name="care_fee_fraction3">'[25]Inputs 2 - OA details'!$E$7</definedName>
    <definedName name="care_fee1">'[25]Inputs 2 - OA details'!$C$5</definedName>
    <definedName name="care_fee2">'[25]Inputs 2 - OA details'!$C$6</definedName>
    <definedName name="care_fee3">'[25]Inputs 2 - OA details'!$C$7</definedName>
    <definedName name="care_inflation">'[25]Overview and controls'!$E$8</definedName>
    <definedName name="CASSRcode">'[57]List of Returns'!#REF!</definedName>
    <definedName name="Category">[31]Matrix!$O$3:$O$10</definedName>
    <definedName name="cc">#REF!</definedName>
    <definedName name="ccc">#REF!</definedName>
    <definedName name="cccc">'[58]BR1 Form'!#REF!</definedName>
    <definedName name="CCG_ALLOCATION">#REF!</definedName>
    <definedName name="CCG_CODE">[59]Cover!$C$5</definedName>
    <definedName name="CCG_DATA">[60]Cover!$W$2:$AK$212</definedName>
    <definedName name="CDEL" localSheetId="58">OFFSET([38]CDEL!$G$15,0,0,MAX([38]CDEL!$B$15:$B100),1)</definedName>
    <definedName name="CDEL" localSheetId="23">OFFSET([39]CDEL!$G$15,0,0,MAX([39]CDEL!$B$15:$B100),1)</definedName>
    <definedName name="CDEL" localSheetId="24">OFFSET([39]CDEL!$G$15,0,0,MAX([39]CDEL!$B$15:$B100),1)</definedName>
    <definedName name="CDEL">OFFSET([40]CDEL!$G$15,0,0,MAX([40]CDEL!$B$15:$B100),1)</definedName>
    <definedName name="Central">#REF!</definedName>
    <definedName name="CentralEff">[29]Cover!$P$28</definedName>
    <definedName name="CERDATA">'[61]Section A'!#REF!</definedName>
    <definedName name="cerdata1">'[61]Section A'!#REF!</definedName>
    <definedName name="CGCapDEL">#REF!</definedName>
    <definedName name="ch">#REF!</definedName>
    <definedName name="CHART_1">#REF!</definedName>
    <definedName name="CHART_10">#REF!</definedName>
    <definedName name="CHART_11">#REF!</definedName>
    <definedName name="CHART_12">#REF!</definedName>
    <definedName name="CHART_13">#REF!</definedName>
    <definedName name="CHART_14">#REF!</definedName>
    <definedName name="CHART_15">#REF!</definedName>
    <definedName name="CHART_16">#REF!</definedName>
    <definedName name="CHART_17">#REF!</definedName>
    <definedName name="CHART_18">#REF!</definedName>
    <definedName name="CHART_19">#REF!</definedName>
    <definedName name="CHART_2">#REF!</definedName>
    <definedName name="CHART_20">#REF!</definedName>
    <definedName name="CHART_21">#REF!</definedName>
    <definedName name="CHART_22">#REF!</definedName>
    <definedName name="CHART_23">#REF!</definedName>
    <definedName name="CHART_24">#REF!</definedName>
    <definedName name="CHART_3">#REF!</definedName>
    <definedName name="CHART_4">#REF!</definedName>
    <definedName name="CHART_5">#REF!</definedName>
    <definedName name="CHART_6">#REF!</definedName>
    <definedName name="CHART_7">#REF!</definedName>
    <definedName name="CHART_8">#REF!</definedName>
    <definedName name="CHART_9">#REF!</definedName>
    <definedName name="chartPrefix">#REF!</definedName>
    <definedName name="Check">[47]CHECK!$C$1</definedName>
    <definedName name="Check1">#REF!</definedName>
    <definedName name="Check2">#REF!</definedName>
    <definedName name="ChecksComplete">'[62]AQA Log'!$C$5:$C$7</definedName>
    <definedName name="CHESHIRE" localSheetId="58">#REF!</definedName>
    <definedName name="CHESHIRE">#REF!</definedName>
    <definedName name="Class">#REF!</definedName>
    <definedName name="CLASS_Data">#REF!</definedName>
    <definedName name="CLASSIFICATION" localSheetId="58">[63]Menus!$C$2:$C$6</definedName>
    <definedName name="CLASSIFICATION" localSheetId="23">[63]Menus!$C$2:$C$6</definedName>
    <definedName name="CLASSIFICATION" localSheetId="24">[63]Menus!$C$2:$C$6</definedName>
    <definedName name="CLASSIFICATION">[64]Menus!$C$2:$C$6</definedName>
    <definedName name="CLEVELAND" localSheetId="58">#REF!</definedName>
    <definedName name="CLEVELAND">#REF!</definedName>
    <definedName name="closend">#REF!</definedName>
    <definedName name="ClosingYr">'[48]Front Sheet'!$G$38</definedName>
    <definedName name="ClosuresDelay">'[48]Front Sheet'!$D$24</definedName>
    <definedName name="CLWYD" localSheetId="58">#REF!</definedName>
    <definedName name="CLWYD">#REF!</definedName>
    <definedName name="COAST3NEW">[27]Data!$BV:$BV</definedName>
    <definedName name="COASTLINE">[27]Data!$AW:$AW</definedName>
    <definedName name="COBIRTHN">[24]Data!$EB:$EB</definedName>
    <definedName name="COBIRTHN.NEW">[27]Data!$BT:$BT</definedName>
    <definedName name="cod">#REF!</definedName>
    <definedName name="col_first">'[65]RA LA Data 2016-17'!$E$3</definedName>
    <definedName name="COMAHS">[27]Data!$AY:$AY</definedName>
    <definedName name="COMBINE">[2]PC1!$AG$106</definedName>
    <definedName name="Comm">#REF!</definedName>
    <definedName name="COMMENTARY">'[26]mid year'!#REF!</definedName>
    <definedName name="community_fee">'[25]Inputs 1 - start point'!$C$15</definedName>
    <definedName name="Compare">#REF!</definedName>
    <definedName name="Comparison_charts">#REF!</definedName>
    <definedName name="components_by_LA" localSheetId="58">#REF!</definedName>
    <definedName name="components_by_LA">#REF!</definedName>
    <definedName name="CONC.car">'[27]EPCS - CT'!#REF!</definedName>
    <definedName name="CONC.dens">'[27]EPCS - CT'!#REF!</definedName>
    <definedName name="CONC.dep">'[27]EPCS - CT'!#REF!</definedName>
    <definedName name="Concessionary_Travel">'[27]Scaling Factors'!$C$15</definedName>
    <definedName name="Connection">[66]Defaults!$G$27</definedName>
    <definedName name="Constant">[41]Parameters!#REF!</definedName>
    <definedName name="Constructed_tracker">#REF!</definedName>
    <definedName name="ConstrY1">'[48]Front Sheet'!$G$6</definedName>
    <definedName name="cont_trd_cht">#REF!</definedName>
    <definedName name="CONTACT">#REF!</definedName>
    <definedName name="Contact_info">#REF!</definedName>
    <definedName name="ContactName">'[57]List of Returns'!#REF!</definedName>
    <definedName name="contravfss">#REF!</definedName>
    <definedName name="Control">[31]Matrix!$M$3:$M$4</definedName>
    <definedName name="Controls">[31]Matrix!$J$3:$J$7</definedName>
    <definedName name="Conv2.1">#REF!</definedName>
    <definedName name="Conv4.1">#REF!</definedName>
    <definedName name="Conv4.11">#REF!</definedName>
    <definedName name="Conv4.12">#REF!</definedName>
    <definedName name="Conv4.13">#REF!</definedName>
    <definedName name="Conv4.2">#REF!</definedName>
    <definedName name="Conv4.3">#REF!</definedName>
    <definedName name="Conv4.4">#REF!</definedName>
    <definedName name="Conv4.5">#REF!</definedName>
    <definedName name="Conv4.6">#REF!</definedName>
    <definedName name="ConvA1">#REF!</definedName>
    <definedName name="ConvA2">#REF!</definedName>
    <definedName name="ConvA3">#REF!</definedName>
    <definedName name="ConvB1">#REF!</definedName>
    <definedName name="ConvB2">#REF!</definedName>
    <definedName name="CORNWALL" localSheetId="58">#REF!</definedName>
    <definedName name="CORNWALL">#REF!</definedName>
    <definedName name="Cost_element_name">[67]LIVE!$G$2:$G$25262</definedName>
    <definedName name="Costtype">'[68]Cost breakdown'!$I$4:$I$7</definedName>
    <definedName name="Count">#REF!</definedName>
    <definedName name="COUNTER">[2]PC1!#REF!</definedName>
    <definedName name="COUNTRY">[69]information!$H$3</definedName>
    <definedName name="COVID">'[70]Output (aggs)'!$C$2</definedName>
    <definedName name="cowsadj">#REF!</definedName>
    <definedName name="CRC1516RSG">'[54]1516 data'!$AG:$AG</definedName>
    <definedName name="CREDAPPPFI">'[23]Capital finance'!#REF!</definedName>
    <definedName name="CSP" hidden="1">'[71]Model inputs'!#REF!</definedName>
    <definedName name="CSR_CDEL">#REF!</definedName>
    <definedName name="CSR_RDEL">#REF!</definedName>
    <definedName name="CT" hidden="1">'[5]Forecast data'!#REF!</definedName>
    <definedName name="CTaxG">[29]Cover!$K$78</definedName>
    <definedName name="CTAXMax">[29]Cover!$K$77</definedName>
    <definedName name="CTaxOff">[29]Cover!$K$79</definedName>
    <definedName name="CTB">'[72]CTB Form'!#REF!</definedName>
    <definedName name="CTB1__November_2002__Calculation_of_Council_Tax_Base_for_Revenue_Support_Grant_Purposes_for_2003_04">#REF!</definedName>
    <definedName name="CTBs">'[72]CTB Form'!#REF!</definedName>
    <definedName name="CTEDU8">'[73]RNF estimated allocation shares'!$C$7</definedName>
    <definedName name="CTEDU9">'[73]RNF estimated allocation shares'!$C$8</definedName>
    <definedName name="CTFREEZE11516BL">'[54]1516 data'!$G:$G</definedName>
    <definedName name="CTFREEZE11516RSG">'[54]1516 data'!$V:$V</definedName>
    <definedName name="CTFREEZE21516RSG">'[54]1516 data'!$AE:$AE</definedName>
    <definedName name="CTNABS" localSheetId="23" hidden="1">'[4]Model inputs'!#REF!</definedName>
    <definedName name="CTNABS" localSheetId="24" hidden="1">'[4]Model inputs'!#REF!</definedName>
    <definedName name="CTNABS" hidden="1">'[4]Model inputs'!#REF!</definedName>
    <definedName name="CTOTEDU7">'[24]Control Total'!#REF!</definedName>
    <definedName name="CTOTRA1">'[24]Control Total'!#REF!</definedName>
    <definedName name="CTPSS1">'[73]RNF estimated allocation shares'!$C$9</definedName>
    <definedName name="CTR">'[74]CTR1 Form'!$N$245:$N$250</definedName>
    <definedName name="CTR_Billing">[49]CTR_Billing!$A$2:$V$318</definedName>
    <definedName name="CTR_Precepting">'[49]CTR Precepting'!$A$2:$F$97</definedName>
    <definedName name="CTRef">[29]Cover!$K$16</definedName>
    <definedName name="CTRef25">[29]Cover!$K$15</definedName>
    <definedName name="CTRefInv">[29]Cover!$K$17</definedName>
    <definedName name="CTRprint1">#REF!</definedName>
    <definedName name="CTRprint2">#REF!</definedName>
    <definedName name="CUMBRIA" localSheetId="58">#REF!</definedName>
    <definedName name="CUMBRIA">#REF!</definedName>
    <definedName name="Current">#REF!</definedName>
    <definedName name="CurrentPeriod">[66]Defaults!$B$47</definedName>
    <definedName name="CurrentSheet">21</definedName>
    <definedName name="CurrentYear">[66]Defaults!$B$44</definedName>
    <definedName name="CYCustom4">[66]Defaults!$G$21</definedName>
    <definedName name="CYScenario">[66]Defaults!$G$4</definedName>
    <definedName name="d">#REF!</definedName>
    <definedName name="daily_living_cost">'[25]Inputs 5 - Other parameters'!$C$6</definedName>
    <definedName name="DASH">#REF!</definedName>
    <definedName name="data" localSheetId="23">#REF!</definedName>
    <definedName name="data" localSheetId="24">#REF!</definedName>
    <definedName name="data">[75]Data!$A$8:$O$98</definedName>
    <definedName name="Data_col1" localSheetId="23">'[76]RA LA Data 2011-12 (1)'!$B$10:$GQ$475</definedName>
    <definedName name="Data_col1" localSheetId="24">'[76]RA LA Data 2011-12 (1)'!$B$10:$GQ$475</definedName>
    <definedName name="Data_col1">#REF!</definedName>
    <definedName name="Data_col2">#REF!</definedName>
    <definedName name="Data_col3">#REF!</definedName>
    <definedName name="Data1516">#REF!</definedName>
    <definedName name="data2">#REF!</definedName>
    <definedName name="DataArea_NonSD">#REF!</definedName>
    <definedName name="DataArea_SD">#REF!</definedName>
    <definedName name="_xlnm.Database" localSheetId="58">#REF!</definedName>
    <definedName name="_xlnm.Database" localSheetId="23">#REF!</definedName>
    <definedName name="_xlnm.Database" localSheetId="24">#REF!</definedName>
    <definedName name="_xlnm.Database">#REF!</definedName>
    <definedName name="DataI">'[77]Data Register'!$C$9:$C$11</definedName>
    <definedName name="datanew">[78]Data!$A$8:$CH$334</definedName>
    <definedName name="DataQ">'[77]Data Register'!$C$5:$C$7</definedName>
    <definedName name="datar">'[51]Precepting Bodies'!$A$5:$F$331</definedName>
    <definedName name="datar1">[79]Data!$A$8:$AV$334</definedName>
    <definedName name="datazone">'[80]Data (monthly)'!$A$3:$AN$2314</definedName>
    <definedName name="DAYPOP_KM">'[27]Highway Maintenance'!$G:$G</definedName>
    <definedName name="DAYPOPPOS">[27]Data!$BY:$BY</definedName>
    <definedName name="Days" localSheetId="23">[81]QsYs!$J:$J</definedName>
    <definedName name="Days" localSheetId="24">[81]QsYs!$J:$J</definedName>
    <definedName name="Days">[82]QsYs!$J$1:$J$65536</definedName>
    <definedName name="dDebtFacilities">#REF!</definedName>
    <definedName name="DEATHNF">#REF!</definedName>
    <definedName name="DeathsF">#REF!</definedName>
    <definedName name="DeathsM">#REF!</definedName>
    <definedName name="DeathsP">#REF!</definedName>
    <definedName name="DEBT1SOYR">[27]Data!$BW:$BW</definedName>
    <definedName name="DEBTPFI">'[23]Capital finance'!#REF!</definedName>
    <definedName name="DEC_2012">'[28]T&amp;S'!$L$6:$L$17</definedName>
    <definedName name="DELAME">!#REF!</definedName>
    <definedName name="delayed_implementation">'[25]Overview and controls'!$E$7</definedName>
    <definedName name="delete">#REF!</definedName>
    <definedName name="delete2">#REF!</definedName>
    <definedName name="delta_I">'[25]Inputs 5 - Other parameters'!$C$17</definedName>
    <definedName name="Demand">[83]Tool!$D$167:$D$168</definedName>
    <definedName name="DEPR">#REF!</definedName>
    <definedName name="DERBYSHIRE" localSheetId="58">#REF!</definedName>
    <definedName name="DERBYSHIRE">#REF!</definedName>
    <definedName name="detruse">#REF!</definedName>
    <definedName name="DEVON" localSheetId="58">#REF!</definedName>
    <definedName name="DEVON">#REF!</definedName>
    <definedName name="dfg" hidden="1">{#N/A,#N/A,FALSE,"TMCOMP96";#N/A,#N/A,FALSE,"MAT96";#N/A,#N/A,FALSE,"FANDA96";#N/A,#N/A,FALSE,"INTRAN96";#N/A,#N/A,FALSE,"NAA9697";#N/A,#N/A,FALSE,"ECWEBB";#N/A,#N/A,FALSE,"MFT96";#N/A,#N/A,FALSE,"CTrecon"}</definedName>
    <definedName name="dfgae" hidden="1">{#N/A,#N/A,FALSE,"TMCOMP96";#N/A,#N/A,FALSE,"MAT96";#N/A,#N/A,FALSE,"FANDA96";#N/A,#N/A,FALSE,"INTRAN96";#N/A,#N/A,FALSE,"NAA9697";#N/A,#N/A,FALSE,"ECWEBB";#N/A,#N/A,FALSE,"MFT96";#N/A,#N/A,FALSE,"CTrecon"}</definedName>
    <definedName name="dfgujh" hidden="1">#REF!</definedName>
    <definedName name="dfrgfdgs" hidden="1">{#N/A,#N/A,FALSE,"TMCOMP96";#N/A,#N/A,FALSE,"MAT96";#N/A,#N/A,FALSE,"FANDA96";#N/A,#N/A,FALSE,"INTRAN96";#N/A,#N/A,FALSE,"NAA9697";#N/A,#N/A,FALSE,"ECWEBB";#N/A,#N/A,FALSE,"MFT96";#N/A,#N/A,FALSE,"CTrecon"}</definedName>
    <definedName name="DfT">[29]Cover!$K$109</definedName>
    <definedName name="dFunctionCodes">#REF!</definedName>
    <definedName name="dgsgf" localSheetId="50" hidden="1">{#N/A,#N/A,FALSE,"TMCOMP96";#N/A,#N/A,FALSE,"MAT96";#N/A,#N/A,FALSE,"FANDA96";#N/A,#N/A,FALSE,"INTRAN96";#N/A,#N/A,FALSE,"NAA9697";#N/A,#N/A,FALSE,"ECWEBB";#N/A,#N/A,FALSE,"MFT96";#N/A,#N/A,FALSE,"CTrecon"}</definedName>
    <definedName name="dgsgf" localSheetId="32" hidden="1">{#N/A,#N/A,FALSE,"TMCOMP96";#N/A,#N/A,FALSE,"MAT96";#N/A,#N/A,FALSE,"FANDA96";#N/A,#N/A,FALSE,"INTRAN96";#N/A,#N/A,FALSE,"NAA9697";#N/A,#N/A,FALSE,"ECWEBB";#N/A,#N/A,FALSE,"MFT96";#N/A,#N/A,FALSE,"CTrecon"}</definedName>
    <definedName name="dgsgf" localSheetId="58" hidden="1">{#N/A,#N/A,FALSE,"TMCOMP96";#N/A,#N/A,FALSE,"MAT96";#N/A,#N/A,FALSE,"FANDA96";#N/A,#N/A,FALSE,"INTRAN96";#N/A,#N/A,FALSE,"NAA9697";#N/A,#N/A,FALSE,"ECWEBB";#N/A,#N/A,FALSE,"MFT96";#N/A,#N/A,FALSE,"CTrecon"}</definedName>
    <definedName name="dgsgf" hidden="1">{#N/A,#N/A,FALSE,"TMCOMP96";#N/A,#N/A,FALSE,"MAT96";#N/A,#N/A,FALSE,"FANDA96";#N/A,#N/A,FALSE,"INTRAN96";#N/A,#N/A,FALSE,"NAA9697";#N/A,#N/A,FALSE,"ECWEBB";#N/A,#N/A,FALSE,"MFT96";#N/A,#N/A,FALSE,"CTrecon"}</definedName>
    <definedName name="dgsgf_1" hidden="1">{#N/A,#N/A,FALSE,"TMCOMP96";#N/A,#N/A,FALSE,"MAT96";#N/A,#N/A,FALSE,"FANDA96";#N/A,#N/A,FALSE,"INTRAN96";#N/A,#N/A,FALSE,"NAA9697";#N/A,#N/A,FALSE,"ECWEBB";#N/A,#N/A,FALSE,"MFT96";#N/A,#N/A,FALSE,"CTrecon"}</definedName>
    <definedName name="dgsgf_2" hidden="1">{#N/A,#N/A,FALSE,"TMCOMP96";#N/A,#N/A,FALSE,"MAT96";#N/A,#N/A,FALSE,"FANDA96";#N/A,#N/A,FALSE,"INTRAN96";#N/A,#N/A,FALSE,"NAA9697";#N/A,#N/A,FALSE,"ECWEBB";#N/A,#N/A,FALSE,"MFT96";#N/A,#N/A,FALSE,"CTrecon"}</definedName>
    <definedName name="dgsgf2" hidden="1">{#N/A,#N/A,FALSE,"TMCOMP96";#N/A,#N/A,FALSE,"MAT96";#N/A,#N/A,FALSE,"FANDA96";#N/A,#N/A,FALSE,"INTRAN96";#N/A,#N/A,FALSE,"NAA9697";#N/A,#N/A,FALSE,"ECWEBB";#N/A,#N/A,FALSE,"MFT96";#N/A,#N/A,FALSE,"CTrecon"}</definedName>
    <definedName name="dHistCPs">#REF!</definedName>
    <definedName name="DIR">#REF!</definedName>
    <definedName name="DirData">#REF!</definedName>
    <definedName name="Direct">#REF!</definedName>
    <definedName name="directorate">#REF!</definedName>
    <definedName name="Directoratelive">[67]LIVE!$L$2:$L$25262</definedName>
    <definedName name="DirRefs">[84]!Table26[#Data]</definedName>
    <definedName name="disc">#REF!</definedName>
    <definedName name="Discount">[85]Data!$C$4:$EC$338</definedName>
    <definedName name="Distribution" localSheetId="50" hidden="1">#REF!</definedName>
    <definedName name="Distribution" localSheetId="32" hidden="1">#REF!</definedName>
    <definedName name="Distribution" localSheetId="58" hidden="1">#REF!</definedName>
    <definedName name="Distribution" hidden="1">#REF!</definedName>
    <definedName name="distribution1" hidden="1">#REF!</definedName>
    <definedName name="DLA_1864">[27]Data!$AB:$AB</definedName>
    <definedName name="DMPressure">[29]Cover!$K$115</definedName>
    <definedName name="DORSET" localSheetId="58">#REF!</definedName>
    <definedName name="DORSET">#REF!</definedName>
    <definedName name="dsfgdfg" hidden="1">{#N/A,#N/A,FALSE,"TMCOMP96";#N/A,#N/A,FALSE,"MAT96";#N/A,#N/A,FALSE,"FANDA96";#N/A,#N/A,FALSE,"INTRAN96";#N/A,#N/A,FALSE,"NAA9697";#N/A,#N/A,FALSE,"ECWEBB";#N/A,#N/A,FALSE,"MFT96";#N/A,#N/A,FALSE,"CTrecon"}</definedName>
    <definedName name="dsfgdsfgfdsg" hidden="1">{#N/A,#N/A,FALSE,"TMCOMP96";#N/A,#N/A,FALSE,"MAT96";#N/A,#N/A,FALSE,"FANDA96";#N/A,#N/A,FALSE,"INTRAN96";#N/A,#N/A,FALSE,"NAA9697";#N/A,#N/A,FALSE,"ECWEBB";#N/A,#N/A,FALSE,"MFT96";#N/A,#N/A,FALSE,"CTrecon"}</definedName>
    <definedName name="dsfgdsg" hidden="1">{#N/A,#N/A,FALSE,"TMCOMP96";#N/A,#N/A,FALSE,"MAT96";#N/A,#N/A,FALSE,"FANDA96";#N/A,#N/A,FALSE,"INTRAN96";#N/A,#N/A,FALSE,"NAA9697";#N/A,#N/A,FALSE,"ECWEBB";#N/A,#N/A,FALSE,"MFT96";#N/A,#N/A,FALSE,"CTrecon"}</definedName>
    <definedName name="dSourceCodes">#REF!</definedName>
    <definedName name="dtlruse">#REF!</definedName>
    <definedName name="DTNI">[27]Data!$AH:$AH</definedName>
    <definedName name="DTNI_POP">[27]Data!$AG:$AG</definedName>
    <definedName name="DTNIPOS">[27]Data!$BI:$BI</definedName>
    <definedName name="DualRunningMonths">'[48]Front Sheet'!$G$16</definedName>
    <definedName name="DURHAM" localSheetId="58">#REF!</definedName>
    <definedName name="DURHAM">#REF!</definedName>
    <definedName name="dwl_data" localSheetId="58">[86]Download!$B$2:$CE$81</definedName>
    <definedName name="dwl_data">[87]Download!$B$2:$CE$81</definedName>
    <definedName name="dwl_data_fy">[88]Download!$B$65:$CE$79</definedName>
    <definedName name="dwl_data_P09b">#REF!</definedName>
    <definedName name="dwl_dates" localSheetId="58">[86]Download!$A$2:$A$81</definedName>
    <definedName name="dwl_dates">[87]Download!$A$2:$A$81</definedName>
    <definedName name="dwl_dates_fy">[88]Download!$A$65:$A$79</definedName>
    <definedName name="dwl_dates_P09b">#REF!</definedName>
    <definedName name="dwl_vars" localSheetId="58">[86]Download!$B$1:$CE$1</definedName>
    <definedName name="dwl_vars">[87]Download!$B$1:$CE$1</definedName>
    <definedName name="dwl_vars_P09b">#REF!</definedName>
    <definedName name="DYFED" localSheetId="58">#REF!</definedName>
    <definedName name="DYFED">#REF!</definedName>
    <definedName name="e" localSheetId="23">#REF!</definedName>
    <definedName name="e" localSheetId="24">#REF!</definedName>
    <definedName name="e">#REF!</definedName>
    <definedName name="E_SUSSEX" localSheetId="58">#REF!</definedName>
    <definedName name="E_SUSSEX">#REF!</definedName>
    <definedName name="EAENGLAND">[27]Data!$BU:$BU</definedName>
    <definedName name="ealevfss">#REF!</definedName>
    <definedName name="ECnames">'[89]EC codes'!$A$2:$B$124</definedName>
    <definedName name="ECODE">'[52]LA lookup'!$A$4:$A$553</definedName>
    <definedName name="Ecodes">#REF!</definedName>
    <definedName name="Ecodesbkup">#REF!</definedName>
    <definedName name="EcoY1">'[48]Front Sheet'!$G$12</definedName>
    <definedName name="ecscost">'[90]Dint 13'!#REF!</definedName>
    <definedName name="EDDEN.POL">[23]Police!#REF!</definedName>
    <definedName name="edg">#REF!</definedName>
    <definedName name="EDU8_BA">'[27]Children''s Services'!$G:$G</definedName>
    <definedName name="EDU8_DEP_TU">'[27]Children''s Services'!$H:$H</definedName>
    <definedName name="EDU8_ETH_TU">'[27]Children''s Services'!$I:$I</definedName>
    <definedName name="EDU9_FCOST">'[27]Children''s Services'!$U:$U</definedName>
    <definedName name="EDU9_PBA">'[27]Children''s Services'!$P:$P</definedName>
    <definedName name="EDU9_PDEP_TU">'[27]Children''s Services'!$R:$R</definedName>
    <definedName name="EDU9_RPBA">'[27]Children''s Services'!$Q:$Q</definedName>
    <definedName name="EDU9_RPDEP_TU">'[27]Children''s Services'!$T:$T</definedName>
    <definedName name="EDU9_SPAR_TU">'[27]Children''s Services'!$S:$S</definedName>
    <definedName name="edufloor">[41]Parameters!$C$3</definedName>
    <definedName name="edufss">#REF!</definedName>
    <definedName name="EDUSAFE">[27]Data!$BA:$BA</definedName>
    <definedName name="ee">#REF!</definedName>
    <definedName name="eeapp">'[90]Dint 13'!#REF!</definedName>
    <definedName name="eee">#REF!</definedName>
    <definedName name="eeeee">#REF!</definedName>
    <definedName name="EFO" localSheetId="50" hidden="1">'[5]Forecast data'!#REF!</definedName>
    <definedName name="EFO" localSheetId="32" hidden="1">'[5]Forecast data'!#REF!</definedName>
    <definedName name="EFO" localSheetId="58" hidden="1">'[5]Forecast data'!#REF!</definedName>
    <definedName name="EFO" hidden="1">'[5]Forecast data'!#REF!</definedName>
    <definedName name="eh" hidden="1">{"'Trust by name'!$A$6:$E$350","'Trust by name'!$A$1:$D$348"}</definedName>
    <definedName name="EIF1516BL">'[54]1516 data'!$H:$H</definedName>
    <definedName name="EIF1516RSG">'[54]1516 data'!$W:$W</definedName>
    <definedName name="endt1">'[91]End tables'!$A$3:$O$73</definedName>
    <definedName name="endt10">'[91]End tables'!$A$472:$N$485</definedName>
    <definedName name="endt10and11">'[91]End tables'!$A$500:$O$587</definedName>
    <definedName name="endt11">'[91]End tables'!$A$279:$O$302</definedName>
    <definedName name="endt11and12">'[91]End tables'!$A$279:$O$631</definedName>
    <definedName name="endt12">'[91]End tables'!$A$589:$N$631</definedName>
    <definedName name="endt12and13">'[91]End tables'!$A$589:$O$692</definedName>
    <definedName name="endt13">'[91]End tables'!$A$633:$O$692</definedName>
    <definedName name="endt1b">'[91]End tables'!$A$76:$O$156</definedName>
    <definedName name="endt1C">'[92]End tables'!#REF!</definedName>
    <definedName name="endt2">'[91]End tables'!$A$159:$O$244</definedName>
    <definedName name="endt3">'[91]End tables'!$A$247:$O$277</definedName>
    <definedName name="endt3and4">'[91]End tables'!$A$247:$O$302</definedName>
    <definedName name="endt4">'[92]End tables'!#REF!</definedName>
    <definedName name="endt4p">'[93]End tables'!#REF!</definedName>
    <definedName name="endt5">'[91]End tables'!$A$351:$M$365</definedName>
    <definedName name="endt5and6">'[91]End tables'!$A$305:$O$379</definedName>
    <definedName name="endt7">'[91]End tables'!$A$432:$N$470</definedName>
    <definedName name="endt7and8">'[91]End tables'!$A$381:$O$485</definedName>
    <definedName name="endt8">'[91]End tables'!$A$472:$N$485</definedName>
    <definedName name="endt9">'[91]End tables'!$A$500:$N$541</definedName>
    <definedName name="endt9and10">'[91]End tables'!$A$500:$O$588</definedName>
    <definedName name="EngTot">#REF!</definedName>
    <definedName name="Entity">[66]Defaults!$B$57</definedName>
    <definedName name="EPCSRNF">[27]Summary!$AC:$AC</definedName>
    <definedName name="ERASE">[2]PC1!$AG$115</definedName>
    <definedName name="errors">[47]CHECK!$C$2</definedName>
    <definedName name="EscortsY1">'[48]Front Sheet'!$G$11</definedName>
    <definedName name="ESG1415RSG">'[54]1516 data'!$AF:$AF</definedName>
    <definedName name="Essex" localSheetId="58">#REF!</definedName>
    <definedName name="ESSEX">#REF!</definedName>
    <definedName name="ETHAT">'[27]Children''s Services'!$E:$E</definedName>
    <definedName name="ETHSEC">[27]Data!$F:$F</definedName>
    <definedName name="Ev" localSheetId="58">[94]Determinants!$CL$2:$CL$8</definedName>
    <definedName name="Ev">[95]Determinants!$CL$2:$CL$8</definedName>
    <definedName name="Excel_BuiltIn__FilterDatabase_1">'[96]Field List'!$A$5:$CR$239</definedName>
    <definedName name="Excel_BuiltIn__FilterDatabase_1_1">'[96]Field List'!$A$5:$CR$239</definedName>
    <definedName name="Excess_fares">'[28]T&amp;S'!$C$9:$W$9</definedName>
    <definedName name="_xlnm.Extract" localSheetId="23">#REF!</definedName>
    <definedName name="_xlnm.Extract" localSheetId="24">#REF!</definedName>
    <definedName name="_xlnm.Extract">[97]_RawData!$A$1:$C$868</definedName>
    <definedName name="ExtraProfiles" localSheetId="50" hidden="1">#REF!</definedName>
    <definedName name="ExtraProfiles" localSheetId="32" hidden="1">#REF!</definedName>
    <definedName name="ExtraProfiles" localSheetId="58" hidden="1">#REF!</definedName>
    <definedName name="ExtraProfiles" hidden="1">#REF!</definedName>
    <definedName name="ExtraProfiless" hidden="1">#REF!</definedName>
    <definedName name="f">#REF!</definedName>
    <definedName name="F1674HOME">[27]Data!$R:$R</definedName>
    <definedName name="FDDD" localSheetId="50" hidden="1">{#N/A,#N/A,FALSE,"TMCOMP96";#N/A,#N/A,FALSE,"MAT96";#N/A,#N/A,FALSE,"FANDA96";#N/A,#N/A,FALSE,"INTRAN96";#N/A,#N/A,FALSE,"NAA9697";#N/A,#N/A,FALSE,"ECWEBB";#N/A,#N/A,FALSE,"MFT96";#N/A,#N/A,FALSE,"CTrecon"}</definedName>
    <definedName name="FDDD" localSheetId="32" hidden="1">{#N/A,#N/A,FALSE,"TMCOMP96";#N/A,#N/A,FALSE,"MAT96";#N/A,#N/A,FALSE,"FANDA96";#N/A,#N/A,FALSE,"INTRAN96";#N/A,#N/A,FALSE,"NAA9697";#N/A,#N/A,FALSE,"ECWEBB";#N/A,#N/A,FALSE,"MFT96";#N/A,#N/A,FALSE,"CTrecon"}</definedName>
    <definedName name="FDDD" localSheetId="58" hidden="1">{#N/A,#N/A,FALSE,"TMCOMP96";#N/A,#N/A,FALSE,"MAT96";#N/A,#N/A,FALSE,"FANDA96";#N/A,#N/A,FALSE,"INTRAN96";#N/A,#N/A,FALSE,"NAA9697";#N/A,#N/A,FALSE,"ECWEBB";#N/A,#N/A,FALSE,"MFT96";#N/A,#N/A,FALSE,"CTrecon"}</definedName>
    <definedName name="FDDD" hidden="1">{#N/A,#N/A,FALSE,"TMCOMP96";#N/A,#N/A,FALSE,"MAT96";#N/A,#N/A,FALSE,"FANDA96";#N/A,#N/A,FALSE,"INTRAN96";#N/A,#N/A,FALSE,"NAA9697";#N/A,#N/A,FALSE,"ECWEBB";#N/A,#N/A,FALSE,"MFT96";#N/A,#N/A,FALSE,"CTrecon"}</definedName>
    <definedName name="fdgfgfd" hidden="1">{#N/A,#N/A,FALSE,"TMCOMP96";#N/A,#N/A,FALSE,"MAT96";#N/A,#N/A,FALSE,"FANDA96";#N/A,#N/A,FALSE,"INTRAN96";#N/A,#N/A,FALSE,"NAA9697";#N/A,#N/A,FALSE,"ECWEBB";#N/A,#N/A,FALSE,"MFT96";#N/A,#N/A,FALSE,"CTrecon"}</definedName>
    <definedName name="fdsgfdg" hidden="1">#REF!</definedName>
    <definedName name="FEB_2012">'[28]T&amp;S'!$N$6:$N$17</definedName>
    <definedName name="FeesY1">'[48]Front Sheet'!$G$8</definedName>
    <definedName name="fem">#REF!</definedName>
    <definedName name="females_UK" localSheetId="58">#REF!</definedName>
    <definedName name="females_UK">#REF!</definedName>
    <definedName name="fg" localSheetId="50" hidden="1">{#N/A,#N/A,FALSE,"TMCOMP96";#N/A,#N/A,FALSE,"MAT96";#N/A,#N/A,FALSE,"FANDA96";#N/A,#N/A,FALSE,"INTRAN96";#N/A,#N/A,FALSE,"NAA9697";#N/A,#N/A,FALSE,"ECWEBB";#N/A,#N/A,FALSE,"MFT96";#N/A,#N/A,FALSE,"CTrecon"}</definedName>
    <definedName name="fg" localSheetId="32" hidden="1">{#N/A,#N/A,FALSE,"TMCOMP96";#N/A,#N/A,FALSE,"MAT96";#N/A,#N/A,FALSE,"FANDA96";#N/A,#N/A,FALSE,"INTRAN96";#N/A,#N/A,FALSE,"NAA9697";#N/A,#N/A,FALSE,"ECWEBB";#N/A,#N/A,FALSE,"MFT96";#N/A,#N/A,FALSE,"CTrecon"}</definedName>
    <definedName name="fg" localSheetId="58" hidden="1">{#N/A,#N/A,FALSE,"TMCOMP96";#N/A,#N/A,FALSE,"MAT96";#N/A,#N/A,FALSE,"FANDA96";#N/A,#N/A,FALSE,"INTRAN96";#N/A,#N/A,FALSE,"NAA9697";#N/A,#N/A,FALSE,"ECWEBB";#N/A,#N/A,FALSE,"MFT96";#N/A,#N/A,FALSE,"CTrecon"}</definedName>
    <definedName name="fg" hidden="1">{#N/A,#N/A,FALSE,"TMCOMP96";#N/A,#N/A,FALSE,"MAT96";#N/A,#N/A,FALSE,"FANDA96";#N/A,#N/A,FALSE,"INTRAN96";#N/A,#N/A,FALSE,"NAA9697";#N/A,#N/A,FALSE,"ECWEBB";#N/A,#N/A,FALSE,"MFT96";#N/A,#N/A,FALSE,"CTrecon"}</definedName>
    <definedName name="fg_1" hidden="1">{#N/A,#N/A,FALSE,"TMCOMP96";#N/A,#N/A,FALSE,"MAT96";#N/A,#N/A,FALSE,"FANDA96";#N/A,#N/A,FALSE,"INTRAN96";#N/A,#N/A,FALSE,"NAA9697";#N/A,#N/A,FALSE,"ECWEBB";#N/A,#N/A,FALSE,"MFT96";#N/A,#N/A,FALSE,"CTrecon"}</definedName>
    <definedName name="fg_2" hidden="1">{#N/A,#N/A,FALSE,"TMCOMP96";#N/A,#N/A,FALSE,"MAT96";#N/A,#N/A,FALSE,"FANDA96";#N/A,#N/A,FALSE,"INTRAN96";#N/A,#N/A,FALSE,"NAA9697";#N/A,#N/A,FALSE,"ECWEBB";#N/A,#N/A,FALSE,"MFT96";#N/A,#N/A,FALSE,"CTrecon"}</definedName>
    <definedName name="fg045rev">#REF!</definedName>
    <definedName name="fg045set">#REF!</definedName>
    <definedName name="fg056rev">#REF!</definedName>
    <definedName name="fg056set">#REF!</definedName>
    <definedName name="fgdd" hidden="1">{#N/A,#N/A,FALSE,"TMCOMP96";#N/A,#N/A,FALSE,"MAT96";#N/A,#N/A,FALSE,"FANDA96";#N/A,#N/A,FALSE,"INTRAN96";#N/A,#N/A,FALSE,"NAA9697";#N/A,#N/A,FALSE,"ECWEBB";#N/A,#N/A,FALSE,"MFT96";#N/A,#N/A,FALSE,"CTrecon"}</definedName>
    <definedName name="fgfd" localSheetId="50" hidden="1">{#N/A,#N/A,FALSE,"TMCOMP96";#N/A,#N/A,FALSE,"MAT96";#N/A,#N/A,FALSE,"FANDA96";#N/A,#N/A,FALSE,"INTRAN96";#N/A,#N/A,FALSE,"NAA9697";#N/A,#N/A,FALSE,"ECWEBB";#N/A,#N/A,FALSE,"MFT96";#N/A,#N/A,FALSE,"CTrecon"}</definedName>
    <definedName name="fgfd" localSheetId="32" hidden="1">{#N/A,#N/A,FALSE,"TMCOMP96";#N/A,#N/A,FALSE,"MAT96";#N/A,#N/A,FALSE,"FANDA96";#N/A,#N/A,FALSE,"INTRAN96";#N/A,#N/A,FALSE,"NAA9697";#N/A,#N/A,FALSE,"ECWEBB";#N/A,#N/A,FALSE,"MFT96";#N/A,#N/A,FALSE,"CTrecon"}</definedName>
    <definedName name="fgfd" localSheetId="58"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gfd_1" hidden="1">{#N/A,#N/A,FALSE,"TMCOMP96";#N/A,#N/A,FALSE,"MAT96";#N/A,#N/A,FALSE,"FANDA96";#N/A,#N/A,FALSE,"INTRAN96";#N/A,#N/A,FALSE,"NAA9697";#N/A,#N/A,FALSE,"ECWEBB";#N/A,#N/A,FALSE,"MFT96";#N/A,#N/A,FALSE,"CTrecon"}</definedName>
    <definedName name="fgfd_2" hidden="1">{#N/A,#N/A,FALSE,"TMCOMP96";#N/A,#N/A,FALSE,"MAT96";#N/A,#N/A,FALSE,"FANDA96";#N/A,#N/A,FALSE,"INTRAN96";#N/A,#N/A,FALSE,"NAA9697";#N/A,#N/A,FALSE,"ECWEBB";#N/A,#N/A,FALSE,"MFT96";#N/A,#N/A,FALSE,"CTrecon"}</definedName>
    <definedName name="fgg" hidden="1">{#N/A,#N/A,FALSE,"TMCOMP96";#N/A,#N/A,FALSE,"MAT96";#N/A,#N/A,FALSE,"FANDA96";#N/A,#N/A,FALSE,"INTRAN96";#N/A,#N/A,FALSE,"NAA9697";#N/A,#N/A,FALSE,"ECWEBB";#N/A,#N/A,FALSE,"MFT96";#N/A,#N/A,FALSE,"CTrecon"}</definedName>
    <definedName name="fghfgh" hidden="1">{#N/A,#N/A,FALSE,"TMCOMP96";#N/A,#N/A,FALSE,"MAT96";#N/A,#N/A,FALSE,"FANDA96";#N/A,#N/A,FALSE,"INTRAN96";#N/A,#N/A,FALSE,"NAA9697";#N/A,#N/A,FALSE,"ECWEBB";#N/A,#N/A,FALSE,"MFT96";#N/A,#N/A,FALSE,"CTrecon"}</definedName>
    <definedName name="fhg" hidden="1">'[4]Model inputs'!#REF!</definedName>
    <definedName name="Field_names_area">#REF!</definedName>
    <definedName name="FILE">[2]PC1!$AG$109</definedName>
    <definedName name="FILENAME">[69]information!$H$5</definedName>
    <definedName name="fill_area">#N/A</definedName>
    <definedName name="Filter">#REF!</definedName>
    <definedName name="finalfg">#REF!</definedName>
    <definedName name="FinancingOption">'[48]Front Sheet'!$G$32</definedName>
    <definedName name="FinCentral">#REF!</definedName>
    <definedName name="FIRE_BA">[27]Fire!$D:$D</definedName>
    <definedName name="FIRE_COAST_TU">[27]Fire!$E:$E</definedName>
    <definedName name="FIRE_DEP_TU">[27]Fire!$H:$H</definedName>
    <definedName name="FIRE_HR_TU">[27]Fire!$I:$I</definedName>
    <definedName name="FIRE_PDEN_TU">[27]Fire!$F:$F</definedName>
    <definedName name="FIRE_PSR_TU">[27]Fire!$J:$J</definedName>
    <definedName name="FIRE_SAFE_TU">[27]Fire!$K:$K</definedName>
    <definedName name="fireadj">#REF!</definedName>
    <definedName name="firefloor">[41]Parameters!$C$8</definedName>
    <definedName name="FIREFUND1516BL">'[54]1516 data'!$F:$F</definedName>
    <definedName name="FIREFUND1516RSG">'[54]1516 data'!$U:$U</definedName>
    <definedName name="FIRERNF">[27]Fire!$P:$P</definedName>
    <definedName name="First_3C">#REF!</definedName>
    <definedName name="Fiscal_year_period">'[28]T&amp;S'!$C$6:$W$17</definedName>
    <definedName name="fiscalevent" localSheetId="23">'[98]HHconsumption '!$A$4:$A$27</definedName>
    <definedName name="fiscalevent" localSheetId="24">'[98]HHconsumption '!$A$4:$A$27</definedName>
    <definedName name="fiscalevent">'[99]HHconsumption '!$A$4:$A$27</definedName>
    <definedName name="fiscalevent2" localSheetId="23">'[98]HHconsumption '!$A$4:$A$27</definedName>
    <definedName name="fiscalevent2" localSheetId="24">'[98]HHconsumption '!$A$4:$A$27</definedName>
    <definedName name="fiscalevent2">'[99]HHconsumption '!$A$4:$A$27</definedName>
    <definedName name="FLOOD3REV">[27]Data!#REF!</definedName>
    <definedName name="floodfss">#REF!</definedName>
    <definedName name="FLOW">'[27]Highway Maintenance'!$F:$F</definedName>
    <definedName name="FLOWALL3">[27]Data!$BF:$BF</definedName>
    <definedName name="FLOWHGVBUS3">[27]Data!$BG:$BG</definedName>
    <definedName name="FLUMP">[49]Raw_Precepting!$BN$10:$CE$109</definedName>
    <definedName name="FMCostsNominal">'[48]Unit Cost'!$D$31:$CK$31</definedName>
    <definedName name="fn">[100]Intro!$B$1</definedName>
    <definedName name="Fnc_Qtr">[67]LIVE!$M$2:$M$25262</definedName>
    <definedName name="Fnc_Year">[67]LIVE!$N$2:$N$25262</definedName>
    <definedName name="fore_ann_sum">#REF!</definedName>
    <definedName name="Forecast">'[101]CT Forecast'!$B$10:$BK$65</definedName>
    <definedName name="forecast_years">'[102]HMT Summary'!$B$42:$B$49</definedName>
    <definedName name="ForecastColumn">'[101]CT Forecast'!$B$10:$B$65</definedName>
    <definedName name="ForecastRow">'[101]CT Forecast'!$B$10:$BW$10</definedName>
    <definedName name="Foreign_travel">'[28]T&amp;S'!$C$7:$W$7</definedName>
    <definedName name="formatCol">[103]Formatting!#REF!</definedName>
    <definedName name="formatRow">[103]Formatting!#REF!</definedName>
    <definedName name="FP">#REF!</definedName>
    <definedName name="FTEs">'[48]Closure Options'!$R$12</definedName>
    <definedName name="FTRANDATAFY">[104]FTRAN!$B$74:$AG$88</definedName>
    <definedName name="FTRANDATEFY">[104]FTRAN!$A$74:$A$88</definedName>
    <definedName name="FTRANVAR">[104]FTRAN!$B$12:$AG$12</definedName>
    <definedName name="fudge_factor">#REF!</definedName>
    <definedName name="fudge_factor_136">#REF!</definedName>
    <definedName name="fudge_factor_15">#REF!</definedName>
    <definedName name="fudge_factor_174">#REF!</definedName>
    <definedName name="fudge_factor_177">#REF!</definedName>
    <definedName name="fudge_factor_191">#REF!</definedName>
    <definedName name="fudge_factor_207">#REF!</definedName>
    <definedName name="fudge_factor_229">#REF!</definedName>
    <definedName name="fudge_factor_48">#REF!</definedName>
    <definedName name="fudge_factor_61">#REF!</definedName>
    <definedName name="fudge_factor_72">#REF!</definedName>
    <definedName name="funding">[41]Parameters!$B$18</definedName>
    <definedName name="fyu" localSheetId="50" hidden="1">'[5]Forecast data'!#REF!</definedName>
    <definedName name="fyu" localSheetId="32" hidden="1">'[5]Forecast data'!#REF!</definedName>
    <definedName name="fyu" localSheetId="58" hidden="1">'[5]Forecast data'!#REF!</definedName>
    <definedName name="fyu" localSheetId="23" hidden="1">'[5]Forecast data'!#REF!</definedName>
    <definedName name="fyu" localSheetId="24" hidden="1">'[5]Forecast data'!#REF!</definedName>
    <definedName name="fyu" hidden="1">'[5]Forecast data'!#REF!</definedName>
    <definedName name="g">#REF!</definedName>
    <definedName name="Gas_1P_replacement">'[105]reserves projection'!$AC$2</definedName>
    <definedName name="Gas_2P_replacement">'[105]reserves projection'!$AE$2</definedName>
    <definedName name="General_CDEL" localSheetId="58">OFFSET([38]CDEL!$G$17,0,0,MAX([38]CDEL!$B$17:$B100)-1,1)</definedName>
    <definedName name="General_CDEL" localSheetId="23">OFFSET([39]CDEL!$G$17,0,0,MAX([39]CDEL!$B$17:$B100)-1,1)</definedName>
    <definedName name="General_CDEL" localSheetId="24">OFFSET([39]CDEL!$G$17,0,0,MAX([39]CDEL!$B$17:$B100)-1,1)</definedName>
    <definedName name="General_CDEL">OFFSET([40]CDEL!$G$17,0,0,MAX([40]CDEL!$B$17:$B100)-1,1)</definedName>
    <definedName name="General_RDEL" localSheetId="58">OFFSET([38]RDEL!$G$17,0,0,MAX([38]RDEL!$B$17:$B100)-1,1)</definedName>
    <definedName name="General_RDEL" localSheetId="23">OFFSET([39]RDEL!$G$17,0,0,MAX([39]RDEL!$B$17:$B100)-1,1)</definedName>
    <definedName name="General_RDEL" localSheetId="24">OFFSET([39]RDEL!$G$17,0,0,MAX([39]RDEL!$B$17:$B100)-1,1)</definedName>
    <definedName name="General_RDEL">OFFSET([40]RDEL!$G$17,0,0,MAX([40]RDEL!$B$17:$B100)-1,1)</definedName>
    <definedName name="GEOG9703">#REF!</definedName>
    <definedName name="ghj" localSheetId="50" hidden="1">{#N/A,#N/A,FALSE,"TMCOMP96";#N/A,#N/A,FALSE,"MAT96";#N/A,#N/A,FALSE,"FANDA96";#N/A,#N/A,FALSE,"INTRAN96";#N/A,#N/A,FALSE,"NAA9697";#N/A,#N/A,FALSE,"ECWEBB";#N/A,#N/A,FALSE,"MFT96";#N/A,#N/A,FALSE,"CTrecon"}</definedName>
    <definedName name="ghj" localSheetId="32" hidden="1">{#N/A,#N/A,FALSE,"TMCOMP96";#N/A,#N/A,FALSE,"MAT96";#N/A,#N/A,FALSE,"FANDA96";#N/A,#N/A,FALSE,"INTRAN96";#N/A,#N/A,FALSE,"NAA9697";#N/A,#N/A,FALSE,"ECWEBB";#N/A,#N/A,FALSE,"MFT96";#N/A,#N/A,FALSE,"CTrecon"}</definedName>
    <definedName name="ghj" localSheetId="58" hidden="1">{#N/A,#N/A,FALSE,"TMCOMP96";#N/A,#N/A,FALSE,"MAT96";#N/A,#N/A,FALSE,"FANDA96";#N/A,#N/A,FALSE,"INTRAN96";#N/A,#N/A,FALSE,"NAA9697";#N/A,#N/A,FALSE,"ECWEBB";#N/A,#N/A,FALSE,"MFT96";#N/A,#N/A,FALSE,"CTrecon"}</definedName>
    <definedName name="ghj" hidden="1">{#N/A,#N/A,FALSE,"TMCOMP96";#N/A,#N/A,FALSE,"MAT96";#N/A,#N/A,FALSE,"FANDA96";#N/A,#N/A,FALSE,"INTRAN96";#N/A,#N/A,FALSE,"NAA9697";#N/A,#N/A,FALSE,"ECWEBB";#N/A,#N/A,FALSE,"MFT96";#N/A,#N/A,FALSE,"CTrecon"}</definedName>
    <definedName name="ghj_1" hidden="1">{#N/A,#N/A,FALSE,"TMCOMP96";#N/A,#N/A,FALSE,"MAT96";#N/A,#N/A,FALSE,"FANDA96";#N/A,#N/A,FALSE,"INTRAN96";#N/A,#N/A,FALSE,"NAA9697";#N/A,#N/A,FALSE,"ECWEBB";#N/A,#N/A,FALSE,"MFT96";#N/A,#N/A,FALSE,"CTrecon"}</definedName>
    <definedName name="ghj_2" hidden="1">{#N/A,#N/A,FALSE,"TMCOMP96";#N/A,#N/A,FALSE,"MAT96";#N/A,#N/A,FALSE,"FANDA96";#N/A,#N/A,FALSE,"INTRAN96";#N/A,#N/A,FALSE,"NAA9697";#N/A,#N/A,FALSE,"ECWEBB";#N/A,#N/A,FALSE,"MFT96";#N/A,#N/A,FALSE,"CTrecon"}</definedName>
    <definedName name="ghk" hidden="1">#REF!</definedName>
    <definedName name="GLAGEN1516BL">'[54]1516 data'!$I:$I</definedName>
    <definedName name="GLAGEN1516RSG">'[54]1516 data'!$X:$X</definedName>
    <definedName name="GLOS" localSheetId="58">#REF!</definedName>
    <definedName name="GLOS">#REF!</definedName>
    <definedName name="go">[106]DATA!$A$7:$AC$362</definedName>
    <definedName name="GPS_Fees">'[28]T&amp;S'!$C$17:$W$17</definedName>
    <definedName name="Grade">[107]Lists!$A$2:$A$10</definedName>
    <definedName name="Graph1a">INDEX('[108]C.Graphs 2'!$AI$12:$AI$381,MATCH('[108]C.Graphs 2'!$AL$5,'[108]C.Graphs 2'!$AI$12:$AI$381,0)):INDEX('[108]C.Graphs 2'!$AI$12:$AI$381,MATCH('[108]C.Graphs 2'!$AL$6,'[108]C.Graphs 2'!$AI$12:$AI$381,0))</definedName>
    <definedName name="Graph1b">INDEX('[108]C.Graphs 2'!$AL$12:$AL$381,MATCH('[108]C.Graphs 2'!$AL$5,'[108]C.Graphs 2'!$AI$12:$AI$381,0)):INDEX('[108]C.Graphs 2'!$AL$12:$AL$381,MATCH('[108]C.Graphs 2'!$AL$6,'[108]C.Graphs 2'!$AI$12:$AI$381,0))</definedName>
    <definedName name="Graph1c">INDEX('[108]C.Graphs 2'!$AM$12:$AM$381,MATCH('[108]C.Graphs 2'!$AL$5,'[108]C.Graphs 2'!$AI$12:$AI$381,0)):INDEX('[108]C.Graphs 2'!$AM$12:$AM$381,MATCH('[108]C.Graphs 2'!$AL$6,'[108]C.Graphs 2'!$AI$12:$AI$381,0))</definedName>
    <definedName name="GRAPHS">[109]Outturns!#REF!</definedName>
    <definedName name="GRITDAYS">[27]Data!$BN:$BN</definedName>
    <definedName name="Group">#REF!,#REF!,#REF!,#REF!</definedName>
    <definedName name="GTR_MAN" localSheetId="58">#REF!</definedName>
    <definedName name="GTR_MAN">#REF!</definedName>
    <definedName name="GWENT" localSheetId="58">#REF!</definedName>
    <definedName name="GWENT">#REF!</definedName>
    <definedName name="GWYNEDD" localSheetId="58">#REF!</definedName>
    <definedName name="GWYNEDD">#REF!</definedName>
    <definedName name="h">#REF!</definedName>
    <definedName name="hag">'[90]Dint 13'!#REF!</definedName>
    <definedName name="HANTS" localSheetId="58">#REF!</definedName>
    <definedName name="HANTS">#REF!</definedName>
    <definedName name="Healthpp">'[48]Front Sheet'!$D$20</definedName>
    <definedName name="HEREFORD_W" localSheetId="58">#REF!</definedName>
    <definedName name="HEREFORD_W">#REF!</definedName>
    <definedName name="HERTS" localSheetId="58">#REF!</definedName>
    <definedName name="HERTS">#REF!</definedName>
    <definedName name="hgjk" hidden="1">#REF!</definedName>
    <definedName name="hh" hidden="1">[7]Data!#REF!</definedName>
    <definedName name="HIGH_Southwark__Income_by_year">#REF!</definedName>
    <definedName name="hist22_levels_bottom">[3]VAC02!$A$62</definedName>
    <definedName name="hist22_ratios_bottom">[3]VAC02!$A$194</definedName>
    <definedName name="hist22_ratios_top">[3]VAC02!$A$67</definedName>
    <definedName name="Historical" localSheetId="23">#REF!</definedName>
    <definedName name="Historical" localSheetId="24">#REF!</definedName>
    <definedName name="Historical">[92]Latest!#REF!</definedName>
    <definedName name="hjkhkhk" hidden="1">#REF!</definedName>
    <definedName name="HLESSKID">[23]Indices!#REF!</definedName>
    <definedName name="hlesskid_mk">'[23]Indices 2'!#REF!</definedName>
    <definedName name="hlesskid_sdk">'[23]Indices 2'!#REF!</definedName>
    <definedName name="HoD">[110]Lists!$B$2:$B$116</definedName>
    <definedName name="home_eligibility">'[25]Inputs 5 - Other parameters'!$C$21</definedName>
    <definedName name="Hor">'[111]Ratings and Bandings'!$C$44:$G$44</definedName>
    <definedName name="Horizontal">[31]Matrix!$D$9:$H$9</definedName>
    <definedName name="HPF1516BL">'[54]1516 data'!$L:$L</definedName>
    <definedName name="HPF1516RSG">'[54]1516 data'!$Y:$Y</definedName>
    <definedName name="HSOP">#REF!</definedName>
    <definedName name="HTML_CodePage" localSheetId="58" hidden="1">1252</definedName>
    <definedName name="HTML_CodePage" hidden="1">1</definedName>
    <definedName name="HTML_Control" localSheetId="50" hidden="1">{"'Claimants'!$B$2:$E$38"}</definedName>
    <definedName name="HTML_Control" localSheetId="32" hidden="1">{"'Claimants'!$B$2:$E$38"}</definedName>
    <definedName name="HTML_Control" localSheetId="58" hidden="1">{"'Trust by name'!$A$6:$E$350","'Trust by name'!$A$1:$D$348"}</definedName>
    <definedName name="HTML_Control" hidden="1">{"'Claimants'!$B$2:$E$38"}</definedName>
    <definedName name="HTML_Description" localSheetId="58" hidden="1">""</definedName>
    <definedName name="HTML_Description" hidden="1">"Recipients of Attendance Allowance 1971-2000"</definedName>
    <definedName name="HTML_Email" hidden="1">""</definedName>
    <definedName name="HTML_Header" localSheetId="58" hidden="1">"Trust by name"</definedName>
    <definedName name="HTML_Header" hidden="1">""</definedName>
    <definedName name="HTML_LastUpdate" localSheetId="58" hidden="1">"22/03/2001"</definedName>
    <definedName name="HTML_LastUpdate" hidden="1">"22/08/2000"</definedName>
    <definedName name="HTML_LineAfter" localSheetId="58" hidden="1">FALSE</definedName>
    <definedName name="HTML_LineAfter" hidden="1">TRUE</definedName>
    <definedName name="HTML_LineBefore" localSheetId="58" hidden="1">FALSE</definedName>
    <definedName name="HTML_LineBefore" hidden="1">TRUE</definedName>
    <definedName name="HTML_Name" localSheetId="58" hidden="1">"OISIII"</definedName>
    <definedName name="HTML_Name" hidden="1">""</definedName>
    <definedName name="HTML_OBDlg2" hidden="1">TRUE</definedName>
    <definedName name="HTML_OBDlg4" hidden="1">TRUE</definedName>
    <definedName name="HTML_OS" hidden="1">0</definedName>
    <definedName name="HTML_PathFile" localSheetId="58" hidden="1">"G:\ACTIVITY\HELP\DTPANIC\2001-02\MyHTML.htm"</definedName>
    <definedName name="HTML_PathFile" hidden="1">"I:\users\personal\shared\Andrew Leicester\Web\aa.htm"</definedName>
    <definedName name="HTML_Title" localSheetId="58" hidden="1">"Section 1"</definedName>
    <definedName name="HTML_Title" hidden="1">"Fiscal Facts: Attendance Allowance"</definedName>
    <definedName name="HUMBERSIDE" localSheetId="58">#REF!</definedName>
    <definedName name="HUMBERSIDE" localSheetId="23">#REF!</definedName>
    <definedName name="HUMBERSIDE" localSheetId="24">#REF!</definedName>
    <definedName name="HUMBERSIDE">#REF!</definedName>
    <definedName name="HWAY_BA">'[27]Highway Maintenance'!$I:$I</definedName>
    <definedName name="HWAY_USE_TU">'[27]Highway Maintenance'!$J:$J</definedName>
    <definedName name="HWAY_WM_TU">'[27]Highway Maintenance'!$K:$K</definedName>
    <definedName name="HWAYRNF">'[27]Highway Maintenance'!$P:$P</definedName>
    <definedName name="I">[1]NICs!#REF!</definedName>
    <definedName name="I_OF_WIGHT" localSheetId="58">#REF!</definedName>
    <definedName name="I_OF_WIGHT">#REF!</definedName>
    <definedName name="IBSDA">[27]Data!#REF!</definedName>
    <definedName name="IBSDAN">[27]Data!$BP:$BP</definedName>
    <definedName name="ICP">[66]Defaults!$G$29</definedName>
    <definedName name="IDBLEVY">[27]Data!$BZ:$BZ</definedName>
    <definedName name="IE_inc_pc_byl">#REF!</definedName>
    <definedName name="ilgupPbr">#REF!</definedName>
    <definedName name="imf" hidden="1">#REF!</definedName>
    <definedName name="Impact_Tables_2" hidden="1">'[112]Forecast data'!#REF!</definedName>
    <definedName name="implementation_year">'[25]Inputs 5 - Other parameters'!#REF!</definedName>
    <definedName name="Import_AuditData">#REF!</definedName>
    <definedName name="Import_FormData">#REF!</definedName>
    <definedName name="Import_LA_Code">'[113]Part 1'!#REF!</definedName>
    <definedName name="Import_LA_Name">'[113]Part 1'!#REF!</definedName>
    <definedName name="Import_NotesData">#REF!</definedName>
    <definedName name="Import_ValidationData">#REF!</definedName>
    <definedName name="ImpProb">[31]Matrix!$K$3:$K$7</definedName>
    <definedName name="inc_poc_chngs">#REF!</definedName>
    <definedName name="Income.Scenarios">'[114]Income Typ.Scenarios'!$A$6:$BU$389</definedName>
    <definedName name="Incoming1">[49]Incoming1!$1:$1048576</definedName>
    <definedName name="Incoming2">[49]Incoming2!$1:$1048576</definedName>
    <definedName name="INCTOT">'[52]TOT INCsw'!$B$15:$J$477</definedName>
    <definedName name="INCTOTecode">'[52]TOT INCsw'!$B$15:$B$477</definedName>
    <definedName name="INCTOTyr">'[52]TOT INCsw'!$B$15:$J$15</definedName>
    <definedName name="INDEXF1">[27]Data!$AX:$AX</definedName>
    <definedName name="INDEXK1">[23]Indices!#REF!</definedName>
    <definedName name="indfg">#REF!</definedName>
    <definedName name="indicator">[97]_Parameters!$D$14</definedName>
    <definedName name="initial">#REF!</definedName>
    <definedName name="INPUT">#REF!</definedName>
    <definedName name="INPUT_BOX">[115]Calculation!$C$2</definedName>
    <definedName name="input_qdata1">[49]Incoming1!$1:$1</definedName>
    <definedName name="input_qdata2">[49]Incoming2!$1:$1</definedName>
    <definedName name="INSIDEAEF" localSheetId="23">'[116]RG raw'!$J$6:$L$71</definedName>
    <definedName name="INSIDEAEF" localSheetId="24">'[116]RG raw'!$J$6:$L$71</definedName>
    <definedName name="INSIDEAEF">'[117]RG raw'!$J$6:$L$71</definedName>
    <definedName name="intid">#REF!</definedName>
    <definedName name="ios_top">[41]Parameters!$B$28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IS1864_3">[27]Data!$M:$M</definedName>
    <definedName name="ISALL3">[27]Data!$AJ:$AJ</definedName>
    <definedName name="ISALLN3">[27]Data!$BQ:$BQ</definedName>
    <definedName name="ISAT">'[27]Children''s Services'!$D:$D</definedName>
    <definedName name="ishomes">[23]Background!#REF!</definedName>
    <definedName name="ishomesn">[23]Background!#REF!</definedName>
    <definedName name="ISKID3">[27]Data!$E:$E</definedName>
    <definedName name="ISPEN3">[27]Data!$Y:$Y</definedName>
    <definedName name="ISPENN3">[27]Data!$BR:$BR</definedName>
    <definedName name="JAN_2012">'[28]T&amp;S'!$M$6:$M$17</definedName>
    <definedName name="JanpopF">#REF!</definedName>
    <definedName name="janpopm">#REF!</definedName>
    <definedName name="janpopp">#REF!</definedName>
    <definedName name="jhkgh" localSheetId="50" hidden="1">{#N/A,#N/A,FALSE,"TMCOMP96";#N/A,#N/A,FALSE,"MAT96";#N/A,#N/A,FALSE,"FANDA96";#N/A,#N/A,FALSE,"INTRAN96";#N/A,#N/A,FALSE,"NAA9697";#N/A,#N/A,FALSE,"ECWEBB";#N/A,#N/A,FALSE,"MFT96";#N/A,#N/A,FALSE,"CTrecon"}</definedName>
    <definedName name="jhkgh" localSheetId="32" hidden="1">{#N/A,#N/A,FALSE,"TMCOMP96";#N/A,#N/A,FALSE,"MAT96";#N/A,#N/A,FALSE,"FANDA96";#N/A,#N/A,FALSE,"INTRAN96";#N/A,#N/A,FALSE,"NAA9697";#N/A,#N/A,FALSE,"ECWEBB";#N/A,#N/A,FALSE,"MFT96";#N/A,#N/A,FALSE,"CTrecon"}</definedName>
    <definedName name="jhkgh" localSheetId="58" hidden="1">{#N/A,#N/A,FALSE,"TMCOMP96";#N/A,#N/A,FALSE,"MAT96";#N/A,#N/A,FALSE,"FANDA96";#N/A,#N/A,FALSE,"INTRAN96";#N/A,#N/A,FALSE,"NAA9697";#N/A,#N/A,FALSE,"ECWEBB";#N/A,#N/A,FALSE,"MFT96";#N/A,#N/A,FALSE,"CTrecon"}</definedName>
    <definedName name="jhkgh" hidden="1">{#N/A,#N/A,FALSE,"TMCOMP96";#N/A,#N/A,FALSE,"MAT96";#N/A,#N/A,FALSE,"FANDA96";#N/A,#N/A,FALSE,"INTRAN96";#N/A,#N/A,FALSE,"NAA9697";#N/A,#N/A,FALSE,"ECWEBB";#N/A,#N/A,FALSE,"MFT96";#N/A,#N/A,FALSE,"CTrecon"}</definedName>
    <definedName name="jhkgh_1" hidden="1">{#N/A,#N/A,FALSE,"TMCOMP96";#N/A,#N/A,FALSE,"MAT96";#N/A,#N/A,FALSE,"FANDA96";#N/A,#N/A,FALSE,"INTRAN96";#N/A,#N/A,FALSE,"NAA9697";#N/A,#N/A,FALSE,"ECWEBB";#N/A,#N/A,FALSE,"MFT96";#N/A,#N/A,FALSE,"CTrecon"}</definedName>
    <definedName name="jhkgh_2" hidden="1">{#N/A,#N/A,FALSE,"TMCOMP96";#N/A,#N/A,FALSE,"MAT96";#N/A,#N/A,FALSE,"FANDA96";#N/A,#N/A,FALSE,"INTRAN96";#N/A,#N/A,FALSE,"NAA9697";#N/A,#N/A,FALSE,"ECWEBB";#N/A,#N/A,FALSE,"MFT96";#N/A,#N/A,FALSE,"CTrecon"}</definedName>
    <definedName name="jhkgh2" localSheetId="50" hidden="1">{#N/A,#N/A,FALSE,"TMCOMP96";#N/A,#N/A,FALSE,"MAT96";#N/A,#N/A,FALSE,"FANDA96";#N/A,#N/A,FALSE,"INTRAN96";#N/A,#N/A,FALSE,"NAA9697";#N/A,#N/A,FALSE,"ECWEBB";#N/A,#N/A,FALSE,"MFT96";#N/A,#N/A,FALSE,"CTrecon"}</definedName>
    <definedName name="jhkgh2" localSheetId="32" hidden="1">{#N/A,#N/A,FALSE,"TMCOMP96";#N/A,#N/A,FALSE,"MAT96";#N/A,#N/A,FALSE,"FANDA96";#N/A,#N/A,FALSE,"INTRAN96";#N/A,#N/A,FALSE,"NAA9697";#N/A,#N/A,FALSE,"ECWEBB";#N/A,#N/A,FALSE,"MFT96";#N/A,#N/A,FALSE,"CTrecon"}</definedName>
    <definedName name="jhkgh2" localSheetId="58"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jhkgh2_1" hidden="1">{#N/A,#N/A,FALSE,"TMCOMP96";#N/A,#N/A,FALSE,"MAT96";#N/A,#N/A,FALSE,"FANDA96";#N/A,#N/A,FALSE,"INTRAN96";#N/A,#N/A,FALSE,"NAA9697";#N/A,#N/A,FALSE,"ECWEBB";#N/A,#N/A,FALSE,"MFT96";#N/A,#N/A,FALSE,"CTrecon"}</definedName>
    <definedName name="jhkgh2_2" hidden="1">{#N/A,#N/A,FALSE,"TMCOMP96";#N/A,#N/A,FALSE,"MAT96";#N/A,#N/A,FALSE,"FANDA96";#N/A,#N/A,FALSE,"INTRAN96";#N/A,#N/A,FALSE,"NAA9697";#N/A,#N/A,FALSE,"ECWEBB";#N/A,#N/A,FALSE,"MFT96";#N/A,#N/A,FALSE,"CTrecon"}</definedName>
    <definedName name="jhrg" hidden="1">#REF!</definedName>
    <definedName name="jjjk" hidden="1">#REF!</definedName>
    <definedName name="Job_Type">[107]Lists!$B$2:$B$11</definedName>
    <definedName name="JUL_2012">'[28]T&amp;S'!$F$6:$F$17</definedName>
    <definedName name="JUL_2013">'[28]T&amp;S'!$S$6:$S$17</definedName>
    <definedName name="JUN_2012">'[28]T&amp;S'!$E$6:$E$17</definedName>
    <definedName name="JUN_2013">'[28]T&amp;S'!$R$6:$R$17</definedName>
    <definedName name="jyyhfej" hidden="1">#REF!</definedName>
    <definedName name="KENT">#REF!</definedName>
    <definedName name="Key" localSheetId="23">[118]Tracker!$P$2:$P$4</definedName>
    <definedName name="Key" localSheetId="24">[118]Tracker!$P$2:$P$4</definedName>
    <definedName name="Key">[119]Tracker!#REF!</definedName>
    <definedName name="KIDBLACKETH">[27]Data!$L:$L</definedName>
    <definedName name="KIDDENS">[27]Data!#REF!</definedName>
    <definedName name="KIDHEALTH">[27]Data!$K:$K</definedName>
    <definedName name="KIDNONWPH">'[23]Personal social services'!#REF!</definedName>
    <definedName name="KIDRNF">[27]Summary!$H:$H</definedName>
    <definedName name="kkk" hidden="1">[7]Data!#REF!</definedName>
    <definedName name="LA">'[72]LA list'!$A$1:$A$327</definedName>
    <definedName name="LA_1">#REF!</definedName>
    <definedName name="LA_List" localSheetId="23">#REF!</definedName>
    <definedName name="LA_List" localSheetId="24">#REF!</definedName>
    <definedName name="LA_list">'[120]LA drop-down'!$AD$239:$AD$694</definedName>
    <definedName name="LA_names">[121]Lookups!$B$2:$B$385</definedName>
    <definedName name="Label">!#REF!</definedName>
    <definedName name="LAcodes">#REF!</definedName>
    <definedName name="LAdata">[122]Pensioner!$C$6:$T$338</definedName>
    <definedName name="LAdata_1">[122]Pensioner!$B$6:$AF$338</definedName>
    <definedName name="LAdata_10">#REF!</definedName>
    <definedName name="LAdata_11">[123]Pensioner!$C$6:$AC$338</definedName>
    <definedName name="LAdata_14">#REF!</definedName>
    <definedName name="LAdata_3">[122]Total!$C$6:$AG$338</definedName>
    <definedName name="LAdata_4">#REF!</definedName>
    <definedName name="LAdata_5">[122]Pensioner!$C$6:$AE$338</definedName>
    <definedName name="LAdata_7">#REF!</definedName>
    <definedName name="LAdata_8">[122]Total!$C$6:$AG$338</definedName>
    <definedName name="LAdata7">'[124]Table 2'!$D$9:$L$336</definedName>
    <definedName name="LAlist">#REF!</definedName>
    <definedName name="LAlist2">#REF!</definedName>
    <definedName name="LALOOK">'[52]LA lookup'!$A$4:$D$553</definedName>
    <definedName name="LALOOKLONG">'[52]LA lookup'!$A$4:$G$553</definedName>
    <definedName name="LAName">[125]Cover!$E$8</definedName>
    <definedName name="lanames">#REF!</definedName>
    <definedName name="LANCS" localSheetId="58">#REF!</definedName>
    <definedName name="LANCS">#REF!</definedName>
    <definedName name="LAs">#REF!</definedName>
    <definedName name="LAsbkup">#REF!</definedName>
    <definedName name="Last_3C">#REF!</definedName>
    <definedName name="Last_round">'[92]End tables'!#REF!</definedName>
    <definedName name="last_year">[97]_Parameters!$D$4</definedName>
    <definedName name="last_year_alias">[97]_Parameters!$E$4</definedName>
    <definedName name="LastEco">'[92]Tables ---&gt;'!$D$7</definedName>
    <definedName name="LastSheet">16</definedName>
    <definedName name="lat_data">[126]Data!$B$61:$K$67</definedName>
    <definedName name="lat_date">[126]Data!$B$60:$K$60</definedName>
    <definedName name="lat_var">[126]Data!$A$61:$A$67</definedName>
    <definedName name="LDHR1516BL">'[54]1516 data'!$N:$N</definedName>
    <definedName name="LDHR1516RSG">'[54]1516 data'!$AA:$AA</definedName>
    <definedName name="lease">'[90]Dint 13'!#REF!</definedName>
    <definedName name="LEICS" localSheetId="58">#REF!</definedName>
    <definedName name="LEICS">#REF!</definedName>
    <definedName name="LEVY">[127]Levy!$C$10:$H$98</definedName>
    <definedName name="LFEPA">#REF!</definedName>
    <definedName name="LINCS" localSheetId="58">#REF!</definedName>
    <definedName name="LINCS">#REF!</definedName>
    <definedName name="list">#REF!</definedName>
    <definedName name="list1">#REF!</definedName>
    <definedName name="list2">#REF!</definedName>
    <definedName name="list3">#REF!</definedName>
    <definedName name="list4">#REF!</definedName>
    <definedName name="LISTCLOSE">#REF!</definedName>
    <definedName name="listHA">#REF!</definedName>
    <definedName name="LISTNEW">#REF!</definedName>
    <definedName name="LiveInput">[128]Latest!$BJ$859</definedName>
    <definedName name="LLFA1516BL">'[54]1516 data'!$M:$M</definedName>
    <definedName name="LLFA1516RSG">'[54]1516 data'!$Z:$Z</definedName>
    <definedName name="LNBARS_HEC">[27]Data!$AI:$AI</definedName>
    <definedName name="LNOASPAR">[27]Data!$AR:$AR</definedName>
    <definedName name="LNOVERCROWD">[27]Data!$AT:$AT</definedName>
    <definedName name="LoBDATA">#REF!</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tion">[107]Lists!$D$2:$D$19</definedName>
    <definedName name="LONDON" localSheetId="58">#REF!</definedName>
    <definedName name="LONDON">#REF!</definedName>
    <definedName name="lower_capital_limit">'[25]Inputs 5 - Other parameters'!$C$7</definedName>
    <definedName name="lower_capital_limit_old">'[25]Inputs 5 - Other parameters'!$C$14</definedName>
    <definedName name="lpfkid_mk">'[23]Indices 2'!#REF!</definedName>
    <definedName name="lpfkid_sdk">'[23]Indices 2'!#REF!</definedName>
    <definedName name="LSC">#REF!</definedName>
    <definedName name="LTE">#REF!</definedName>
    <definedName name="ltfss">#REF!</definedName>
    <definedName name="LTFUND1516BL">'[54]1516 data'!$E:$E</definedName>
    <definedName name="LTFUND1516RSG">'[54]1516 data'!$T:$T</definedName>
    <definedName name="LTP">#REF!</definedName>
    <definedName name="LTUNEMP">[27]Data!$AM:$AM</definedName>
    <definedName name="LUHomelessEff">[29]Cover!$X$17</definedName>
    <definedName name="LUOERes">[29]Cover!$L$57</definedName>
    <definedName name="LUOtherEff">[29]Cover!$X$24</definedName>
    <definedName name="LUPHeadPC">[29]Cover!$X$32</definedName>
    <definedName name="LUPHeadPCO">[29]Cover!$X$32</definedName>
    <definedName name="LUPHeadPCSC">[29]Cover!$X$31</definedName>
    <definedName name="LUSavings">[29]Cover!$L$35</definedName>
    <definedName name="LUSCEff">[29]Cover!$X$9</definedName>
    <definedName name="LUUARes">[29]Cover!$L$65</definedName>
    <definedName name="LWP1516RSG">'[54]1516 data'!$R:$R</definedName>
    <definedName name="M_GLAM" localSheetId="58">#REF!</definedName>
    <definedName name="M_GLAM">#REF!</definedName>
    <definedName name="m3_per_boe">'[129]Brown Book reserves data'!$V$2</definedName>
    <definedName name="MAGIST">'[23]EPCS upper tier'!#REF!</definedName>
    <definedName name="Maintenance_ResourcePerc">'[48]Front Sheet'!$D$8</definedName>
    <definedName name="males_UK" localSheetId="58">#REF!</definedName>
    <definedName name="males_UK">#REF!</definedName>
    <definedName name="MAR_2012">'[28]T&amp;S'!$O$6:$O$17</definedName>
    <definedName name="Mary">#REF!</definedName>
    <definedName name="MasterArr">#REF!</definedName>
    <definedName name="Matrix">'[111]Ratings and Bandings'!$C$39:$G$43</definedName>
    <definedName name="MAY_2012">'[28]T&amp;S'!$D$6:$D$17</definedName>
    <definedName name="MAY_2013">'[28]T&amp;S'!$Q$6:$Q$17</definedName>
    <definedName name="Median">#REF!</definedName>
    <definedName name="MERSEYSIDE" localSheetId="58">#REF!</definedName>
    <definedName name="MERSEYSIDE">#REF!</definedName>
    <definedName name="midpop">#REF!</definedName>
    <definedName name="midpopF">#REF!</definedName>
    <definedName name="midpopm">#REF!</definedName>
    <definedName name="midpopp">#REF!</definedName>
    <definedName name="MigrantsF">#REF!</definedName>
    <definedName name="MigrantsM">#REF!</definedName>
    <definedName name="MigrantsM2">#REF!</definedName>
    <definedName name="MigrantsP">#REF!</definedName>
    <definedName name="Migration">#REF!</definedName>
    <definedName name="Mileage">'[28]T&amp;S'!$C$11:$W$11</definedName>
    <definedName name="MIN">#REF!</definedName>
    <definedName name="min_cen">[130]Assumptions!$C$164</definedName>
    <definedName name="mincheck">#REF!</definedName>
    <definedName name="MIRAS">[1]NICs!#REF!</definedName>
    <definedName name="MIXETH">[27]Data!$O:$O</definedName>
    <definedName name="mmm" hidden="1">'[4]Model inputs'!#REF!</definedName>
    <definedName name="Mon">"ANT!A6:EW940"</definedName>
    <definedName name="month">"Mth07"</definedName>
    <definedName name="MonthList">'[48]Options List'!$I$3:$I$500</definedName>
    <definedName name="Months" localSheetId="23">[131]Tracker!$X$2:$X$261</definedName>
    <definedName name="Months" localSheetId="24">[131]Tracker!$X$2:$X$261</definedName>
    <definedName name="Months">[82]QsYs!$F$25:$F$184</definedName>
    <definedName name="months_in_a_year">'[25]Inputs 5 - Other parameters'!$C$15</definedName>
    <definedName name="MonthVL">'[132]Date ref'!$A$1:$B$12</definedName>
    <definedName name="mpd_taxbase">[23]Background!#REF!</definedName>
    <definedName name="MPR">'[133]1_1611'!$A$1:$E$57</definedName>
    <definedName name="mt_cap_interaction">'[25]Inputs 5 - Other parameters'!$C$18</definedName>
    <definedName name="MU25UNEMP">[27]Data!$AQ:$AQ</definedName>
    <definedName name="mxF">#REF!</definedName>
    <definedName name="mxM">#REF!</definedName>
    <definedName name="mxP">#REF!</definedName>
    <definedName name="myNamedRange">#REF!</definedName>
    <definedName name="n" hidden="1">{#N/A,#N/A,FALSE,"TMCOMP96";#N/A,#N/A,FALSE,"MAT96";#N/A,#N/A,FALSE,"FANDA96";#N/A,#N/A,FALSE,"INTRAN96";#N/A,#N/A,FALSE,"NAA9697";#N/A,#N/A,FALSE,"ECWEBB";#N/A,#N/A,FALSE,"MFT96";#N/A,#N/A,FALSE,"CTrecon"}</definedName>
    <definedName name="N_YORKS" localSheetId="58">#REF!</definedName>
    <definedName name="N_YORKS" localSheetId="23">#REF!</definedName>
    <definedName name="N_YORKS" localSheetId="24">#REF!</definedName>
    <definedName name="N_YORKS">#REF!</definedName>
    <definedName name="Name" localSheetId="23">#REF!</definedName>
    <definedName name="Name" localSheetId="24">#REF!</definedName>
    <definedName name="name" hidden="1">{#N/A,#N/A,FALSE,"TMCOMP96";#N/A,#N/A,FALSE,"MAT96";#N/A,#N/A,FALSE,"FANDA96";#N/A,#N/A,FALSE,"INTRAN96";#N/A,#N/A,FALSE,"NAA9697";#N/A,#N/A,FALSE,"ECWEBB";#N/A,#N/A,FALSE,"MFT96";#N/A,#N/A,FALSE,"CTrecon"}</definedName>
    <definedName name="NEARNONCASH">#REF!</definedName>
    <definedName name="Needs">#REF!</definedName>
    <definedName name="NEG_A">[134]Parameters!$K$4</definedName>
    <definedName name="NEG_B">[134]Parameters!$K$7</definedName>
    <definedName name="NEG_C">[134]Parameters!$K$10</definedName>
    <definedName name="NEG_D">[134]Parameters!$K$13</definedName>
    <definedName name="new" hidden="1">{#N/A,#N/A,FALSE,"TMCOMP96";#N/A,#N/A,FALSE,"MAT96";#N/A,#N/A,FALSE,"FANDA96";#N/A,#N/A,FALSE,"INTRAN96";#N/A,#N/A,FALSE,"NAA9697";#N/A,#N/A,FALSE,"ECWEBB";#N/A,#N/A,FALSE,"MFT96";#N/A,#N/A,FALSE,"CTrecon"}</definedName>
    <definedName name="new_rpi" localSheetId="23">#REF!</definedName>
    <definedName name="new_rpi" localSheetId="24">#REF!</definedName>
    <definedName name="new_rpi">'[135]RPI RP underpin'!#REF!</definedName>
    <definedName name="NewClass1" hidden="1">#REF!</definedName>
    <definedName name="newFill_area">#N/A</definedName>
    <definedName name="NewLandY1">'[48]Front Sheet'!$G$5</definedName>
    <definedName name="NewSFA">[29]Cover!$K$72</definedName>
    <definedName name="NGL_bbl_per_tonne">#REF!</definedName>
    <definedName name="NHB">[29]Cover!$K$89</definedName>
    <definedName name="nhsa">#REF!</definedName>
    <definedName name="nhsdefs">#REF!</definedName>
    <definedName name="nhsdp">#REF!</definedName>
    <definedName name="nhstot">#REF!</definedName>
    <definedName name="nlfo">'[90]Dint 13'!#REF!</definedName>
    <definedName name="nlfout" localSheetId="23">'[90]Dint 13'!#REF!</definedName>
    <definedName name="nlfout" localSheetId="24">'[90]Dint 13'!#REF!</definedName>
    <definedName name="nlfout">'[90]Dint 13'!#REF!</definedName>
    <definedName name="nlfp">'[90]Dint 13'!#REF!</definedName>
    <definedName name="nlfpcout">'[90]Dint 13'!#REF!</definedName>
    <definedName name="nndr">#REF!</definedName>
    <definedName name="NNDR1">#REF!</definedName>
    <definedName name="NNDR1S">#REF!</definedName>
    <definedName name="NNDRGrowth">[29]Cover!$K$84</definedName>
    <definedName name="nnn" hidden="1">'[13]T3 Page 1'!#REF!</definedName>
    <definedName name="No.">#REF!</definedName>
    <definedName name="no_member">[97]_Parameters!$D$8</definedName>
    <definedName name="no_transition_months">'[25]Inputs 5 - Other parameters'!$C$16</definedName>
    <definedName name="NOCAR60PL">[27]Data!#REF!</definedName>
    <definedName name="NOCONFLICT" localSheetId="50" hidden="1">{#N/A,#N/A,FALSE,"TMCOMP96";#N/A,#N/A,FALSE,"MAT96";#N/A,#N/A,FALSE,"FANDA96";#N/A,#N/A,FALSE,"INTRAN96";#N/A,#N/A,FALSE,"NAA9697";#N/A,#N/A,FALSE,"ECWEBB";#N/A,#N/A,FALSE,"MFT96";#N/A,#N/A,FALSE,"CTrecon"}</definedName>
    <definedName name="NOCONFLICT" localSheetId="32" hidden="1">{#N/A,#N/A,FALSE,"TMCOMP96";#N/A,#N/A,FALSE,"MAT96";#N/A,#N/A,FALSE,"FANDA96";#N/A,#N/A,FALSE,"INTRAN96";#N/A,#N/A,FALSE,"NAA9697";#N/A,#N/A,FALSE,"ECWEBB";#N/A,#N/A,FALSE,"MFT96";#N/A,#N/A,FALSE,"CTrecon"}</definedName>
    <definedName name="NOCONFLICT" localSheetId="58" hidden="1">{#N/A,#N/A,FALSE,"TMCOMP96";#N/A,#N/A,FALSE,"MAT96";#N/A,#N/A,FALSE,"FANDA96";#N/A,#N/A,FALSE,"INTRAN96";#N/A,#N/A,FALSE,"NAA9697";#N/A,#N/A,FALSE,"ECWEBB";#N/A,#N/A,FALSE,"MFT96";#N/A,#N/A,FALSE,"CTrecon"}</definedName>
    <definedName name="NOCONFLICT" hidden="1">{#N/A,#N/A,FALSE,"TMCOMP96";#N/A,#N/A,FALSE,"MAT96";#N/A,#N/A,FALSE,"FANDA96";#N/A,#N/A,FALSE,"INTRAN96";#N/A,#N/A,FALSE,"NAA9697";#N/A,#N/A,FALSE,"ECWEBB";#N/A,#N/A,FALSE,"MFT96";#N/A,#N/A,FALSE,"CTrecon"}</definedName>
    <definedName name="NOFAMILY">[27]Data!$AE:$AE</definedName>
    <definedName name="Nom">#REF!</definedName>
    <definedName name="Nominal">#REF!</definedName>
    <definedName name="Nominals">'[136]Nominal Descriptions'!$A$1:$B$2164</definedName>
    <definedName name="NonConstrY1">'[48]Front Sheet'!$G$7</definedName>
    <definedName name="NonPayCostsNominal">'[48]Unit Cost'!$D$29:$CK$29</definedName>
    <definedName name="NORFOLK" localSheetId="58">#REF!</definedName>
    <definedName name="NORFOLK">#REF!</definedName>
    <definedName name="NORTHANTS" localSheetId="58">#REF!</definedName>
    <definedName name="NORTHANTS">#REF!</definedName>
    <definedName name="NORTHUMBERLAND" localSheetId="58">#REF!</definedName>
    <definedName name="NORTHUMBERLAND">#REF!</definedName>
    <definedName name="Not_being_used">#REF!</definedName>
    <definedName name="NOTTS" localSheetId="58">#REF!</definedName>
    <definedName name="NOTTS">#REF!</definedName>
    <definedName name="NOV_2012">'[28]T&amp;S'!$K$6:$K$17</definedName>
    <definedName name="NSSEC67">[27]Data!$AD:$AD</definedName>
    <definedName name="NSSEC678">[27]Data!$AN:$AN</definedName>
    <definedName name="NSSEC8">[27]Data!$AC:$AC</definedName>
    <definedName name="NTSTOTecode">[52]TOT!$B$15:$B$477</definedName>
    <definedName name="NTSTOTnom">[52]TOT!$A$15:$DB$477</definedName>
    <definedName name="NTSTOTyr">[52]TOT!$A$15:$DB$15</definedName>
    <definedName name="Num">#REF!</definedName>
    <definedName name="Number">'[137]AYLs re-forecast benefits +CPS '!$D$7:$J$11,'[137]AYLs re-forecast benefits +CPS '!$D$13:$J$19,'[137]AYLs re-forecast benefits +CPS '!$D$23:$J$29,'[137]AYLs re-forecast benefits +CPS '!$D$30:$J$32,'[137]AYLs re-forecast benefits +CPS '!$D$36:$J$38,'[137]AYLs re-forecast benefits +CPS '!$D$40:$J$60,'[137]AYLs re-forecast benefits +CPS '!$D$63:$J$71,'[137]AYLs re-forecast benefits +CPS '!$D$73:$J$76,'[137]AYLs re-forecast benefits +CPS '!$D$77:$J$80,'[137]AYLs re-forecast benefits +CPS '!$D$82:$J$82,'[137]AYLs re-forecast benefits +CPS '!$D$85:$J$87,'[137]AYLs re-forecast benefits +CPS '!$D$99:$J$100</definedName>
    <definedName name="numberherd1">#REF!</definedName>
    <definedName name="numberhered">#REF!</definedName>
    <definedName name="NumList">#REF!</definedName>
    <definedName name="NWHTKID">'[23]Personal social services'!#REF!</definedName>
    <definedName name="OA_Percent">#REF!</definedName>
    <definedName name="OADENSITY.NEW">[27]Data!$BO:$BO</definedName>
    <definedName name="OASPAR60PL">[27]Data!#REF!</definedName>
    <definedName name="OASPAR65PL">[27]Data!$Z:$Z</definedName>
    <definedName name="OASPARSITY">[27]Data!$AS:$AS</definedName>
    <definedName name="OCT_2012">'[28]T&amp;S'!$J$6:$J$17</definedName>
    <definedName name="OCT_2013">'[28]T&amp;S'!$W$6:$W$17</definedName>
    <definedName name="OI_bkup">#REF!</definedName>
    <definedName name="OIL">[1]NICs!#REF!</definedName>
    <definedName name="Oil_1P_replacement">'[105]reserves projection'!$I$2</definedName>
    <definedName name="Oil_2P_replacement">'[105]reserves projection'!$K$2</definedName>
    <definedName name="old_rpi">'[135]RPI RP underpin'!#REF!</definedName>
    <definedName name="Oldgrant">#REF!</definedName>
    <definedName name="ONS_NAA">#REF!</definedName>
    <definedName name="ONSCODE">'[52]LA lookup'!$C$4:$C$553</definedName>
    <definedName name="OPALONE">[27]Data!$X:$X</definedName>
    <definedName name="OpenMonth">'[48]Front Sheet'!$G$31</definedName>
    <definedName name="OpenYr">'[48]Front Sheet'!$G$42</definedName>
    <definedName name="OPRENTED">[27]Data!$W:$W</definedName>
    <definedName name="Option1">'[47]Global Inputs'!$A$452</definedName>
    <definedName name="Option2" localSheetId="50" hidden="1">{#N/A,#N/A,FALSE,"TMCOMP96";#N/A,#N/A,FALSE,"MAT96";#N/A,#N/A,FALSE,"FANDA96";#N/A,#N/A,FALSE,"INTRAN96";#N/A,#N/A,FALSE,"NAA9697";#N/A,#N/A,FALSE,"ECWEBB";#N/A,#N/A,FALSE,"MFT96";#N/A,#N/A,FALSE,"CTrecon"}</definedName>
    <definedName name="Option2" localSheetId="32" hidden="1">{#N/A,#N/A,FALSE,"TMCOMP96";#N/A,#N/A,FALSE,"MAT96";#N/A,#N/A,FALSE,"FANDA96";#N/A,#N/A,FALSE,"INTRAN96";#N/A,#N/A,FALSE,"NAA9697";#N/A,#N/A,FALSE,"ECWEBB";#N/A,#N/A,FALSE,"MFT96";#N/A,#N/A,FALSE,"CTrecon"}</definedName>
    <definedName name="Option2" localSheetId="58" hidden="1">{#N/A,#N/A,FALSE,"TMCOMP96";#N/A,#N/A,FALSE,"MAT96";#N/A,#N/A,FALSE,"FANDA96";#N/A,#N/A,FALSE,"INTRAN96";#N/A,#N/A,FALSE,"NAA9697";#N/A,#N/A,FALSE,"ECWEBB";#N/A,#N/A,FALSE,"MFT96";#N/A,#N/A,FALSE,"CTrecon"}</definedName>
    <definedName name="Option2" hidden="1">{#N/A,#N/A,FALSE,"TMCOMP96";#N/A,#N/A,FALSE,"MAT96";#N/A,#N/A,FALSE,"FANDA96";#N/A,#N/A,FALSE,"INTRAN96";#N/A,#N/A,FALSE,"NAA9697";#N/A,#N/A,FALSE,"ECWEBB";#N/A,#N/A,FALSE,"MFT96";#N/A,#N/A,FALSE,"CTrecon"}</definedName>
    <definedName name="Option2_1" hidden="1">{#N/A,#N/A,FALSE,"TMCOMP96";#N/A,#N/A,FALSE,"MAT96";#N/A,#N/A,FALSE,"FANDA96";#N/A,#N/A,FALSE,"INTRAN96";#N/A,#N/A,FALSE,"NAA9697";#N/A,#N/A,FALSE,"ECWEBB";#N/A,#N/A,FALSE,"MFT96";#N/A,#N/A,FALSE,"CTrecon"}</definedName>
    <definedName name="Option2_2" hidden="1">{#N/A,#N/A,FALSE,"TMCOMP96";#N/A,#N/A,FALSE,"MAT96";#N/A,#N/A,FALSE,"FANDA96";#N/A,#N/A,FALSE,"INTRAN96";#N/A,#N/A,FALSE,"NAA9697";#N/A,#N/A,FALSE,"ECWEBB";#N/A,#N/A,FALSE,"MFT96";#N/A,#N/A,FALSE,"CTrecon"}</definedName>
    <definedName name="Option4">'[47]Global Inputs'!$A$455</definedName>
    <definedName name="OptionList">'[48]Options List'!$B$3:$B$500</definedName>
    <definedName name="OptionNumber">'[48]Front Sheet'!$G$28</definedName>
    <definedName name="OptionSelection">'[48]Front Sheet'!$C$45</definedName>
    <definedName name="OptionSummary">'[48]Front Sheet'!$K$57:$K$86</definedName>
    <definedName name="ORDWATERXIDB">[27]Data!$CA:$CA</definedName>
    <definedName name="organisation">#REF!</definedName>
    <definedName name="OSB.L_ADDPOP_TU">'[27]EPCS - Main'!$G:$G</definedName>
    <definedName name="OSB.L_BA">'[27]EPCS - Main'!$D:$D</definedName>
    <definedName name="OSB.L_DEN_TU">'[27]EPCS - Main'!$E:$E</definedName>
    <definedName name="OSB.L_DEP_TU">'[27]EPCS - Main'!$H:$H</definedName>
    <definedName name="OSB.L_SPAR_TU">'[27]EPCS - Main'!$F:$F</definedName>
    <definedName name="OSB.U_ADDPOP_TU">'[27]EPCS - Main'!$S:$S</definedName>
    <definedName name="OSB.U_BA">'[27]EPCS - Main'!$P:$P</definedName>
    <definedName name="OSB.U_DEN_TU">'[27]EPCS - Main'!$Q:$Q</definedName>
    <definedName name="OSB.U_DEP_TU">'[27]EPCS - Main'!$T:$T</definedName>
    <definedName name="Oth_COINS_data">#REF!</definedName>
    <definedName name="other">#REF!</definedName>
    <definedName name="OTHERBU">[27]Data!$BD:$BD</definedName>
    <definedName name="OTHERETH">[27]Data!$N:$N</definedName>
    <definedName name="OTHERNBU">[27]Data!$BE:$BE</definedName>
    <definedName name="oto">'[90]Dint 13'!#REF!</definedName>
    <definedName name="otout">'[90]Dint 13'!#REF!</definedName>
    <definedName name="otp">'[90]Dint 13'!#REF!</definedName>
    <definedName name="OUTPUT">[1]NICs!#REF!</definedName>
    <definedName name="Output_L">IF([29]LAOutput!$BD$11:$BD$161="L",[29]LAOutput!$BF$11:$BF$161,"")</definedName>
    <definedName name="Output_MD">IF([29]LAOutput!$BD$11:$BD$161="MD",[29]LAOutput!$BF$11:$BF$161,"")</definedName>
    <definedName name="Output_SC">IF([29]LAOutput!$BD$11:$BD$161="SC",[29]LAOutput!$BF$11:$BF$161,"")</definedName>
    <definedName name="Output_UA">IF([29]LAOutput!$BD$11:$BD$161="UA",[29]LAOutput!$BF$11:$BF$161,"")</definedName>
    <definedName name="Output3">#REF!</definedName>
    <definedName name="OUTSIDEAEF" localSheetId="23">'[116]RG raw'!$J$74:$L$109</definedName>
    <definedName name="OUTSIDEAEF" localSheetId="24">'[116]RG raw'!$J$74:$L$109</definedName>
    <definedName name="OUTSIDEAEF">'[117]RG raw'!$J$74:$L$109</definedName>
    <definedName name="OVERALL_INCOME">#REF!</definedName>
    <definedName name="OXON" localSheetId="58">#REF!</definedName>
    <definedName name="OXON">#REF!</definedName>
    <definedName name="P">#REF!</definedName>
    <definedName name="page1">#REF!</definedName>
    <definedName name="PAGE2" localSheetId="23">[1]NICs!#REF!</definedName>
    <definedName name="PAGE2" localSheetId="24">[1]NICs!#REF!</definedName>
    <definedName name="page2">#REF!</definedName>
    <definedName name="PAGE3" localSheetId="23">[1]NICs!#REF!</definedName>
    <definedName name="PAGE3" localSheetId="24">[1]NICs!#REF!</definedName>
    <definedName name="page3">#REF!</definedName>
    <definedName name="PAGE4" localSheetId="23">[1]NICs!#REF!</definedName>
    <definedName name="PAGE4" localSheetId="24">[1]NICs!#REF!</definedName>
    <definedName name="page4">#REF!</definedName>
    <definedName name="PAGE5">[1]NICs!#REF!</definedName>
    <definedName name="PAGE6">[1]NICs!#REF!</definedName>
    <definedName name="Pal_Workbook_GUID" hidden="1">"N7IQZZD5YBE28RGZHB5UQVKH"</definedName>
    <definedName name="Pal_Workbook_GUID_1" hidden="1">"N7IQZZD5YBE28RGZHB5UQVKH"</definedName>
    <definedName name="PALL">[2]PC1!$AB$53</definedName>
    <definedName name="parents">!#REF!</definedName>
    <definedName name="Part1">#REF!</definedName>
    <definedName name="Part2">#REF!</definedName>
    <definedName name="Part3">#REF!</definedName>
    <definedName name="Part4">#REF!</definedName>
    <definedName name="Part5">#REF!</definedName>
    <definedName name="Paste_values">#REF!</definedName>
    <definedName name="PAT">[8]table!$H$9:$Q$19</definedName>
    <definedName name="Path">"G:\NHS CB\Finance\FCP\Financial Planning 2013-14\DC\All DC\24MAY13\Returns\"</definedName>
    <definedName name="PayCostsNominal">'[48]Unit Cost'!$D$27:$CK$27</definedName>
    <definedName name="PCCapDEL" localSheetId="23">!#REF!</definedName>
    <definedName name="PCCapDEL" localSheetId="24">!#REF!</definedName>
    <definedName name="PCCapDEL">#REF!</definedName>
    <definedName name="pcspsa">#REF!</definedName>
    <definedName name="pcspsdp">#REF!</definedName>
    <definedName name="pcspstot">#REF!</definedName>
    <definedName name="pdf_area">#REF!</definedName>
    <definedName name="PEA">'[25]Inputs 5 - Other parameters'!$C$12</definedName>
    <definedName name="peacekeeping">!#REF!</definedName>
    <definedName name="PEF_ID">[33]ADJUSTMENTS!$B:$B</definedName>
    <definedName name="PEF_input">[128]Latest!$I$197</definedName>
    <definedName name="Pensionadj">#REF!</definedName>
    <definedName name="persons_UK" localSheetId="58">#REF!</definedName>
    <definedName name="persons_UK">#REF!</definedName>
    <definedName name="PF2BuildCompleteYear">'[48]PF2 Inputs'!$E$38</definedName>
    <definedName name="PF2OpeningYear">'[48]PF2 Inputs'!$C$7</definedName>
    <definedName name="PFI_charges">'[23]Scaling factors'!#REF!</definedName>
    <definedName name="PFICHARGES">'[23]Capital finance'!#REF!</definedName>
    <definedName name="Philippa">'[138]Don''t delete'!$C$2:$C$15</definedName>
    <definedName name="PM">[139]Sheet1!$K$1:$S$13</definedName>
    <definedName name="PMIRAS">#REF!</definedName>
    <definedName name="PNIFIN">#REF!</definedName>
    <definedName name="PNIFIND">#REF!</definedName>
    <definedName name="PNIFINL">#REF!</definedName>
    <definedName name="POL_BA">[27]Police!$D:$D</definedName>
    <definedName name="POL_CRIME1_TU">[27]Police!$F:$F</definedName>
    <definedName name="POL_CRIME2_TU">[27]Police!$G:$G</definedName>
    <definedName name="POL_CRIME3_TU">[27]Police!$H:$H</definedName>
    <definedName name="POL_CRIME4_TU">[27]Police!$I:$I</definedName>
    <definedName name="POL_CRIME5_TU">[27]Police!$J:$J</definedName>
    <definedName name="POL_CRIME6_TU">[27]Police!$K:$K</definedName>
    <definedName name="POL_CRIME7_TU">[27]Police!$L:$L</definedName>
    <definedName name="POL_FEAR_TU">[27]Police!$N:$N</definedName>
    <definedName name="POL_INCIDENT_TU">[27]Police!$M:$M</definedName>
    <definedName name="POL_SPAR_TU">[27]Police!$P:$P</definedName>
    <definedName name="POL_TRAF_TU">[27]Police!$O:$O</definedName>
    <definedName name="POLDENSITY">[27]Data!$AL:$AL</definedName>
    <definedName name="polfloor">[41]Parameters!$C$7</definedName>
    <definedName name="polgrant">#REF!</definedName>
    <definedName name="POLRNF">[27]Police!$W:$W</definedName>
    <definedName name="pools">#REF!</definedName>
    <definedName name="Pop" localSheetId="50" hidden="1">[140]Population!#REF!</definedName>
    <definedName name="Pop" localSheetId="32" hidden="1">[140]Population!#REF!</definedName>
    <definedName name="Pop" localSheetId="58" hidden="1">[140]Population!#REF!</definedName>
    <definedName name="Pop" localSheetId="23" hidden="1">[140]Population!#REF!</definedName>
    <definedName name="Pop" localSheetId="24" hidden="1">[140]Population!#REF!</definedName>
    <definedName name="Pop" hidden="1">[140]Population!#REF!</definedName>
    <definedName name="POP65PLUSHHSR">[27]Data!$U:$U</definedName>
    <definedName name="POP90PLUSHHSR">[27]Data!$T:$T</definedName>
    <definedName name="Population" localSheetId="50" hidden="1">#REF!</definedName>
    <definedName name="Population" localSheetId="32" hidden="1">#REF!</definedName>
    <definedName name="Population" localSheetId="58" hidden="1">#REF!</definedName>
    <definedName name="Population" hidden="1">#REF!</definedName>
    <definedName name="PossPaths">[37]MakeTemplatesOld!$D$25:$D$29</definedName>
    <definedName name="Post_Economy">[92]Input!#REF!</definedName>
    <definedName name="POTHERS">#REF!</definedName>
    <definedName name="POWERS">#REF!</definedName>
    <definedName name="POWYS" localSheetId="58">#REF!</definedName>
    <definedName name="POWYS">#REF!</definedName>
    <definedName name="pp" hidden="1">'[13]T3 Page 1'!#REF!</definedName>
    <definedName name="PR">#REF!</definedName>
    <definedName name="Precepting">[49]Raw_Precepting!$B$10:$II$139</definedName>
    <definedName name="Precepting_Codes">[49]Raw_Precepting!$B$9:$II$9</definedName>
    <definedName name="Premium">#REF!</definedName>
    <definedName name="pressure_asc">[141]Pressure!$C:$C</definedName>
    <definedName name="pressure_ecode">[141]Pressure!$A:$A</definedName>
    <definedName name="pressure_tot">[141]Pressure!$D:$D</definedName>
    <definedName name="Previous">'[92]End tables'!#REF!</definedName>
    <definedName name="PreviousYear">[142]ValidationData!$A$1:$D$7775</definedName>
    <definedName name="PRINBU.GLA">[27]Data!$BB:$BB</definedName>
    <definedName name="Prince">'[143]Data Cal 1213'!$B$126:$P$175</definedName>
    <definedName name="PRINNBU.GLA">[27]Data!$BC:$BC</definedName>
    <definedName name="print" localSheetId="23">[8]table!$A$1:$U$46</definedName>
    <definedName name="print" localSheetId="24">[8]table!$A$1:$U$46</definedName>
    <definedName name="PRINT">[2]PC1!$AG$108</definedName>
    <definedName name="_xlnm.Print_Area" localSheetId="19">'30092024 deflator update'!$A$53:$G$68</definedName>
    <definedName name="_xlnm.Print_Area" localSheetId="23">#REF!</definedName>
    <definedName name="_xlnm.Print_Area" localSheetId="24">#REF!</definedName>
    <definedName name="_xlnm.Print_Area">#REF!</definedName>
    <definedName name="Print_Area_MI">#REF!</definedName>
    <definedName name="_xlnm.Print_Titles">#N/A</definedName>
    <definedName name="PRINT1">#REF!</definedName>
    <definedName name="PRINT2">#REF!</definedName>
    <definedName name="PRINT3">#REF!</definedName>
    <definedName name="PRINT4">#REF!</definedName>
    <definedName name="PRINT5" localSheetId="23">[1]NICs!#REF!</definedName>
    <definedName name="PRINT5" localSheetId="24">[1]NICs!#REF!</definedName>
    <definedName name="PRINT5">#REF!</definedName>
    <definedName name="PRINT6" localSheetId="23">[1]NICs!#REF!</definedName>
    <definedName name="PRINT6" localSheetId="24">[1]NICs!#REF!</definedName>
    <definedName name="PRINT6">#REF!</definedName>
    <definedName name="PRINT7">#REF!</definedName>
    <definedName name="PRINT8">#REF!</definedName>
    <definedName name="PRINTA">[8]table!$A$1:$U$46</definedName>
    <definedName name="Printtab" localSheetId="7">[144]!Printtab</definedName>
    <definedName name="Printtab" localSheetId="35">[144]!Printtab</definedName>
    <definedName name="Printtab" localSheetId="10">[144]!Printtab</definedName>
    <definedName name="Printtab" localSheetId="9">[144]!Printtab</definedName>
    <definedName name="Printtab" localSheetId="8">[144]!Printtab</definedName>
    <definedName name="Printtab" localSheetId="38">[144]!Printtab</definedName>
    <definedName name="Printtab">[144]!Printtab</definedName>
    <definedName name="Printtab10" localSheetId="7">[145]!Printtab10</definedName>
    <definedName name="Printtab10" localSheetId="35">[145]!Printtab10</definedName>
    <definedName name="Printtab10" localSheetId="10">[145]!Printtab10</definedName>
    <definedName name="Printtab10" localSheetId="9">[145]!Printtab10</definedName>
    <definedName name="Printtab10" localSheetId="8">[145]!Printtab10</definedName>
    <definedName name="Printtab10" localSheetId="38">[145]!Printtab10</definedName>
    <definedName name="Printtab10">[145]!Printtab10</definedName>
    <definedName name="Printtab11" localSheetId="7">[146]!Printtab11</definedName>
    <definedName name="Printtab11" localSheetId="35">[146]!Printtab11</definedName>
    <definedName name="Printtab11" localSheetId="10">[146]!Printtab11</definedName>
    <definedName name="Printtab11" localSheetId="9">[146]!Printtab11</definedName>
    <definedName name="Printtab11" localSheetId="8">[146]!Printtab11</definedName>
    <definedName name="Printtab11" localSheetId="38">[146]!Printtab11</definedName>
    <definedName name="Printtab11">[146]!Printtab11</definedName>
    <definedName name="Printtab2" localSheetId="7">[147]!Printtab2</definedName>
    <definedName name="Printtab2" localSheetId="35">[147]!Printtab2</definedName>
    <definedName name="Printtab2" localSheetId="10">[147]!Printtab2</definedName>
    <definedName name="Printtab2" localSheetId="9">[147]!Printtab2</definedName>
    <definedName name="Printtab2" localSheetId="8">[147]!Printtab2</definedName>
    <definedName name="Printtab2" localSheetId="38">[147]!Printtab2</definedName>
    <definedName name="Printtab2">[147]!Printtab2</definedName>
    <definedName name="Printtab3" localSheetId="7">[148]!Printtab3</definedName>
    <definedName name="Printtab3" localSheetId="35">[148]!Printtab3</definedName>
    <definedName name="Printtab3" localSheetId="10">[148]!Printtab3</definedName>
    <definedName name="Printtab3" localSheetId="9">[148]!Printtab3</definedName>
    <definedName name="Printtab3" localSheetId="8">[148]!Printtab3</definedName>
    <definedName name="Printtab3" localSheetId="38">[148]!Printtab3</definedName>
    <definedName name="Printtab3">[148]!Printtab3</definedName>
    <definedName name="Printtab4" localSheetId="7">[149]!Printtab4</definedName>
    <definedName name="Printtab4" localSheetId="35">[149]!Printtab4</definedName>
    <definedName name="Printtab4" localSheetId="10">[149]!Printtab4</definedName>
    <definedName name="Printtab4" localSheetId="9">[149]!Printtab4</definedName>
    <definedName name="Printtab4" localSheetId="8">[149]!Printtab4</definedName>
    <definedName name="Printtab4" localSheetId="38">[149]!Printtab4</definedName>
    <definedName name="Printtab4">[149]!Printtab4</definedName>
    <definedName name="Printtab5" localSheetId="7">[150]!Printtab5</definedName>
    <definedName name="Printtab5" localSheetId="35">[150]!Printtab5</definedName>
    <definedName name="Printtab5" localSheetId="10">[150]!Printtab5</definedName>
    <definedName name="Printtab5" localSheetId="9">[150]!Printtab5</definedName>
    <definedName name="Printtab5" localSheetId="8">[150]!Printtab5</definedName>
    <definedName name="Printtab5" localSheetId="38">[150]!Printtab5</definedName>
    <definedName name="Printtab5">[150]!Printtab5</definedName>
    <definedName name="Printtab6" localSheetId="7">[151]!Printtab6</definedName>
    <definedName name="Printtab6" localSheetId="35">[151]!Printtab6</definedName>
    <definedName name="Printtab6" localSheetId="10">[151]!Printtab6</definedName>
    <definedName name="Printtab6" localSheetId="9">[151]!Printtab6</definedName>
    <definedName name="Printtab6" localSheetId="8">[151]!Printtab6</definedName>
    <definedName name="Printtab6" localSheetId="38">[151]!Printtab6</definedName>
    <definedName name="Printtab6">[151]!Printtab6</definedName>
    <definedName name="printtab7" localSheetId="7">[152]!printtab7</definedName>
    <definedName name="printtab7" localSheetId="35">[152]!printtab7</definedName>
    <definedName name="printtab7" localSheetId="10">[152]!printtab7</definedName>
    <definedName name="printtab7" localSheetId="9">[152]!printtab7</definedName>
    <definedName name="printtab7" localSheetId="8">[152]!printtab7</definedName>
    <definedName name="printtab7" localSheetId="38">[152]!printtab7</definedName>
    <definedName name="printtab7">[152]!printtab7</definedName>
    <definedName name="Printtab8" localSheetId="7">[153]!Printtab8</definedName>
    <definedName name="Printtab8" localSheetId="35">[153]!Printtab8</definedName>
    <definedName name="Printtab8" localSheetId="10">[153]!Printtab8</definedName>
    <definedName name="Printtab8" localSheetId="9">[153]!Printtab8</definedName>
    <definedName name="Printtab8" localSheetId="8">[153]!Printtab8</definedName>
    <definedName name="Printtab8" localSheetId="38">[153]!Printtab8</definedName>
    <definedName name="Printtab8">[153]!Printtab8</definedName>
    <definedName name="PROBAT">'[23]EPCS upper tier'!#REF!</definedName>
    <definedName name="ProcurY1">'[48]Front Sheet'!$G$10</definedName>
    <definedName name="Prodtest" hidden="1">'[13]T3 Page 1'!#REF!</definedName>
    <definedName name="Profile?_YES_NO_filter">#REF!</definedName>
    <definedName name="Profiles" localSheetId="50" hidden="1">#REF!</definedName>
    <definedName name="Profiles" localSheetId="32" hidden="1">#REF!</definedName>
    <definedName name="Profiles" localSheetId="58" hidden="1">#REF!</definedName>
    <definedName name="Profiles" hidden="1">#REF!</definedName>
    <definedName name="PROJ0TO17">[27]Data!$J:$J</definedName>
    <definedName name="PROJ13TO19">[27]Data!$D:$D</definedName>
    <definedName name="PROJ18TO64">[27]Data!$AA:$AA</definedName>
    <definedName name="PROJ65PLHHSR">[27]Data!$S:$S</definedName>
    <definedName name="PROJALL">[27]Data!$AF:$AF</definedName>
    <definedName name="Projections" localSheetId="50" hidden="1">#REF!</definedName>
    <definedName name="Projections" localSheetId="32" hidden="1">#REF!</definedName>
    <definedName name="Projections" localSheetId="58" hidden="1">#REF!</definedName>
    <definedName name="Projections" hidden="1">#REF!</definedName>
    <definedName name="PROPSOC">[27]Data!$AZ:$AZ</definedName>
    <definedName name="PSCHEDC">#REF!</definedName>
    <definedName name="PSF">[154]PSF!$C$3:$FB$1028</definedName>
    <definedName name="PSF4CY">#REF!</definedName>
    <definedName name="PSFD">[154]PSF!$C$1:$FB$1</definedName>
    <definedName name="PSFN">[154]PSF!$A$3:$A$1028</definedName>
    <definedName name="pss_ex1_reduction_home">'[25]Inputs 5 - Other parameters'!$C$23</definedName>
    <definedName name="pss_ex1_reduction_res">'[25]Inputs 5 - Other parameters'!$C$22</definedName>
    <definedName name="PSS1_BA">'[27]Children''s Services'!$AF:$AF</definedName>
    <definedName name="PSS1_DEP_TU">'[27]Children''s Services'!$AG:$AG</definedName>
    <definedName name="PSS1_FCA">'[27]Children''s Services'!$AD:$AD</definedName>
    <definedName name="PSS4_BA">'[27]Adult PSS'!$S:$S</definedName>
    <definedName name="PSS4_DEP_TU">'[27]Adult PSS'!$T:$T</definedName>
    <definedName name="PSS5_AGE_TU">'[27]Adult PSS'!$H:$H</definedName>
    <definedName name="PSS5_BA">'[27]Adult PSS'!$G:$G</definedName>
    <definedName name="PSS5_DEP_TU">'[27]Adult PSS'!$I:$I</definedName>
    <definedName name="PSS5_LOWINCA">'[27]Adult PSS'!$D:$D</definedName>
    <definedName name="PSS5_SPARA">'[27]Adult PSS'!$E:$E</definedName>
    <definedName name="PSS6RNF">'[27]Children''s Services'!#REF!</definedName>
    <definedName name="PSS7RNF">'[27]Adult PSS'!#REF!</definedName>
    <definedName name="PSSARNF">[27]Summary!$M:$M</definedName>
    <definedName name="PTAInProcess">'[84]PTA data'!$BN$2:$BQ$200</definedName>
    <definedName name="PU">#REF!</definedName>
    <definedName name="PUP3TO18J">[27]Data!$H:$H</definedName>
    <definedName name="PY_CAPFIN">#REF!</definedName>
    <definedName name="PY_COA1">#REF!</definedName>
    <definedName name="PY_EDU8">#REF!</definedName>
    <definedName name="PY_EDU9">#REF!</definedName>
    <definedName name="PY_EPCS">#REF!</definedName>
    <definedName name="PY_EPOLICE">#REF!</definedName>
    <definedName name="PY_FCOST">#REF!</definedName>
    <definedName name="PY_FIRE">#REF!</definedName>
    <definedName name="PY_HWAY">#REF!</definedName>
    <definedName name="PY_KID">#REF!</definedName>
    <definedName name="PY_LDR1">#REF!</definedName>
    <definedName name="PY_LDR2">#REF!</definedName>
    <definedName name="PY_OSB.L">#REF!</definedName>
    <definedName name="PY_OSB.U">#REF!</definedName>
    <definedName name="PY_PSS1">#REF!</definedName>
    <definedName name="PY_PSS4">#REF!</definedName>
    <definedName name="PY_PSS5">#REF!</definedName>
    <definedName name="PY_PSS6">#REF!</definedName>
    <definedName name="PY_PSS7">#REF!</definedName>
    <definedName name="PY_PSSA">#REF!</definedName>
    <definedName name="PY_TS">#REF!</definedName>
    <definedName name="QIPP_YR_ACT">'[155]CCG QIPP - National'!#REF!</definedName>
    <definedName name="QRC4R1">'[58]BR1 Form'!#REF!</definedName>
    <definedName name="QRC4R10">'[58]BR1 Form'!#REF!</definedName>
    <definedName name="QRC4R12">'[58]BR1 Form'!#REF!</definedName>
    <definedName name="QRC4R13">'[58]BR1 Form'!#REF!</definedName>
    <definedName name="QRC4R14">'[58]BR1 Form'!#REF!</definedName>
    <definedName name="QRC4R15">'[58]BR1 Form'!#REF!</definedName>
    <definedName name="QRC4R17">'[58]BR1 Form'!#REF!</definedName>
    <definedName name="QRC4R18">'[58]BR1 Form'!#REF!</definedName>
    <definedName name="QRC4R19">'[58]BR1 Form'!#REF!</definedName>
    <definedName name="QRC4R20">'[58]BR1 Form'!#REF!</definedName>
    <definedName name="QRC4R21">'[58]BR1 Form'!#REF!</definedName>
    <definedName name="QRC4R22">'[58]BR1 Form'!#REF!</definedName>
    <definedName name="QRC4R23">'[58]BR1 Form'!#REF!</definedName>
    <definedName name="QRC4R24">'[58]BR1 Form'!#REF!</definedName>
    <definedName name="QRC4R3">'[58]BR1 Form'!#REF!</definedName>
    <definedName name="QRC4R5">'[58]BR1 Form'!#REF!</definedName>
    <definedName name="QRC4R8">'[58]BR1 Form'!#REF!</definedName>
    <definedName name="QRC4R9">'[58]BR1 Form'!#REF!</definedName>
    <definedName name="QtrlyData">'[156]Qtrly Data'!$B$20:$J$23</definedName>
    <definedName name="QUAL12">[27]Data!$P:$P</definedName>
    <definedName name="QUAL45">[27]Data!$Q:$Q</definedName>
    <definedName name="Quarter_End_Date">'[47]Global Inputs'!$AA$13:$BN$13</definedName>
    <definedName name="Quarter_FY">'[47]Global Inputs'!$AA$14:$BN$14</definedName>
    <definedName name="Quarter_No">'[47]Global Inputs'!$AA$16:$BN$16</definedName>
    <definedName name="Quarter_Period_No">'[47]Global Inputs'!$AA$15:$BN$15</definedName>
    <definedName name="Quarter_Start_Date">'[47]Global Inputs'!$AA$12:$BN$12</definedName>
    <definedName name="Quarter_Year_No">'[47]Global Inputs'!$AA$17:$BN$17</definedName>
    <definedName name="Quarters">[82]QsYs!$B$1:$B$65536</definedName>
    <definedName name="R_">#REF!</definedName>
    <definedName name="RA_data">'[157]RA LA Data 2017-18'!$C$8:$IS$467</definedName>
    <definedName name="Rail_Travel">'[28]T&amp;S'!$C$10:$W$10</definedName>
    <definedName name="RALL015">[23]Indices!#REF!</definedName>
    <definedName name="rall015_mk">'[23]Indices 2'!#REF!</definedName>
    <definedName name="rall015_sdk">'[23]Indices 2'!#REF!</definedName>
    <definedName name="RampUpDates">'[48]Ramp Up'!$B$211:$CL$211</definedName>
    <definedName name="RampUpPlacesCosts">'[48]Ramp Up'!$B$428:$CL$428</definedName>
    <definedName name="RampUpPlacesSavings">'[48]Ramp Up'!$B$213:$CL$213</definedName>
    <definedName name="Range">#REF!</definedName>
    <definedName name="ratio">#REF!</definedName>
    <definedName name="Raw_Data">#REF!</definedName>
    <definedName name="Raw_Scotland">[49]Raw_Scotland!$13:$65536</definedName>
    <definedName name="RAWFG">#REF!</definedName>
    <definedName name="rawgrant">#REF!</definedName>
    <definedName name="RDEL" localSheetId="58">OFFSET([38]RDEL!$G$15,0,0,MAX([38]RDEL!$B$15:$B100),1)</definedName>
    <definedName name="RDEL" localSheetId="23">OFFSET([39]RDEL!$G$15,0,0,MAX([39]RDEL!$B$15:$B100),1)</definedName>
    <definedName name="RDEL" localSheetId="24">OFFSET([39]RDEL!$G$15,0,0,MAX([39]RDEL!$B$15:$B100),1)</definedName>
    <definedName name="RDEL">OFFSET([40]RDEL!$G$15,0,0,MAX([40]RDEL!$B$15:$B100),1)</definedName>
    <definedName name="Receipts" localSheetId="58">OFFSET([38]Receipts!$D$15,0,0,MAX([38]Receipts!$B$15:$B100),1)</definedName>
    <definedName name="Receipts" localSheetId="23">OFFSET([39]Receipts!$D$15,0,0,MAX([39]Receipts!$B$15:$B100),1)</definedName>
    <definedName name="Receipts" localSheetId="24">OFFSET([39]Receipts!$D$15,0,0,MAX([39]Receipts!$B$15:$B100),1)</definedName>
    <definedName name="Receipts">OFFSET([40]Receipts!$D$15,0,0,MAX([40]Receipts!$B$15:$B100),1)</definedName>
    <definedName name="ReceiptsColumn">#REF!</definedName>
    <definedName name="ReceiptsRow">#REF!</definedName>
    <definedName name="Recover">[158]Macro1!$A$315</definedName>
    <definedName name="ReductionTargets">[159]Control!$D$5:$E$8</definedName>
    <definedName name="Ref_Directorate">[84]!Table26[#Data]</definedName>
    <definedName name="Region">"Y54"</definedName>
    <definedName name="RegionList">'[48]Options List'!$D$3:$D$500</definedName>
    <definedName name="Regions">#REF!</definedName>
    <definedName name="RELAUTH">'[27]EPCS - Bits'!$D$596</definedName>
    <definedName name="REP">[8]table!$Y$9:$Y$19</definedName>
    <definedName name="Reportingmth">[84]Codes!$B$3</definedName>
    <definedName name="res_eligibility">'[25]Inputs 5 - Other parameters'!$C$20</definedName>
    <definedName name="res1415_ecode">[55]Reserves1415!$A:$A</definedName>
    <definedName name="res1415_total">[55]Reserves1415!$BV:$BV</definedName>
    <definedName name="res1415_usable">[55]Reserves1415!$CQ:$CQ</definedName>
    <definedName name="res1516_ecode">'[55]RO 1516'!$A:$A</definedName>
    <definedName name="res1516_total">'[55]RO 1516'!$BY:$BY</definedName>
    <definedName name="res1516_usable">'[55]RO 1516'!$CZ:$CZ</definedName>
    <definedName name="ResAME">'[56]Dept AMEsum'!#REF!</definedName>
    <definedName name="ResApp">[29]Cover!$I$101</definedName>
    <definedName name="RESCAP">#REF!</definedName>
    <definedName name="ResDEL">[56]DELsum!#REF!</definedName>
    <definedName name="reserves_ecode">[55]Reserves!$A:$A</definedName>
    <definedName name="Resource">#REF!</definedName>
    <definedName name="RESPUPALL">[27]Data!$I:$I</definedName>
    <definedName name="Results" hidden="1">[160]UK99!$A$1:$A$1</definedName>
    <definedName name="Results_PriceYear">'[48]Front Sheet'!$D$22</definedName>
    <definedName name="RG_data">#REF!</definedName>
    <definedName name="RGDATA" localSheetId="23">'[116]RG raw'!$A$6:$C$112</definedName>
    <definedName name="RGDATA" localSheetId="24">'[116]RG raw'!$A$6:$C$112</definedName>
    <definedName name="RGDATA">'[117]RG raw'!$A$6:$C$112</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localSheetId="7" hidden="1">_xll.RiskCellHasTokens(262144+512+524288)</definedName>
    <definedName name="RiskIsInput" localSheetId="35" hidden="1">_xll.RiskCellHasTokens(262144+512+524288)</definedName>
    <definedName name="RiskIsInput" localSheetId="10" hidden="1">_xll.RiskCellHasTokens(262144+512+524288)</definedName>
    <definedName name="RiskIsInput" localSheetId="9" hidden="1">_xll.RiskCellHasTokens(262144+512+524288)</definedName>
    <definedName name="RiskIsInput" localSheetId="8" hidden="1">_xll.RiskCellHasTokens(262144+512+524288)</definedName>
    <definedName name="RiskIsInput" localSheetId="38" hidden="1">_xll.RiskCellHasTokens(262144+512+524288)</definedName>
    <definedName name="RiskIsInput" hidden="1">_xll.RiskCellHasTokens(262144+512+524288)</definedName>
    <definedName name="RiskIsOutput" localSheetId="7" hidden="1">_xll.RiskCellHasTokens(1024)</definedName>
    <definedName name="RiskIsOutput" localSheetId="35" hidden="1">_xll.RiskCellHasTokens(1024)</definedName>
    <definedName name="RiskIsOutput" localSheetId="10" hidden="1">_xll.RiskCellHasTokens(1024)</definedName>
    <definedName name="RiskIsOutput" localSheetId="9" hidden="1">_xll.RiskCellHasTokens(1024)</definedName>
    <definedName name="RiskIsOutput" localSheetId="8" hidden="1">_xll.RiskCellHasTokens(1024)</definedName>
    <definedName name="RiskIsOutput" localSheetId="38" hidden="1">_xll.RiskCellHasTokens(1024)</definedName>
    <definedName name="RiskIsOutput" hidden="1">_xll.RiskCellHasTokens(1024)</definedName>
    <definedName name="RiskIsStatistics" localSheetId="7" hidden="1">_xll.RiskCellHasTokens(4096+32768+65536)</definedName>
    <definedName name="RiskIsStatistics" localSheetId="35" hidden="1">_xll.RiskCellHasTokens(4096+32768+65536)</definedName>
    <definedName name="RiskIsStatistics" localSheetId="10" hidden="1">_xll.RiskCellHasTokens(4096+32768+65536)</definedName>
    <definedName name="RiskIsStatistics" localSheetId="9" hidden="1">_xll.RiskCellHasTokens(4096+32768+65536)</definedName>
    <definedName name="RiskIsStatistics" localSheetId="8" hidden="1">_xll.RiskCellHasTokens(4096+32768+65536)</definedName>
    <definedName name="RiskIsStatistics" localSheetId="38" hidden="1">_xll.RiskCellHasTokens(4096+32768+65536)</definedName>
    <definedName name="RiskIsStatistics" hidden="1">_xll.RiskCellHasTokens(4096+32768+65536)</definedName>
    <definedName name="RiskMatrix">[31]Matrix!$D$3:$H$7</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8</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RNA">#REF!</definedName>
    <definedName name="rngTable1">!#REF!</definedName>
    <definedName name="rngTable2">!#REF!</definedName>
    <definedName name="rngTable20">!#REF!</definedName>
    <definedName name="rngTable3">!#REF!</definedName>
    <definedName name="rngTable4">!#REF!</definedName>
    <definedName name="rngTable5">!#REF!</definedName>
    <definedName name="rngTable6">!#REF!</definedName>
    <definedName name="rngTable7">!#REF!</definedName>
    <definedName name="RO3Data">'[161]RO3 LA Data 2008-09'!$B$11:$DR$410</definedName>
    <definedName name="round_to">[97]_Parameters!$D$17</definedName>
    <definedName name="row">#REF!</definedName>
    <definedName name="Row_A" localSheetId="50">#REF!</definedName>
    <definedName name="Row_A" localSheetId="32">#REF!</definedName>
    <definedName name="Row_A" localSheetId="58">[43]Persons!#REF!</definedName>
    <definedName name="Row_A">#REF!</definedName>
    <definedName name="Row_B" localSheetId="50">#REF!</definedName>
    <definedName name="Row_B" localSheetId="32">#REF!</definedName>
    <definedName name="Row_B" localSheetId="58">[43]Persons!#REF!</definedName>
    <definedName name="Row_B">#REF!</definedName>
    <definedName name="Row_C" localSheetId="50">#REF!</definedName>
    <definedName name="Row_C" localSheetId="32">#REF!</definedName>
    <definedName name="Row_C" localSheetId="58">[43]Persons!$A$1:$DK$40</definedName>
    <definedName name="Row_C">#REF!</definedName>
    <definedName name="Row_D" localSheetId="50">#REF!</definedName>
    <definedName name="Row_D" localSheetId="32">#REF!</definedName>
    <definedName name="Row_D" localSheetId="58">[43]Persons!#REF!</definedName>
    <definedName name="Row_D">#REF!</definedName>
    <definedName name="Row_E" localSheetId="50">#REF!</definedName>
    <definedName name="Row_E" localSheetId="32">#REF!</definedName>
    <definedName name="Row_E" localSheetId="58">[43]Persons!#REF!</definedName>
    <definedName name="Row_E">#REF!</definedName>
    <definedName name="Row_F" localSheetId="50">#REF!</definedName>
    <definedName name="Row_F" localSheetId="32">#REF!</definedName>
    <definedName name="Row_F" localSheetId="58">[43]Persons!#REF!</definedName>
    <definedName name="Row_F">#REF!</definedName>
    <definedName name="Row_G" localSheetId="50">#REF!</definedName>
    <definedName name="Row_G" localSheetId="32">#REF!</definedName>
    <definedName name="Row_G" localSheetId="58">[43]Persons!#REF!</definedName>
    <definedName name="Row_G">#REF!</definedName>
    <definedName name="Row_H">[43]Persons!#REF!</definedName>
    <definedName name="RRA">#REF!</definedName>
    <definedName name="RS_data">#REF!</definedName>
    <definedName name="RSX_data">#REF!</definedName>
    <definedName name="RSXdata">#REF!</definedName>
    <definedName name="rter">[31]Matrix!$M$3:$M$4</definedName>
    <definedName name="RURAL1516RSG">'[54]1516 data'!$AB:$AB</definedName>
    <definedName name="s">'[58]BR1 Form'!#REF!</definedName>
    <definedName name="S_GLAM" localSheetId="58">#REF!</definedName>
    <definedName name="S_GLAM">#REF!</definedName>
    <definedName name="S_YORKS" localSheetId="58">#REF!</definedName>
    <definedName name="S_YORKS">#REF!</definedName>
    <definedName name="S106Y1">'[48]Front Sheet'!$G$9</definedName>
    <definedName name="S10ACP">#REF!,#REF!,#REF!,#REF!,#REF!,#REF!,#REF!,#REF!,#REF!,#REF!,#REF!,#REF!,#REF!,#REF!</definedName>
    <definedName name="S10ACV">#REF!,#REF!,#REF!,#REF!,#REF!,#REF!,#REF!,#REF!,#REF!,#REF!,#REF!,#REF!,#REF!,#REF!</definedName>
    <definedName name="S11ACP">#REF!,#REF!,#REF!,#REF!,#REF!,#REF!,#REF!,#REF!,#REF!,#REF!,#REF!,#REF!,#REF!,#REF!</definedName>
    <definedName name="S11ACV">#REF!,#REF!,#REF!,#REF!,#REF!,#REF!,#REF!,#REF!,#REF!,#REF!,#REF!,#REF!,#REF!,#REF!</definedName>
    <definedName name="S1ACP">'[3]Unemp by prev job levels'!$B$84,'[3]Unemp by prev job levels'!$C$84,'[3]Unemp by prev job levels'!$D$84,'[3]Unemp by prev job levels'!$E$84,'[3]Unemp by prev job levels'!$F$84,'[3]Unemp by prev job levels'!$G$84,'[3]Unemp by prev job levels'!$H$84,'[3]Unemp by prev job levels'!$I$84,'[3]Unemp by prev job levels'!$J$84,'[3]Unemp by prev job levels'!$K$84,'[3]Unemp by prev job levels'!$L$84,'[3]Unemp by prev job levels'!$M$84,'[3]Unemp by prev job levels'!$N$84,'[3]Unemp by prev job levels'!$O$84</definedName>
    <definedName name="S1ACV">'[3]Unemp by prev job levels'!$B$83,'[3]Unemp by prev job levels'!$C$83,'[3]Unemp by prev job levels'!$D$83,'[3]Unemp by prev job levels'!$E$83,'[3]Unemp by prev job levels'!$F$83,'[3]Unemp by prev job levels'!$G$83,'[3]Unemp by prev job levels'!$H$83,'[3]Unemp by prev job levels'!$I$83,'[3]Unemp by prev job levels'!$J$83,'[3]Unemp by prev job levels'!$K$83,'[3]Unemp by prev job levels'!$L$83,'[3]Unemp by prev job levels'!$M$83,'[3]Unemp by prev job levels'!$N$83,'[3]Unemp by prev job levels'!$O$83</definedName>
    <definedName name="S20_">[8]table!$C$9:$D$19</definedName>
    <definedName name="S2ACP">'[3]Unemp by prev job levels'!$B$157,'[3]Unemp by prev job levels'!$C$157,'[3]Unemp by prev job levels'!$D$157,'[3]Unemp by prev job levels'!$E$157,'[3]Unemp by prev job levels'!$F$157,'[3]Unemp by prev job levels'!$G$157,'[3]Unemp by prev job levels'!$H$157,'[3]Unemp by prev job levels'!$I$157,'[3]Unemp by prev job levels'!$J$157,'[3]Unemp by prev job levels'!$K$157,'[3]Unemp by prev job levels'!$L$157,'[3]Unemp by prev job levels'!$M$157,'[3]Unemp by prev job levels'!$N$157,'[3]Unemp by prev job levels'!$O$157</definedName>
    <definedName name="S2ACV">'[3]Unemp by prev job levels'!$B$156,'[3]Unemp by prev job levels'!$C$156,'[3]Unemp by prev job levels'!$D$156,'[3]Unemp by prev job levels'!$E$156,'[3]Unemp by prev job levels'!$F$156,'[3]Unemp by prev job levels'!$G$156,'[3]Unemp by prev job levels'!$H$156,'[3]Unemp by prev job levels'!$I$156,'[3]Unemp by prev job levels'!$J$156,'[3]Unemp by prev job levels'!$K$156,'[3]Unemp by prev job levels'!$L$156,'[3]Unemp by prev job levels'!$M$156,'[3]Unemp by prev job levels'!$N$156,'[3]Unemp by prev job levels'!$O$156</definedName>
    <definedName name="S3ACP">'[3]Unemp by prev job levels'!$B$230,'[3]Unemp by prev job levels'!$C$230,'[3]Unemp by prev job levels'!$D$230,'[3]Unemp by prev job levels'!$E$230,'[3]Unemp by prev job levels'!$F$230,'[3]Unemp by prev job levels'!$G$230,'[3]Unemp by prev job levels'!$H$230,'[3]Unemp by prev job levels'!$I$230,'[3]Unemp by prev job levels'!$J$230,'[3]Unemp by prev job levels'!$K$230,'[3]Unemp by prev job levels'!$L$230,'[3]Unemp by prev job levels'!$M$230,'[3]Unemp by prev job levels'!$N$230,'[3]Unemp by prev job levels'!$O$230</definedName>
    <definedName name="S3ACV">'[3]Unemp by prev job levels'!$B$229,'[3]Unemp by prev job levels'!$C$229,'[3]Unemp by prev job levels'!$D$229,'[3]Unemp by prev job levels'!$E$229,'[3]Unemp by prev job levels'!$F$229,'[3]Unemp by prev job levels'!$G$229,'[3]Unemp by prev job levels'!$H$229,'[3]Unemp by prev job levels'!$I$229,'[3]Unemp by prev job levels'!$J$229,'[3]Unemp by prev job levels'!$K$229,'[3]Unemp by prev job levels'!$L$229,'[3]Unemp by prev job levels'!$M$229,'[3]Unemp by prev job levels'!$N$229,'[3]Unemp by prev job levels'!$O$229</definedName>
    <definedName name="S4ACP">'[3]Unemp by prev job levels'!$B$313,'[3]Unemp by prev job levels'!$C$313,'[3]Unemp by prev job levels'!$D$313,'[3]Unemp by prev job levels'!$E$313,'[3]Unemp by prev job levels'!$F$313,'[3]Unemp by prev job levels'!$G$313,'[3]Unemp by prev job levels'!$H$313,'[3]Unemp by prev job levels'!$I$313,'[3]Unemp by prev job levels'!$J$313,'[3]Unemp by prev job levels'!$K$313,'[3]Unemp by prev job levels'!$L$313,'[3]Unemp by prev job levels'!$M$313,'[3]Unemp by prev job levels'!$N$313,'[3]Unemp by prev job levels'!$O$313</definedName>
    <definedName name="S4ACV">'[3]Unemp by prev job levels'!$B$312,'[3]Unemp by prev job levels'!$C$312,'[3]Unemp by prev job levels'!$D$312,'[3]Unemp by prev job levels'!$E$312,'[3]Unemp by prev job levels'!$F$312,'[3]Unemp by prev job levels'!$G$312,'[3]Unemp by prev job levels'!$H$312,'[3]Unemp by prev job levels'!$I$312,'[3]Unemp by prev job levels'!$J$312,'[3]Unemp by prev job levels'!$K$312,'[3]Unemp by prev job levels'!$L$312,'[3]Unemp by prev job levels'!$M$312,'[3]Unemp by prev job levels'!$N$312,'[3]Unemp by prev job levels'!$O$312</definedName>
    <definedName name="S5ACV">'[3]Unemp by prev job rates'!$B$83,'[3]Unemp by prev job rates'!$C$83,'[3]Unemp by prev job rates'!$D$83,'[3]Unemp by prev job rates'!$E$83,'[3]Unemp by prev job rates'!$F$83,'[3]Unemp by prev job rates'!$G$83,'[3]Unemp by prev job rates'!$H$83,'[3]Unemp by prev job rates'!$I$83,'[3]Unemp by prev job rates'!$J$83,'[3]Unemp by prev job rates'!$K$83,'[3]Unemp by prev job rates'!$L$83,'[3]Unemp by prev job rates'!$M$83,'[3]Unemp by prev job rates'!$N$83,'[3]Unemp by prev job rates'!$O$83,'[3]Unemp by prev job rates'!$P$83</definedName>
    <definedName name="S6ACV">'[3]Unemp by prev job rates'!$B$155,'[3]Unemp by prev job rates'!$C$155,'[3]Unemp by prev job rates'!$D$155,'[3]Unemp by prev job rates'!$E$155,'[3]Unemp by prev job rates'!$F$155,'[3]Unemp by prev job rates'!$G$155,'[3]Unemp by prev job rates'!$H$155,'[3]Unemp by prev job rates'!$I$155,'[3]Unemp by prev job rates'!$J$155,'[3]Unemp by prev job rates'!$K$155,'[3]Unemp by prev job rates'!$L$155,'[3]Unemp by prev job rates'!$M$155,'[3]Unemp by prev job rates'!$N$155,'[3]Unemp by prev job rates'!$O$155,'[3]Unemp by prev job rates'!$P$155</definedName>
    <definedName name="S7ACV">'[3]Unemp by prev job rates'!$B$227,'[3]Unemp by prev job rates'!$C$227,'[3]Unemp by prev job rates'!$D$227,'[3]Unemp by prev job rates'!$E$227,'[3]Unemp by prev job rates'!$F$227,'[3]Unemp by prev job rates'!$G$227,'[3]Unemp by prev job rates'!$H$227,'[3]Unemp by prev job rates'!$I$227,'[3]Unemp by prev job rates'!$J$227,'[3]Unemp by prev job rates'!$K$227,'[3]Unemp by prev job rates'!$L$227,'[3]Unemp by prev job rates'!$M$227,'[3]Unemp by prev job rates'!$N$227,'[3]Unemp by prev job rates'!$O$227,'[3]Unemp by prev job rates'!$P$227</definedName>
    <definedName name="S8ACV">'[3]Unemp by prev job rates'!$C$309,'[3]Unemp by prev job rates'!$D$309,'[3]Unemp by prev job rates'!$E$309,'[3]Unemp by prev job rates'!$F$309,'[3]Unemp by prev job rates'!$G$309,'[3]Unemp by prev job rates'!$H$309,'[3]Unemp by prev job rates'!$I$309,'[3]Unemp by prev job rates'!$J$309,'[3]Unemp by prev job rates'!$K$309,'[3]Unemp by prev job rates'!$L$309,'[3]Unemp by prev job rates'!$M$309,'[3]Unemp by prev job rates'!$N$309,'[3]Unemp by prev job rates'!$O$309,'[3]Unemp by prev job rates'!$P$309</definedName>
    <definedName name="S9ACP">#REF!,#REF!,#REF!,#REF!,#REF!,#REF!,#REF!,#REF!,#REF!,#REF!,#REF!,#REF!,#REF!,#REF!</definedName>
    <definedName name="S9ACV">#REF!,#REF!,#REF!,#REF!,#REF!,#REF!,#REF!,#REF!,#REF!,#REF!,#REF!,#REF!,#REF!,#REF!</definedName>
    <definedName name="sal">#REF!</definedName>
    <definedName name="SAM_CTRY_UK" localSheetId="58">#REF!</definedName>
    <definedName name="SAM_CTRY_UK">#REF!</definedName>
    <definedName name="Sample1">#REF!</definedName>
    <definedName name="Sample2">#REF!</definedName>
    <definedName name="SAPBEXdnldView" hidden="1">"461Z8W8GZ2NCOWL40KSCH2RT2"</definedName>
    <definedName name="SAPBEXsysID" hidden="1">"BWP"</definedName>
    <definedName name="sc1_ecode">[55]Calc!#REF!</definedName>
    <definedName name="sc1_ibcf605">[55]Calc!$CD:$CD</definedName>
    <definedName name="sc1_precept">[55]Calc!$CC:$CC</definedName>
    <definedName name="sc1_rank">[55]Calc!#REF!</definedName>
    <definedName name="sc1_sn">[55]Calc!#REF!</definedName>
    <definedName name="sc2_ecode">[55]Calc!#REF!</definedName>
    <definedName name="sc2_rank">[55]Calc!#REF!</definedName>
    <definedName name="sc2_sn">[55]Calc!#REF!</definedName>
    <definedName name="scale_by" localSheetId="23">#REF!</definedName>
    <definedName name="scale_by" localSheetId="24">#REF!</definedName>
    <definedName name="scale_by">[97]_Parameters!$D$11</definedName>
    <definedName name="scf_per_boe">'[129]Brown Book reserves data'!$V$1</definedName>
    <definedName name="SCFund">[29]Cover!$K$43</definedName>
    <definedName name="SCHD">[1]NICs!#REF!</definedName>
    <definedName name="SCOA">!#REF!</definedName>
    <definedName name="Score">[162]RawData!$R$2:$R$9</definedName>
    <definedName name="SD">#REF!</definedName>
    <definedName name="sdf" localSheetId="50" hidden="1">{#N/A,#N/A,FALSE,"TMCOMP96";#N/A,#N/A,FALSE,"MAT96";#N/A,#N/A,FALSE,"FANDA96";#N/A,#N/A,FALSE,"INTRAN96";#N/A,#N/A,FALSE,"NAA9697";#N/A,#N/A,FALSE,"ECWEBB";#N/A,#N/A,FALSE,"MFT96";#N/A,#N/A,FALSE,"CTrecon"}</definedName>
    <definedName name="sdf" localSheetId="32" hidden="1">{#N/A,#N/A,FALSE,"TMCOMP96";#N/A,#N/A,FALSE,"MAT96";#N/A,#N/A,FALSE,"FANDA96";#N/A,#N/A,FALSE,"INTRAN96";#N/A,#N/A,FALSE,"NAA9697";#N/A,#N/A,FALSE,"ECWEBB";#N/A,#N/A,FALSE,"MFT96";#N/A,#N/A,FALSE,"CTrecon"}</definedName>
    <definedName name="sdf" localSheetId="58" hidden="1">{#N/A,#N/A,FALSE,"TMCOMP96";#N/A,#N/A,FALSE,"MAT96";#N/A,#N/A,FALSE,"FANDA96";#N/A,#N/A,FALSE,"INTRAN96";#N/A,#N/A,FALSE,"NAA9697";#N/A,#N/A,FALSE,"ECWEBB";#N/A,#N/A,FALSE,"MFT96";#N/A,#N/A,FALSE,"CTrecon"}</definedName>
    <definedName name="sdf" hidden="1">{#N/A,#N/A,FALSE,"TMCOMP96";#N/A,#N/A,FALSE,"MAT96";#N/A,#N/A,FALSE,"FANDA96";#N/A,#N/A,FALSE,"INTRAN96";#N/A,#N/A,FALSE,"NAA9697";#N/A,#N/A,FALSE,"ECWEBB";#N/A,#N/A,FALSE,"MFT96";#N/A,#N/A,FALSE,"CTrecon"}</definedName>
    <definedName name="sdf_1" hidden="1">{#N/A,#N/A,FALSE,"TMCOMP96";#N/A,#N/A,FALSE,"MAT96";#N/A,#N/A,FALSE,"FANDA96";#N/A,#N/A,FALSE,"INTRAN96";#N/A,#N/A,FALSE,"NAA9697";#N/A,#N/A,FALSE,"ECWEBB";#N/A,#N/A,FALSE,"MFT96";#N/A,#N/A,FALSE,"CTrecon"}</definedName>
    <definedName name="sdf_2" hidden="1">{#N/A,#N/A,FALSE,"TMCOMP96";#N/A,#N/A,FALSE,"MAT96";#N/A,#N/A,FALSE,"FANDA96";#N/A,#N/A,FALSE,"INTRAN96";#N/A,#N/A,FALSE,"NAA9697";#N/A,#N/A,FALSE,"ECWEBB";#N/A,#N/A,FALSE,"MFT96";#N/A,#N/A,FALSE,"CTrecon"}</definedName>
    <definedName name="sdff" localSheetId="50" hidden="1">{#N/A,#N/A,FALSE,"TMCOMP96";#N/A,#N/A,FALSE,"MAT96";#N/A,#N/A,FALSE,"FANDA96";#N/A,#N/A,FALSE,"INTRAN96";#N/A,#N/A,FALSE,"NAA9697";#N/A,#N/A,FALSE,"ECWEBB";#N/A,#N/A,FALSE,"MFT96";#N/A,#N/A,FALSE,"CTrecon"}</definedName>
    <definedName name="sdff" localSheetId="32" hidden="1">{#N/A,#N/A,FALSE,"TMCOMP96";#N/A,#N/A,FALSE,"MAT96";#N/A,#N/A,FALSE,"FANDA96";#N/A,#N/A,FALSE,"INTRAN96";#N/A,#N/A,FALSE,"NAA9697";#N/A,#N/A,FALSE,"ECWEBB";#N/A,#N/A,FALSE,"MFT96";#N/A,#N/A,FALSE,"CTrecon"}</definedName>
    <definedName name="sdff" localSheetId="58"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dff_1" hidden="1">{#N/A,#N/A,FALSE,"TMCOMP96";#N/A,#N/A,FALSE,"MAT96";#N/A,#N/A,FALSE,"FANDA96";#N/A,#N/A,FALSE,"INTRAN96";#N/A,#N/A,FALSE,"NAA9697";#N/A,#N/A,FALSE,"ECWEBB";#N/A,#N/A,FALSE,"MFT96";#N/A,#N/A,FALSE,"CTrecon"}</definedName>
    <definedName name="sdff_2" hidden="1">{#N/A,#N/A,FALSE,"TMCOMP96";#N/A,#N/A,FALSE,"MAT96";#N/A,#N/A,FALSE,"FANDA96";#N/A,#N/A,FALSE,"INTRAN96";#N/A,#N/A,FALSE,"NAA9697";#N/A,#N/A,FALSE,"ECWEBB";#N/A,#N/A,FALSE,"MFT96";#N/A,#N/A,FALSE,"CTrecon"}</definedName>
    <definedName name="sdfg" hidden="1">{#N/A,#N/A,FALSE,"TMCOMP96";#N/A,#N/A,FALSE,"MAT96";#N/A,#N/A,FALSE,"FANDA96";#N/A,#N/A,FALSE,"INTRAN96";#N/A,#N/A,FALSE,"NAA9697";#N/A,#N/A,FALSE,"ECWEBB";#N/A,#N/A,FALSE,"MFT96";#N/A,#N/A,FALSE,"CTrecon"}</definedName>
    <definedName name="sdfgd" hidden="1">#REF!</definedName>
    <definedName name="sdfgdfg" hidden="1">{#N/A,#N/A,FALSE,"TMCOMP96";#N/A,#N/A,FALSE,"MAT96";#N/A,#N/A,FALSE,"FANDA96";#N/A,#N/A,FALSE,"INTRAN96";#N/A,#N/A,FALSE,"NAA9697";#N/A,#N/A,FALSE,"ECWEBB";#N/A,#N/A,FALSE,"MFT96";#N/A,#N/A,FALSE,"CTrecon"}</definedName>
    <definedName name="sdfgds" hidden="1">{#N/A,#N/A,FALSE,"TMCOMP96";#N/A,#N/A,FALSE,"MAT96";#N/A,#N/A,FALSE,"FANDA96";#N/A,#N/A,FALSE,"INTRAN96";#N/A,#N/A,FALSE,"NAA9697";#N/A,#N/A,FALSE,"ECWEBB";#N/A,#N/A,FALSE,"MFT96";#N/A,#N/A,FALSE,"CTrecon"}</definedName>
    <definedName name="sdfgfdg" hidden="1">#REF!</definedName>
    <definedName name="sdfloor">[41]Parameters!$C$11</definedName>
    <definedName name="sdgshdg" hidden="1">{#N/A,#N/A,FALSE,"TMCOMP96";#N/A,#N/A,FALSE,"MAT96";#N/A,#N/A,FALSE,"FANDA96";#N/A,#N/A,FALSE,"INTRAN96";#N/A,#N/A,FALSE,"NAA9697";#N/A,#N/A,FALSE,"ECWEBB";#N/A,#N/A,FALSE,"MFT96";#N/A,#N/A,FALSE,"CTrecon"}</definedName>
    <definedName name="SECT1">'[3]Unemp by prev job levels'!$A$15</definedName>
    <definedName name="SECT10">#REF!</definedName>
    <definedName name="SECT11">#REF!</definedName>
    <definedName name="SECT2">'[3]Unemp by prev job levels'!$A$88</definedName>
    <definedName name="SECT3">'[3]Unemp by prev job levels'!$A$161</definedName>
    <definedName name="SECT4">'[3]Unemp by prev job levels'!$A$244</definedName>
    <definedName name="SECT5">'[3]Unemp by prev job rates'!$A$15</definedName>
    <definedName name="SECT6">'[3]Unemp by prev job rates'!$A$87</definedName>
    <definedName name="SECT7">'[3]Unemp by prev job rates'!$A$159</definedName>
    <definedName name="SECT8">'[3]Unemp by prev job rates'!$A$241</definedName>
    <definedName name="SECT9">#REF!</definedName>
    <definedName name="section">[163]DELdown!$A$2:$I$262,[163]DELdown!$A$263:$I$263</definedName>
    <definedName name="sencount" hidden="1">2</definedName>
    <definedName name="SEP_2012">'[28]T&amp;S'!$H$6:$H$17</definedName>
    <definedName name="SEP_2013">'[28]T&amp;S'!$U$6:$U$17</definedName>
    <definedName name="SF_1516">[130]Assumptions!$C$184</definedName>
    <definedName name="sfad" localSheetId="50" hidden="1">{#N/A,#N/A,FALSE,"TMCOMP96";#N/A,#N/A,FALSE,"MAT96";#N/A,#N/A,FALSE,"FANDA96";#N/A,#N/A,FALSE,"INTRAN96";#N/A,#N/A,FALSE,"NAA9697";#N/A,#N/A,FALSE,"ECWEBB";#N/A,#N/A,FALSE,"MFT96";#N/A,#N/A,FALSE,"CTrecon"}</definedName>
    <definedName name="sfad" localSheetId="32" hidden="1">{#N/A,#N/A,FALSE,"TMCOMP96";#N/A,#N/A,FALSE,"MAT96";#N/A,#N/A,FALSE,"FANDA96";#N/A,#N/A,FALSE,"INTRAN96";#N/A,#N/A,FALSE,"NAA9697";#N/A,#N/A,FALSE,"ECWEBB";#N/A,#N/A,FALSE,"MFT96";#N/A,#N/A,FALSE,"CTrecon"}</definedName>
    <definedName name="sfad" localSheetId="58"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sfad_1" hidden="1">{#N/A,#N/A,FALSE,"TMCOMP96";#N/A,#N/A,FALSE,"MAT96";#N/A,#N/A,FALSE,"FANDA96";#N/A,#N/A,FALSE,"INTRAN96";#N/A,#N/A,FALSE,"NAA9697";#N/A,#N/A,FALSE,"ECWEBB";#N/A,#N/A,FALSE,"MFT96";#N/A,#N/A,FALSE,"CTrecon"}</definedName>
    <definedName name="sfad_2" hidden="1">{#N/A,#N/A,FALSE,"TMCOMP96";#N/A,#N/A,FALSE,"MAT96";#N/A,#N/A,FALSE,"FANDA96";#N/A,#N/A,FALSE,"INTRAN96";#N/A,#N/A,FALSE,"NAA9697";#N/A,#N/A,FALSE,"ECWEBB";#N/A,#N/A,FALSE,"MFT96";#N/A,#N/A,FALSE,"CTrecon"}</definedName>
    <definedName name="SFCAPFIN">'[27]Scaling Factors'!$C$20</definedName>
    <definedName name="SFCOA1">'[27]Scaling Factors'!$C$18</definedName>
    <definedName name="sfedu">[41]Parameters!$B$60</definedName>
    <definedName name="SFEDU8">'[27]Scaling Factors'!$C$5</definedName>
    <definedName name="SFEDU9">'[27]Scaling Factors'!$C$6</definedName>
    <definedName name="SFFCOST">'[27]Scaling Factors'!$C$19</definedName>
    <definedName name="sffir">[41]Parameters!$B$62</definedName>
    <definedName name="SFFIRE">'[27]Scaling Factors'!$C$11</definedName>
    <definedName name="SFHWAY">'[27]Scaling Factors'!$C$12</definedName>
    <definedName name="SFLDR1">'[27]Scaling Factors'!$C$16</definedName>
    <definedName name="SFLDR2">'[27]Scaling Factors'!$C$17</definedName>
    <definedName name="SFOSB.L">'[27]Scaling Factors'!$C$13</definedName>
    <definedName name="SFOSB.U">'[27]Scaling Factors'!$C$14</definedName>
    <definedName name="sfpol">[41]Parameters!$B$61</definedName>
    <definedName name="SFPSS1">'[27]Scaling Factors'!$C$7</definedName>
    <definedName name="SFPSS4">'[27]Scaling Factors'!$C$9</definedName>
    <definedName name="SFPSS5">'[27]Scaling Factors'!$C$8</definedName>
    <definedName name="sfrail">'[23]Scaling factors'!#REF!</definedName>
    <definedName name="sfsd">[41]Parameters!$B$63</definedName>
    <definedName name="SG_data" localSheetId="23">#REF!</definedName>
    <definedName name="SG_data" localSheetId="24">#REF!</definedName>
    <definedName name="SG_data">#REF!</definedName>
    <definedName name="ShadedArea">'[137]Re-forecast benefits'!$B$7:$J$9,'[137]Re-forecast benefits'!$B$13:$J$19,'[137]Re-forecast benefits'!$B$31,'[137]Re-forecast benefits'!$B$30:$J$32,'[137]Re-forecast benefits'!$B$41:$J$46,'[137]Re-forecast benefits'!$B$48:$J$52,'[137]Re-forecast benefits'!$B$63:$J$65,'[137]Re-forecast benefits'!$B$73:$J$76,'[137]Re-forecast benefits'!$B$82:$J$82,'[137]Re-forecast benefits'!$B$99:$J$100</definedName>
    <definedName name="SHARING">'[23]Personal social services'!#REF!</definedName>
    <definedName name="sheet1" localSheetId="58">#REF!</definedName>
    <definedName name="sheet1">#REF!</definedName>
    <definedName name="shortfalls">#REF!</definedName>
    <definedName name="shrinkage">#REF!</definedName>
    <definedName name="shrinkage_174">#REF!</definedName>
    <definedName name="SHROPS" localSheetId="58">#REF!</definedName>
    <definedName name="SHROPS">#REF!</definedName>
    <definedName name="SINGLEPAR">[27]Data!$AK:$AK</definedName>
    <definedName name="SiteList">'[48]Options List'!$L$3:$L$500</definedName>
    <definedName name="SizeNew">'[48]Front Sheet'!$G$29</definedName>
    <definedName name="Slicer_category">#N/A</definedName>
    <definedName name="smbr65plus">[23]Background!#REF!</definedName>
    <definedName name="SNOWDAYS">[27]Data!$BM:$BM</definedName>
    <definedName name="SOMERSET" localSheetId="58">#REF!</definedName>
    <definedName name="SOMERSET">#REF!</definedName>
    <definedName name="SP">#REF!</definedName>
    <definedName name="SPARSITY.NEW">[27]Data!$G:$G</definedName>
    <definedName name="SPECEVENTS_BA">[27]Police!$E:$E</definedName>
    <definedName name="Specialism">[107]Lists!$C$2:$C$8</definedName>
    <definedName name="specific_sheets">[164]Print!#REF!</definedName>
    <definedName name="SpendingPower">'[165]Summary LA - 15-16'!$B$12:$BO$394</definedName>
    <definedName name="SpendingPowerIncGLA">'[165]Summary LA - 15-16'!$B$12:$BO$394,'[165]Summary LA - 15-16'!$B$10,'[165]Summary LA - 15-16'!$C$10,'[165]Summary LA - 15-16'!$B$10,'[165]Summary LA - 15-16'!$B$10,'[165]Summary LA - 15-16'!$C$10,'[165]Summary LA - 15-16'!$B$10:$BO$10</definedName>
    <definedName name="Spendsum">!#REF!</definedName>
    <definedName name="SpGrants">#REF!</definedName>
    <definedName name="SQL_50Per_Marginal_Rate_1">#REF!</definedName>
    <definedName name="SQL_AF___Contract_1415_1">#REF!</definedName>
    <definedName name="SQL_AF___Contract_1415_2">#REF!</definedName>
    <definedName name="SQL_AF___Contract_1415_3">#REF!</definedName>
    <definedName name="SQL_AF___Contract_1516_1">#REF!</definedName>
    <definedName name="SQL_AF___Contract_1516_2">#REF!</definedName>
    <definedName name="SQL_AF___Investment_1">#REF!</definedName>
    <definedName name="SQL_AF___QIPP_1">#REF!</definedName>
    <definedName name="SQL_AF___QIPP_2">#REF!</definedName>
    <definedName name="SQL_AF___Resource_Allocations_1">#REF!</definedName>
    <definedName name="SQL_AF___Risk_1">#REF!</definedName>
    <definedName name="SQL_AF_Financial_Plan_Detail_1">#REF!</definedName>
    <definedName name="SQL_AF_Financial_Plan_Detail_2">#REF!</definedName>
    <definedName name="SQL_AF_Financial_Plan_Detail_3">#REF!</definedName>
    <definedName name="SQL_AF_Financial_Plan_Summary_1">#REF!</definedName>
    <definedName name="SQL_Area_Team_Summary_1">#REF!</definedName>
    <definedName name="SQL_Area_Team_Summary_2">#REF!</definedName>
    <definedName name="SQL_BCF_1">#REF!</definedName>
    <definedName name="SQL_Capital_1">#REF!</definedName>
    <definedName name="SQL_Capital_2">#REF!</definedName>
    <definedName name="SQL_Cash_1">#REF!</definedName>
    <definedName name="SQL_Co_Commissioning_1">#REF!</definedName>
    <definedName name="SQL_Contract_1415_1">#REF!</definedName>
    <definedName name="SQL_Contract_1415_2">#REF!</definedName>
    <definedName name="SQL_Contract_1415_3">#REF!</definedName>
    <definedName name="SQL_Contract_1516_1">#REF!</definedName>
    <definedName name="SQL_Contract_1516_2">#REF!</definedName>
    <definedName name="SQL_Contract_1516_3">#REF!</definedName>
    <definedName name="SQL_Contract_1516_4">#REF!</definedName>
    <definedName name="SQL_Contract_1516_5">#REF!</definedName>
    <definedName name="SQL_Contract_1516_6">#REF!</definedName>
    <definedName name="SQL_Contract_Analysis_1">#REF!</definedName>
    <definedName name="SQL_Contract_Analysis_2">#REF!</definedName>
    <definedName name="SQL_Contract_Analysis_3">#REF!</definedName>
    <definedName name="SQL_Contract_Analysis_4">#REF!</definedName>
    <definedName name="SQL_Contract_Analysis_5">#REF!</definedName>
    <definedName name="SQL_Data">#REF!</definedName>
    <definedName name="SQL_Financial_Plan_Summary_1">#REF!</definedName>
    <definedName name="SQL_FinancialPlanDetail_1516_1">#REF!</definedName>
    <definedName name="SQL_FinancialPlanDetail_1516_2">#REF!</definedName>
    <definedName name="SQL_FinancialPlanDetail_1516_3">#REF!</definedName>
    <definedName name="SQL_FinancialPlanDetail_1516_4">#REF!</definedName>
    <definedName name="SQL_HJ___Contract_1415_1">#REF!</definedName>
    <definedName name="SQL_HJ___Contract_1415_2">#REF!</definedName>
    <definedName name="SQL_HJ___Contract_1516_1">#REF!</definedName>
    <definedName name="SQL_HJ___Contract_1516_2">#REF!</definedName>
    <definedName name="SQL_HJ___Investment_1">#REF!</definedName>
    <definedName name="SQL_HJ___QIPP_1">#REF!</definedName>
    <definedName name="SQL_HJ___QIPP_2">#REF!</definedName>
    <definedName name="SQL_HJ___Resource_Allocations_1">#REF!</definedName>
    <definedName name="SQL_HJ___Risk_1">#REF!</definedName>
    <definedName name="SQL_HJ_Financial_Plan_Detail_1">#REF!</definedName>
    <definedName name="SQL_HJ_Financial_Plan_Detail_2">#REF!</definedName>
    <definedName name="SQL_HJ_Financial_Plan_Detail_3">#REF!</definedName>
    <definedName name="SQL_HJ_Financial_Plan_Summary_1">#REF!</definedName>
    <definedName name="SQL_Investment_1">#REF!</definedName>
    <definedName name="SQL_LD_1">#REF!</definedName>
    <definedName name="SQL_LD_2">#REF!</definedName>
    <definedName name="SQL_Mental_Health_1">#REF!</definedName>
    <definedName name="SQL_Mental_Health_2">#REF!</definedName>
    <definedName name="SQL_PC___CCG_Fin_Plan_Detail_1">#REF!</definedName>
    <definedName name="SQL_PC___CCG_Fin_Plan_Detail_2">#REF!</definedName>
    <definedName name="SQL_PC___CCG_Fin_Plan_Detail_3">#REF!</definedName>
    <definedName name="SQL_PC___Contract_1415_1">#REF!</definedName>
    <definedName name="SQL_PC___Contract_1415_2">#REF!</definedName>
    <definedName name="SQL_PC___Contract_1415_3">#REF!</definedName>
    <definedName name="SQL_PC___Contract_1516_1">#REF!</definedName>
    <definedName name="SQL_PC___Contract_1516_2">#REF!</definedName>
    <definedName name="SQL_PC___Investment_1">#REF!</definedName>
    <definedName name="SQL_PC___QIPP_1">#REF!</definedName>
    <definedName name="SQL_PC___QIPP_2">#REF!</definedName>
    <definedName name="SQL_PC___Resource_Allocations_1">#REF!</definedName>
    <definedName name="SQL_PC___Risk_1">#REF!</definedName>
    <definedName name="SQL_PC_CoCom_Detail_1516_1">#REF!</definedName>
    <definedName name="SQL_PC_CoCom_Detail_1516_2">#REF!</definedName>
    <definedName name="SQL_PC_CoCom_Detail_1516_3">#REF!</definedName>
    <definedName name="SQL_PC_CoCom_Detail_1516_4">#REF!</definedName>
    <definedName name="SQL_PC_Financial_Plan_Detail_1">#REF!</definedName>
    <definedName name="SQL_PC_Financial_Plan_Detail_2">#REF!</definedName>
    <definedName name="SQL_PC_Financial_Plan_Detail_3">#REF!</definedName>
    <definedName name="SQL_PC_Financial_Plan_Summary_1">#REF!</definedName>
    <definedName name="SQL_PH___Contract_1415_1">#REF!</definedName>
    <definedName name="SQL_PH___Contract_1415_2">#REF!</definedName>
    <definedName name="SQL_PH___Contract_1415_3">#REF!</definedName>
    <definedName name="SQL_PH___Contract_1516_1">#REF!</definedName>
    <definedName name="SQL_PH___Contract_1516_2">#REF!</definedName>
    <definedName name="SQL_PH___Investment_1">#REF!</definedName>
    <definedName name="SQL_PH___QIPP_1">#REF!</definedName>
    <definedName name="SQL_PH___QIPP_2">#REF!</definedName>
    <definedName name="SQL_PH___Resource_Allocations_1">#REF!</definedName>
    <definedName name="SQL_PH___Risk_1">#REF!</definedName>
    <definedName name="SQL_PH_Financial_Plan_Detail_1">#REF!</definedName>
    <definedName name="SQL_PH_Financial_Plan_Detail_2">#REF!</definedName>
    <definedName name="SQL_PH_Financial_Plan_Detail_3">#REF!</definedName>
    <definedName name="SQL_PH_Financial_Plan_Detail_4">#REF!</definedName>
    <definedName name="SQL_PH_Financial_Plan_Summary_1">#REF!</definedName>
    <definedName name="SQL_QIPP_1516_1">#REF!</definedName>
    <definedName name="SQL_QIPP_1516_2">#REF!</definedName>
    <definedName name="SQL_QIPP_1516_3">#REF!</definedName>
    <definedName name="SQL_Quality_Checks_1">#REF!</definedName>
    <definedName name="SQL_Quality_Checks_2">#REF!</definedName>
    <definedName name="SQL_Revenue_Resource_Limit_1">#REF!</definedName>
    <definedName name="SQL_Risk_1">#REF!</definedName>
    <definedName name="SQL_Risk_2">#REF!</definedName>
    <definedName name="SQL_SoFP_1">#REF!</definedName>
    <definedName name="SQL_Spec___Contract_1415_1">#REF!</definedName>
    <definedName name="SQL_Spec___Contract_1415_2">#REF!</definedName>
    <definedName name="SQL_Spec___Contract_1516_1">#REF!</definedName>
    <definedName name="SQL_Spec___Contract_1516_2">#REF!</definedName>
    <definedName name="SQL_Spec___Investment_1">#REF!</definedName>
    <definedName name="SQL_Spec___LD_1">#REF!</definedName>
    <definedName name="SQL_Spec___LD_2">#REF!</definedName>
    <definedName name="SQL_Spec___QIPP_1">#REF!</definedName>
    <definedName name="SQL_Spec___QIPP_2">#REF!</definedName>
    <definedName name="SQL_Spec___Risk_1">#REF!</definedName>
    <definedName name="SQL_Spec_CCG_Fin_Plan_Detail_1">#REF!</definedName>
    <definedName name="SQL_Spec_CCG_Fin_Plan_Detail_2">#REF!</definedName>
    <definedName name="SQL_Spec_CCG_Fin_Plan_Detail_3">#REF!</definedName>
    <definedName name="SQL_Spec_CCG_Fin_Plan_Detail_4">#REF!</definedName>
    <definedName name="SQL_SPEC_CoCom_Detail_1516_1">#REF!</definedName>
    <definedName name="SQL_SPEC_CoCom_Detail_1516_2">#REF!</definedName>
    <definedName name="SQL_SPEC_CoCom_Detail_1516_3">#REF!</definedName>
    <definedName name="SQL_SPEC_CoCom_Detail_1516_4">#REF!</definedName>
    <definedName name="SQL_Spec_Fin_Plan_Detail_1">#REF!</definedName>
    <definedName name="SQL_Spec_Fin_Plan_Detail_2">#REF!</definedName>
    <definedName name="SQL_Spec_Fin_Plan_Detail_3">#REF!</definedName>
    <definedName name="SQL_Spec_Fin_Plan_Detail_4">#REF!</definedName>
    <definedName name="SQL_Spec_Fin_Plan_Summary_1">#REF!</definedName>
    <definedName name="SQL_Spec_Resource_Allocations_1">#REF!</definedName>
    <definedName name="SQL_Summary_1">#REF!</definedName>
    <definedName name="SQL_Summary_2">#REF!</definedName>
    <definedName name="SQL_Waterfall_1">#REF!</definedName>
    <definedName name="squeeze">0.8</definedName>
    <definedName name="sssss" hidden="1">{#N/A,#N/A,FALSE,"TMCOMP96";#N/A,#N/A,FALSE,"MAT96";#N/A,#N/A,FALSE,"FANDA96";#N/A,#N/A,FALSE,"INTRAN96";#N/A,#N/A,FALSE,"NAA9697";#N/A,#N/A,FALSE,"ECWEBB";#N/A,#N/A,FALSE,"MFT96";#N/A,#N/A,FALSE,"CTrecon"}</definedName>
    <definedName name="StaffRatio">'[48]Front Sheet'!$G$37</definedName>
    <definedName name="STAFFS" localSheetId="58">#REF!</definedName>
    <definedName name="STAFFS">#REF!</definedName>
    <definedName name="STAMP">[1]NICs!#REF!</definedName>
    <definedName name="START">[2]PC1!#REF!</definedName>
    <definedName name="Start_of_Checks">#REF!</definedName>
    <definedName name="StartUpY1">'[48]Front Sheet'!$G$13</definedName>
    <definedName name="Status_3C">#REF!</definedName>
    <definedName name="STOP">[2]PC1!#REF!</definedName>
    <definedName name="STUDENT">[27]Data!$AO:$AO</definedName>
    <definedName name="SUBROU">[2]PC1!$AG$53</definedName>
    <definedName name="Subsistence">'[28]T&amp;S'!$C$14:$W$14</definedName>
    <definedName name="SUFFOLK" localSheetId="58">#REF!</definedName>
    <definedName name="SUFFOLK">#REF!</definedName>
    <definedName name="Sumif_count" localSheetId="58">'[38]HMT Scorecard (Inputs)'!$A$509</definedName>
    <definedName name="Sumif_count" localSheetId="23">'[39]HMT Scorecard (Inputs)'!$A$509</definedName>
    <definedName name="Sumif_count" localSheetId="24">'[39]HMT Scorecard (Inputs)'!$A$509</definedName>
    <definedName name="Sumif_count">'[40]HMT Scorecard (Inputs)'!$A$509</definedName>
    <definedName name="Summary_chts">#REF!</definedName>
    <definedName name="summaryf">#REF!</definedName>
    <definedName name="summarym">#REF!</definedName>
    <definedName name="summaryp">#REF!</definedName>
    <definedName name="Supplementary_tables" localSheetId="58">'[38]INPUT - HMT Final scorecard'!$C$5:$C$256</definedName>
    <definedName name="Supplementary_tables" localSheetId="23">'[39]INPUT - HMT Final scorecard'!$C$5:$C$256</definedName>
    <definedName name="Supplementary_tables" localSheetId="24">'[39]INPUT - HMT Final scorecard'!$C$5:$C$256</definedName>
    <definedName name="Supplementary_tables">'[40]INPUT - HMT Final scorecard'!$C$5:$C$256</definedName>
    <definedName name="SURREY" localSheetId="58">#REF!</definedName>
    <definedName name="SURREY">#REF!</definedName>
    <definedName name="Symbol_3C_0">#REF!</definedName>
    <definedName name="Symbol_3C_1">#REF!</definedName>
    <definedName name="Symbol_3C_2">#REF!</definedName>
    <definedName name="Symbol_3C_3">#REF!</definedName>
    <definedName name="Symbol_3C_4">#REF!</definedName>
    <definedName name="T.10" hidden="1">'[5]Forecast data'!#REF!</definedName>
    <definedName name="T_S_Other">'[28]T&amp;S'!$C$15:$W$15</definedName>
    <definedName name="T2.4b">#REF!</definedName>
    <definedName name="T2FD1">#REF!</definedName>
    <definedName name="T2FD2">#REF!</definedName>
    <definedName name="T2FD3">#REF!</definedName>
    <definedName name="T2FT">#REF!</definedName>
    <definedName name="T2MD1">#REF!</definedName>
    <definedName name="T2MD2">#REF!</definedName>
    <definedName name="T2MD3">#REF!</definedName>
    <definedName name="T2MT">#REF!</definedName>
    <definedName name="T3_Notes">#REF!</definedName>
    <definedName name="T3F_BASE">'[26]mid year'!#REF!</definedName>
    <definedName name="T3F_FILL">'[26]mid year'!#REF!</definedName>
    <definedName name="T3FD1">'[26]mid year'!#REF!</definedName>
    <definedName name="T3FD2">'[26]mid year'!#REF!</definedName>
    <definedName name="T3FD3">'[26]mid year'!#REF!</definedName>
    <definedName name="T3FT">'[26]mid year'!#REF!</definedName>
    <definedName name="T3M_BASE">'[26]mid year'!#REF!</definedName>
    <definedName name="T3M_FILL">'[26]mid year'!#REF!</definedName>
    <definedName name="T3MD1">'[26]mid year'!#REF!</definedName>
    <definedName name="T3MD2">'[26]mid year'!#REF!</definedName>
    <definedName name="T3MD3">'[26]mid year'!#REF!</definedName>
    <definedName name="T3MT">#REF!</definedName>
    <definedName name="T4.9i" localSheetId="50" hidden="1">{#N/A,#N/A,FALSE,"TMCOMP96";#N/A,#N/A,FALSE,"MAT96";#N/A,#N/A,FALSE,"FANDA96";#N/A,#N/A,FALSE,"INTRAN96";#N/A,#N/A,FALSE,"NAA9697";#N/A,#N/A,FALSE,"ECWEBB";#N/A,#N/A,FALSE,"MFT96";#N/A,#N/A,FALSE,"CTrecon"}</definedName>
    <definedName name="T4.9i" localSheetId="32" hidden="1">{#N/A,#N/A,FALSE,"TMCOMP96";#N/A,#N/A,FALSE,"MAT96";#N/A,#N/A,FALSE,"FANDA96";#N/A,#N/A,FALSE,"INTRAN96";#N/A,#N/A,FALSE,"NAA9697";#N/A,#N/A,FALSE,"ECWEBB";#N/A,#N/A,FALSE,"MFT96";#N/A,#N/A,FALSE,"CTrecon"}</definedName>
    <definedName name="T4.9i" localSheetId="58" hidden="1">{#N/A,#N/A,FALSE,"TMCOMP96";#N/A,#N/A,FALSE,"MAT96";#N/A,#N/A,FALSE,"FANDA96";#N/A,#N/A,FALSE,"INTRAN96";#N/A,#N/A,FALSE,"NAA9697";#N/A,#N/A,FALSE,"ECWEBB";#N/A,#N/A,FALSE,"MFT96";#N/A,#N/A,FALSE,"CTrecon"}</definedName>
    <definedName name="T4.9i" hidden="1">{#N/A,#N/A,FALSE,"TMCOMP96";#N/A,#N/A,FALSE,"MAT96";#N/A,#N/A,FALSE,"FANDA96";#N/A,#N/A,FALSE,"INTRAN96";#N/A,#N/A,FALSE,"NAA9697";#N/A,#N/A,FALSE,"ECWEBB";#N/A,#N/A,FALSE,"MFT96";#N/A,#N/A,FALSE,"CTrecon"}</definedName>
    <definedName name="T4.9j" localSheetId="50" hidden="1">{#N/A,#N/A,FALSE,"TMCOMP96";#N/A,#N/A,FALSE,"MAT96";#N/A,#N/A,FALSE,"FANDA96";#N/A,#N/A,FALSE,"INTRAN96";#N/A,#N/A,FALSE,"NAA9697";#N/A,#N/A,FALSE,"ECWEBB";#N/A,#N/A,FALSE,"MFT96";#N/A,#N/A,FALSE,"CTrecon"}</definedName>
    <definedName name="T4.9j" localSheetId="32" hidden="1">{#N/A,#N/A,FALSE,"TMCOMP96";#N/A,#N/A,FALSE,"MAT96";#N/A,#N/A,FALSE,"FANDA96";#N/A,#N/A,FALSE,"INTRAN96";#N/A,#N/A,FALSE,"NAA9697";#N/A,#N/A,FALSE,"ECWEBB";#N/A,#N/A,FALSE,"MFT96";#N/A,#N/A,FALSE,"CTrecon"}</definedName>
    <definedName name="T4.9j" localSheetId="58"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4BD1">#REF!</definedName>
    <definedName name="T4BD2">#REF!</definedName>
    <definedName name="T4BD3">#REF!</definedName>
    <definedName name="T4BT">#REF!</definedName>
    <definedName name="T4F_BASE">#REF!</definedName>
    <definedName name="T4F_FILL">#REF!</definedName>
    <definedName name="T4FD1">#REF!</definedName>
    <definedName name="T4FD2">#REF!</definedName>
    <definedName name="T4FD3">#REF!</definedName>
    <definedName name="T4FT">#REF!</definedName>
    <definedName name="T4M_BASE">#REF!</definedName>
    <definedName name="T4M_FILL">#REF!</definedName>
    <definedName name="T4MD1">#REF!</definedName>
    <definedName name="T4MD2">#REF!</definedName>
    <definedName name="T4MD3">#REF!</definedName>
    <definedName name="T4MT">#REF!</definedName>
    <definedName name="T4T_BASE">#REF!</definedName>
    <definedName name="T4T_FILL">#REF!</definedName>
    <definedName name="T5_1_notes">'[166]Table5.1 LRL North East'!#REF!</definedName>
    <definedName name="T5BD1">#REF!</definedName>
    <definedName name="T5BD2">#REF!</definedName>
    <definedName name="T5BD3">#REF!</definedName>
    <definedName name="T5BT">#REF!</definedName>
    <definedName name="T5F_BASE">#REF!</definedName>
    <definedName name="T5F_FILL">#REF!</definedName>
    <definedName name="T5FD1">#REF!</definedName>
    <definedName name="T5FD2">#REF!</definedName>
    <definedName name="T5FD3">#REF!</definedName>
    <definedName name="T5FT">#REF!</definedName>
    <definedName name="T5M_BASE">#REF!</definedName>
    <definedName name="T5M_FILL">#REF!</definedName>
    <definedName name="T5MD1">#REF!</definedName>
    <definedName name="T5MD2">#REF!</definedName>
    <definedName name="T5MD3">#REF!</definedName>
    <definedName name="T5MT">#REF!</definedName>
    <definedName name="T5T_BASE">#REF!</definedName>
    <definedName name="T5T_FILL">#REF!</definedName>
    <definedName name="T9201415">#REF!</definedName>
    <definedName name="tab">#REF!</definedName>
    <definedName name="TAB5cQT">#REF!</definedName>
    <definedName name="TABLE">#REF!</definedName>
    <definedName name="table_1">#REF!</definedName>
    <definedName name="Table_1.1.">#REF!</definedName>
    <definedName name="table_2">#REF!</definedName>
    <definedName name="Table_2.3">#REF!</definedName>
    <definedName name="Table_2.4">#REF!</definedName>
    <definedName name="Table_2.5">#REF!</definedName>
    <definedName name="Table_2.6">#REF!</definedName>
    <definedName name="Table_2.7">#REF!</definedName>
    <definedName name="table_3">#REF!</definedName>
    <definedName name="Table_4.11">#REF!</definedName>
    <definedName name="Table_4.12">#REF!</definedName>
    <definedName name="Table_4.13">#REF!</definedName>
    <definedName name="Table_4.1ch2">#REF!</definedName>
    <definedName name="Table_4.2">#REF!</definedName>
    <definedName name="Table_4.3">#REF!</definedName>
    <definedName name="Table_4.4">#REF!</definedName>
    <definedName name="Table_4.5">#REF!</definedName>
    <definedName name="Table_4.6">#REF!</definedName>
    <definedName name="table_a">#REF!</definedName>
    <definedName name="Table_A.1">#REF!</definedName>
    <definedName name="Table_A.2">#REF!</definedName>
    <definedName name="Table_A.3">#REF!</definedName>
    <definedName name="table_b">#REF!</definedName>
    <definedName name="Table_B.1">#REF!</definedName>
    <definedName name="Table_B.2">#REF!</definedName>
    <definedName name="Table_B11">#REF!</definedName>
    <definedName name="Table_B11__Net_taxes_and_social_security_contributions_2004_05">#REF!</definedName>
    <definedName name="Table_B24">#REF!</definedName>
    <definedName name="Table_B24__Financing_requirement_forecast">#REF!</definedName>
    <definedName name="Table_B4">#REF!</definedName>
    <definedName name="Table_B4__Estimated_costs_of_Pre_Budget_Report_policy_decisions_and_others_announced_since_Budget_2004_1">#REF!</definedName>
    <definedName name="Table_B5">#REF!</definedName>
    <definedName name="Table_B5__National_insurance_contribution_rates_2005_06">#REF!</definedName>
    <definedName name="Table_B6">#REF!</definedName>
    <definedName name="Table_B6__Income_tax_allowances_2005_06">#REF!</definedName>
    <definedName name="Table_B7">#REF!</definedName>
    <definedName name="Table_B7__Working_and_Child_Tax_Credit_rates_and_thresholds">#REF!</definedName>
    <definedName name="table_c">#REF!</definedName>
    <definedName name="table_d">#REF!</definedName>
    <definedName name="table_e">#REF!</definedName>
    <definedName name="table_f">#REF!</definedName>
    <definedName name="table_g">#REF!</definedName>
    <definedName name="Table_GDP">[167]!T_GDP[#All]</definedName>
    <definedName name="table_h">#REF!</definedName>
    <definedName name="table1">#REF!</definedName>
    <definedName name="table1bb">'[92]End tables'!#REF!</definedName>
    <definedName name="Table2">#REF!</definedName>
    <definedName name="Table3">#REF!</definedName>
    <definedName name="TABLE4">#REF!</definedName>
    <definedName name="Table5">#REF!</definedName>
    <definedName name="Table6">#REF!</definedName>
    <definedName name="Table7">#REF!</definedName>
    <definedName name="Table8">#REF!</definedName>
    <definedName name="Table9">#REF!</definedName>
    <definedName name="TableA1">#REF!</definedName>
    <definedName name="TABLEB1">[168]TableB1!$A$1:$Y$79</definedName>
    <definedName name="TABLEF1">[168]TableB1!$A$82:$Y$134</definedName>
    <definedName name="TableName">"Dummy"</definedName>
    <definedName name="tablePrefix" localSheetId="23">#REF!</definedName>
    <definedName name="tablePrefix" localSheetId="24">#REF!</definedName>
    <definedName name="tablePrefix">'[92]Tables ---&gt;'!$D$3</definedName>
    <definedName name="TABLES">'[169]Billing Table'!$A$10:$S$416</definedName>
    <definedName name="TailoredGrants">[41]Parameters!$B$29</definedName>
    <definedName name="tariff">'[25]Inputs 5 - Other parameters'!$C$10</definedName>
    <definedName name="taxbase">#REF!</definedName>
    <definedName name="taxbaseph">'[41]Pre-damping'!$AQ:$AQ</definedName>
    <definedName name="TB6a_bik">#REF!</definedName>
    <definedName name="TB6a_car">#REF!</definedName>
    <definedName name="TB6a_cyc">#REF!</definedName>
    <definedName name="TB6a_ped">#REF!</definedName>
    <definedName name="TB6b_bik">#REF!</definedName>
    <definedName name="TB6b_car">#REF!</definedName>
    <definedName name="TB6b_cyc">#REF!</definedName>
    <definedName name="TB6b_ped">#REF!</definedName>
    <definedName name="TB6c_bik">#REF!</definedName>
    <definedName name="TB6c_car">#REF!</definedName>
    <definedName name="TB6c_cyc">#REF!</definedName>
    <definedName name="TB6c_ped">#REF!</definedName>
    <definedName name="Tbl_BF_SQL">#REF!</definedName>
    <definedName name="Tbl_CCG_QIPP_Profile">'[170]QIPP profile'!$A$3:$S$65</definedName>
    <definedName name="Tbl_CF_SQL">#REF!</definedName>
    <definedName name="Tbl_PH_SQL">#REF!</definedName>
    <definedName name="Tbl_Summary_SQL">#REF!</definedName>
    <definedName name="Tbl_Transfers_SQL">#REF!</definedName>
    <definedName name="TCOAST3NEW">'[27]EPCS - Bits'!$U$596</definedName>
    <definedName name="TDCEN">'[52]BR 2020-21 onward source'!$P$9:$Z$393</definedName>
    <definedName name="TDLOW">'[52]BR 2020-21 onward source'!$C$9:$M$393</definedName>
    <definedName name="TDUP">'[52]BR 2020-21 onward source'!$AC$9:$AM$393</definedName>
    <definedName name="TEAENGLAND">'[27]EPCS - Bits'!$O$596</definedName>
    <definedName name="Team_names">'[171]Team Report'!$A$61:$A$68</definedName>
    <definedName name="TelNo">'[57]List of Returns'!#REF!</definedName>
    <definedName name="temp"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temp_1"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temp2"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temp2_1"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TERRACED">[27]Data!$AV:$AV</definedName>
    <definedName name="Test">#REF!,#REF!</definedName>
    <definedName name="test_title">#REF!</definedName>
    <definedName name="testname" hidden="1">'[13]T3 Page 1'!#REF!</definedName>
    <definedName name="TFL1516BL">'[54]1516 data'!$J:$J</definedName>
    <definedName name="this_year">[97]_Parameters!$D$5</definedName>
    <definedName name="this_year_alias">[97]_Parameters!$E$5</definedName>
    <definedName name="tiersplit">[79]TierSplit!$A$8:$K$334</definedName>
    <definedName name="Title">[84]Codes!$D$2</definedName>
    <definedName name="TITLES">[8]table!$C$1:$AN$7</definedName>
    <definedName name="TM">[139]Sheet1!$A$1:$I$119</definedName>
    <definedName name="TM1REBUILDOPTION">1</definedName>
    <definedName name="Tobacco___Factor_decomposition">#REF!</definedName>
    <definedName name="Tolerance">#REF!</definedName>
    <definedName name="toolong" localSheetId="50">#REF!</definedName>
    <definedName name="toolong" localSheetId="32">#REF!</definedName>
    <definedName name="toolong" localSheetId="58">[43]Persons!#REF!</definedName>
    <definedName name="toolong">#REF!</definedName>
    <definedName name="TOP">#REF!</definedName>
    <definedName name="totalfss">#REF!</definedName>
    <definedName name="totbasic">[41]Parameters!$B$32</definedName>
    <definedName name="totfin">[41]Parameters!#REF!</definedName>
    <definedName name="totnaam">#REF!</definedName>
    <definedName name="totneeds">[41]Parameters!$B$30</definedName>
    <definedName name="totnndr">[41]Parameters!#REF!</definedName>
    <definedName name="totpfi">'[23]Capital finance'!#REF!</definedName>
    <definedName name="totpg">[41]Parameters!$B$19</definedName>
    <definedName name="totpop0to17">[23]Background!#REF!</definedName>
    <definedName name="TOTPRECODE">[52]TOT!$B$17:$B$477</definedName>
    <definedName name="TOTPRLA">[52]TOT!$B$17:$D$477</definedName>
    <definedName name="totresource">[41]Parameters!$B$31</definedName>
    <definedName name="totrsg">[41]Parameters!#REF!</definedName>
    <definedName name="tpsa">#REF!</definedName>
    <definedName name="tpsdp">#REF!</definedName>
    <definedName name="tpstot">#REF!</definedName>
    <definedName name="TR">[139]Sheet1!$U$1:$AB$146</definedName>
    <definedName name="TR_Source">#REF!</definedName>
    <definedName name="TR_Source2">#REF!</definedName>
    <definedName name="TrackerDept">#REF!</definedName>
    <definedName name="transition">'[25]Overview and controls'!$E$6</definedName>
    <definedName name="Travel_and_Subsisten">'[28]T&amp;S'!$C$18:$W$18</definedName>
    <definedName name="Travel_Service_Fees">'[28]T&amp;S'!$C$16:$W$16</definedName>
    <definedName name="TRAW_CAPFIN">'[27]Capital Financing'!$F$596</definedName>
    <definedName name="TRAW_CONCT">'[27]EPCS - CT'!$D$596</definedName>
    <definedName name="TRAW_EDU8">'[27]Children''s Services'!$L$596</definedName>
    <definedName name="TRAW_EDU9">'[27]Children''s Services'!$Z$596</definedName>
    <definedName name="TRAW_FIRE">[27]Fire!$N$596</definedName>
    <definedName name="TRAW_HWAY">'[27]Highway Maintenance'!$N$596</definedName>
    <definedName name="TRAW_LDR1">'[27]EPCS - Bits'!$J$597</definedName>
    <definedName name="TRAW_OSB.L">'[27]EPCS - Main'!$L$596</definedName>
    <definedName name="TRAW_OSB.U">'[27]EPCS - Main'!$Y$596</definedName>
    <definedName name="TRAW_POLICE">[27]Police!$U$596</definedName>
    <definedName name="TRAW_PSS1">'[27]Children''s Services'!$AK$596</definedName>
    <definedName name="TRAW_PSS4">'[27]Adult PSS'!$W$596</definedName>
    <definedName name="TRAW_PSS5">'[27]Adult PSS'!$N$596</definedName>
    <definedName name="Trend">[31]Matrix!$N$3:$N$5</definedName>
    <definedName name="trggh" localSheetId="50" hidden="1">{#N/A,#N/A,FALSE,"TMCOMP96";#N/A,#N/A,FALSE,"MAT96";#N/A,#N/A,FALSE,"FANDA96";#N/A,#N/A,FALSE,"INTRAN96";#N/A,#N/A,FALSE,"NAA9697";#N/A,#N/A,FALSE,"ECWEBB";#N/A,#N/A,FALSE,"MFT96";#N/A,#N/A,FALSE,"CTrecon"}</definedName>
    <definedName name="trggh" localSheetId="32" hidden="1">{#N/A,#N/A,FALSE,"TMCOMP96";#N/A,#N/A,FALSE,"MAT96";#N/A,#N/A,FALSE,"FANDA96";#N/A,#N/A,FALSE,"INTRAN96";#N/A,#N/A,FALSE,"NAA9697";#N/A,#N/A,FALSE,"ECWEBB";#N/A,#N/A,FALSE,"MFT96";#N/A,#N/A,FALSE,"CTrecon"}</definedName>
    <definedName name="trggh" localSheetId="58" hidden="1">{#N/A,#N/A,FALSE,"TMCOMP96";#N/A,#N/A,FALSE,"MAT96";#N/A,#N/A,FALSE,"FANDA96";#N/A,#N/A,FALSE,"INTRAN96";#N/A,#N/A,FALSE,"NAA9697";#N/A,#N/A,FALSE,"ECWEBB";#N/A,#N/A,FALSE,"MFT96";#N/A,#N/A,FALSE,"CTrecon"}</definedName>
    <definedName name="trggh" hidden="1">{#N/A,#N/A,FALSE,"TMCOMP96";#N/A,#N/A,FALSE,"MAT96";#N/A,#N/A,FALSE,"FANDA96";#N/A,#N/A,FALSE,"INTRAN96";#N/A,#N/A,FALSE,"NAA9697";#N/A,#N/A,FALSE,"ECWEBB";#N/A,#N/A,FALSE,"MFT96";#N/A,#N/A,FALSE,"CTrecon"}</definedName>
    <definedName name="trggh_1" hidden="1">{#N/A,#N/A,FALSE,"TMCOMP96";#N/A,#N/A,FALSE,"MAT96";#N/A,#N/A,FALSE,"FANDA96";#N/A,#N/A,FALSE,"INTRAN96";#N/A,#N/A,FALSE,"NAA9697";#N/A,#N/A,FALSE,"ECWEBB";#N/A,#N/A,FALSE,"MFT96";#N/A,#N/A,FALSE,"CTrecon"}</definedName>
    <definedName name="trggh_2" hidden="1">{#N/A,#N/A,FALSE,"TMCOMP96";#N/A,#N/A,FALSE,"MAT96";#N/A,#N/A,FALSE,"FANDA96";#N/A,#N/A,FALSE,"INTRAN96";#N/A,#N/A,FALSE,"NAA9697";#N/A,#N/A,FALSE,"ECWEBB";#N/A,#N/A,FALSE,"MFT96";#N/A,#N/A,FALSE,"CTrecon"}</definedName>
    <definedName name="Trigger">#REF!</definedName>
    <definedName name="TU">[139]Sheet1!$AC$1:$AJ$133</definedName>
    <definedName name="two">#REF!</definedName>
    <definedName name="TWO_PER_BAL_UNCOM">'[172]2.5% CCGs'!$F$22</definedName>
    <definedName name="TYNE_WEAR" localSheetId="58">#REF!</definedName>
    <definedName name="TYNE_WEAR">#REF!</definedName>
    <definedName name="Type_of_fluid_filter">#REF!</definedName>
    <definedName name="uanumber">[142]AuthDetails!$B$1</definedName>
    <definedName name="UARes">[29]Cover!$K$65</definedName>
    <definedName name="ui">#REF!</definedName>
    <definedName name="UK" localSheetId="58">#REF!</definedName>
    <definedName name="UK" localSheetId="23">#REF!</definedName>
    <definedName name="UK" localSheetId="24">#REF!</definedName>
    <definedName name="UK">#REF!</definedName>
    <definedName name="UK_travel">'[28]T&amp;S'!$C$6:$W$6</definedName>
    <definedName name="UNEMPN">[27]Data!$BS:$BS</definedName>
    <definedName name="UnitCostDates">'[48]Unit Cost'!$D$23:$CK$23</definedName>
    <definedName name="Unused" hidden="1">'[173]SUMMARY TABLE'!$S$23:$S$46</definedName>
    <definedName name="Unused4" hidden="1">'[173]SUMMARY TABLE'!$T$23:$T$46</definedName>
    <definedName name="Unused5" hidden="1">'[173]SUMMARY TABLE'!$P$23:$P$46</definedName>
    <definedName name="Unused7" hidden="1">'[173]SUMMARY TABLE'!$P$23:$P$46</definedName>
    <definedName name="Unussed12" hidden="1">{#N/A,#N/A,FALSE,"TMCOMP96";#N/A,#N/A,FALSE,"MAT96";#N/A,#N/A,FALSE,"FANDA96";#N/A,#N/A,FALSE,"INTRAN96";#N/A,#N/A,FALSE,"NAA9697";#N/A,#N/A,FALSE,"ECWEBB";#N/A,#N/A,FALSE,"MFT96";#N/A,#N/A,FALSE,"CTrecon"}</definedName>
    <definedName name="Unusued11" hidden="1">{#N/A,#N/A,FALSE,"TMCOMP96";#N/A,#N/A,FALSE,"MAT96";#N/A,#N/A,FALSE,"FANDA96";#N/A,#N/A,FALSE,"INTRAN96";#N/A,#N/A,FALSE,"NAA9697";#N/A,#N/A,FALSE,"ECWEBB";#N/A,#N/A,FALSE,"MFT96";#N/A,#N/A,FALSE,"CTrecon"}</definedName>
    <definedName name="Unusued2" hidden="1">'[173]SUMMARY TABLE'!$S$23:$S$46</definedName>
    <definedName name="Unusued24" hidden="1">#REF!</definedName>
    <definedName name="Unusued3" hidden="1">'[173]SUMMARY TABLE'!$T$23:$T$46</definedName>
    <definedName name="Unusued5" hidden="1">'[173]SUMMARY TABLE'!$Q$6:$Q$49</definedName>
    <definedName name="Unusued8" hidden="1">{#N/A,#N/A,FALSE,"TMCOMP96";#N/A,#N/A,FALSE,"MAT96";#N/A,#N/A,FALSE,"FANDA96";#N/A,#N/A,FALSE,"INTRAN96";#N/A,#N/A,FALSE,"NAA9697";#N/A,#N/A,FALSE,"ECWEBB";#N/A,#N/A,FALSE,"MFT96";#N/A,#N/A,FALSE,"CTrecon"}</definedName>
    <definedName name="UNWEIGHTED">'[27]Highway Maintenance'!$E:$E</definedName>
    <definedName name="upper_capital_limit_dom">'[25]Inputs 5 - Other parameters'!$C$9</definedName>
    <definedName name="upper_capital_limit_old">'[25]Inputs 5 - Other parameters'!$C$13</definedName>
    <definedName name="upper_capital_limit_res">'[25]Inputs 5 - Other parameters'!$C$8</definedName>
    <definedName name="uptake">'[25]Inputs 5 - Other parameters'!$C$19</definedName>
    <definedName name="UT">#REF!</definedName>
    <definedName name="UTFUND1516BL">'[54]1516 data'!$D:$D</definedName>
    <definedName name="UTFUND1516RSG">'[54]1516 data'!$S:$S</definedName>
    <definedName name="UTServ">#REF!</definedName>
    <definedName name="v">#REF!</definedName>
    <definedName name="V1_" localSheetId="23">#REF!</definedName>
    <definedName name="V1_" localSheetId="24">#REF!</definedName>
    <definedName name="V1_">[2]PC1!$C$52:$P$52</definedName>
    <definedName name="V10_">[2]PC1!#REF!</definedName>
    <definedName name="V11_">[2]PC1!#REF!</definedName>
    <definedName name="V12_">[2]PC1!#REF!</definedName>
    <definedName name="V13_">[2]PC1!#REF!</definedName>
    <definedName name="V14_">[2]PC1!$C$107:$Q$107</definedName>
    <definedName name="V15_">[2]PC1!$C$108:$Q$108</definedName>
    <definedName name="V16_">[2]PC1!$C$109:$Q$109</definedName>
    <definedName name="V17_">[2]PC1!$C$110:$Q$110</definedName>
    <definedName name="V18_">[2]PC1!$C$111:$Q$111</definedName>
    <definedName name="V19_">[2]PC1!$C$112:$Q$112</definedName>
    <definedName name="V2_">[2]PC1!$C$65:$P$65</definedName>
    <definedName name="V20_">[2]PC1!$C$113:$Q$113</definedName>
    <definedName name="V3_">[2]PC1!#REF!</definedName>
    <definedName name="V35_">[174]PC17!#REF!</definedName>
    <definedName name="V3A">#N/A</definedName>
    <definedName name="V4_">[2]PC1!$B$102:$P$102</definedName>
    <definedName name="V40_">[174]PC17!#REF!</definedName>
    <definedName name="V4A">#N/A</definedName>
    <definedName name="V5_">[2]PC1!$C$103:$Q$103</definedName>
    <definedName name="V51_">[174]XXPC31!#REF!</definedName>
    <definedName name="V52_">[174]XXPC31!#REF!</definedName>
    <definedName name="V53_">[174]XXPC31!#REF!</definedName>
    <definedName name="V54_">[174]XXPC31!#REF!</definedName>
    <definedName name="V55_">[174]XXPC31!#REF!</definedName>
    <definedName name="V5A">#N/A</definedName>
    <definedName name="V6_">[2]PC1!#REF!</definedName>
    <definedName name="V64_">[174]PC39!#REF!</definedName>
    <definedName name="V68_">[174]PC39!#REF!</definedName>
    <definedName name="V7_">[2]PC1!#REF!</definedName>
    <definedName name="V8_">[2]PC1!#REF!</definedName>
    <definedName name="V80_">#N/A</definedName>
    <definedName name="V81_">#N/A</definedName>
    <definedName name="V83_">[2]XXPC51!$C$42:$R$42</definedName>
    <definedName name="V84_">[2]XXPC51!$C$43:$R$43</definedName>
    <definedName name="V85_">[2]XXPC51!$C$44:$R$44</definedName>
    <definedName name="V9_">[2]PC1!#REF!</definedName>
    <definedName name="Validation">#REF!</definedName>
    <definedName name="ValidScores">[162]RawData!$R$2:$R$9</definedName>
    <definedName name="Value">[67]LIVE!$D$2:$D$25262</definedName>
    <definedName name="VAT">'[47]Global Inputs'!$C$54</definedName>
    <definedName name="VEDs">'[48]Front Sheet'!$D$7</definedName>
    <definedName name="Ver">'[111]Ratings and Bandings'!$B$39:$B$43</definedName>
    <definedName name="Ver_1.0d">#REF!</definedName>
    <definedName name="Version">!#REF!</definedName>
    <definedName name="Vertical">[31]Matrix!$B$3:$B$7</definedName>
    <definedName name="VISDAY">[27]Data!$BJ:$BJ</definedName>
    <definedName name="VOAList">[142]ValidationData!$G$2:$K$208</definedName>
    <definedName name="VW_Col1">#REF!</definedName>
    <definedName name="VW_Col2">'[175]Capital charges (col 2)'!$B$8:$CV$507</definedName>
    <definedName name="VW_Col3">'[175]Net total cost (col 3)'!$B$8:$CV$507</definedName>
    <definedName name="W_GLAM" localSheetId="58">#REF!</definedName>
    <definedName name="W_GLAM" localSheetId="23">#REF!</definedName>
    <definedName name="W_GLAM" localSheetId="24">#REF!</definedName>
    <definedName name="W_GLAM">#REF!</definedName>
    <definedName name="W_MIDS" localSheetId="58">#REF!</definedName>
    <definedName name="W_MIDS">#REF!</definedName>
    <definedName name="W_S">#REF!</definedName>
    <definedName name="W_SUSSEX" localSheetId="58">#REF!</definedName>
    <definedName name="W_SUSSEX">#REF!</definedName>
    <definedName name="W_YORKS" localSheetId="58">#REF!</definedName>
    <definedName name="W_YORKS">#REF!</definedName>
    <definedName name="WARWICKS" localSheetId="58">#REF!</definedName>
    <definedName name="WARWICKS">#REF!</definedName>
    <definedName name="Waste">[29]Cover!$K$22</definedName>
    <definedName name="weeks_per_month">'[25]Inputs 5 - Other parameters'!$C$4</definedName>
    <definedName name="weeks_per_year">'[25]Inputs 5 - Other parameters'!$C$3</definedName>
    <definedName name="WEIGHTED">'[27]Highway Maintenance'!$D:$D</definedName>
    <definedName name="werer" hidden="1">{#N/A,#N/A,FALSE,"TMCOMP96";#N/A,#N/A,FALSE,"MAT96";#N/A,#N/A,FALSE,"FANDA96";#N/A,#N/A,FALSE,"INTRAN96";#N/A,#N/A,FALSE,"NAA9697";#N/A,#N/A,FALSE,"ECWEBB";#N/A,#N/A,FALSE,"MFT96";#N/A,#N/A,FALSE,"CTrecon"}</definedName>
    <definedName name="werewrw" hidden="1">{#N/A,#N/A,FALSE,"TMCOMP96";#N/A,#N/A,FALSE,"MAT96";#N/A,#N/A,FALSE,"FANDA96";#N/A,#N/A,FALSE,"INTRAN96";#N/A,#N/A,FALSE,"NAA9697";#N/A,#N/A,FALSE,"ECWEBB";#N/A,#N/A,FALSE,"MFT96";#N/A,#N/A,FALSE,"CTrecon"}</definedName>
    <definedName name="werw" hidden="1">{#N/A,#N/A,FALSE,"TMCOMP96";#N/A,#N/A,FALSE,"MAT96";#N/A,#N/A,FALSE,"FANDA96";#N/A,#N/A,FALSE,"INTRAN96";#N/A,#N/A,FALSE,"NAA9697";#N/A,#N/A,FALSE,"ECWEBB";#N/A,#N/A,FALSE,"MFT96";#N/A,#N/A,FALSE,"CTrecon"}</definedName>
    <definedName name="weujye" hidden="1">#REF!</definedName>
    <definedName name="What_The"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What_The_1"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Where_from">[107]Lists!$E$2:$E$11</definedName>
    <definedName name="WILTS" localSheetId="58">#REF!</definedName>
    <definedName name="WILTS">#REF!</definedName>
    <definedName name="wrn.Dint96." hidden="1">{"Debt interest",#N/A,FALSE,"DINT96"}</definedName>
    <definedName name="wrn.MoD._.Submission._.1997."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wrn.MoD._.Submission._.1997._1" hidden="1">{"Front Page",#N/A,FALSE,"Sheet1";"Contents",#N/A,FALSE,"Sheet1";"Labour Base &amp; Overhead Calculation",#N/A,FALSE,"Sheet1";"Analysis of Major Variances",#N/A,FALSE,"Sheet1";"Overhead Allocation Base",#N/A,FALSE,"Sheet1";"Salaries, Employee Benefits and Headcount",#N/A,FALSE,"Sheet1";"Cost of Production Calculation",#N/A,FALSE,"Sheet1";"Cost of Production &amp; Overhead Reconciliation",#N/A,FALSE,"Sheet1";"Calculation of Direct Labour Base",#N/A,FALSE,"Sheet1";"Labour Utilisation",#N/A,FALSE,"Sheet1";"Resource Rates Analysis",#N/A,FALSE,"avrate97"}</definedName>
    <definedName name="wrn.National._.Debt." hidden="1">{"Debt interest",#N/A,FALSE,"DINT 2000"}</definedName>
    <definedName name="wrn.table1." localSheetId="50" hidden="1">{#N/A,#N/A,FALSE,"CGBR95C"}</definedName>
    <definedName name="wrn.table1." localSheetId="32" hidden="1">{#N/A,#N/A,FALSE,"CGBR95C"}</definedName>
    <definedName name="wrn.table1." localSheetId="58" hidden="1">{#N/A,#N/A,FALSE,"CGBR95C"}</definedName>
    <definedName name="wrn.table1." hidden="1">{#N/A,#N/A,FALSE,"CGBR95C"}</definedName>
    <definedName name="wrn.table2." localSheetId="50" hidden="1">{#N/A,#N/A,FALSE,"CGBR95C"}</definedName>
    <definedName name="wrn.table2." localSheetId="32" hidden="1">{#N/A,#N/A,FALSE,"CGBR95C"}</definedName>
    <definedName name="wrn.table2." localSheetId="58" hidden="1">{#N/A,#N/A,FALSE,"CGBR95C"}</definedName>
    <definedName name="wrn.table2." hidden="1">{#N/A,#N/A,FALSE,"CGBR95C"}</definedName>
    <definedName name="wrn.tablea." localSheetId="50" hidden="1">{#N/A,#N/A,FALSE,"CGBR95C"}</definedName>
    <definedName name="wrn.tablea." localSheetId="32" hidden="1">{#N/A,#N/A,FALSE,"CGBR95C"}</definedName>
    <definedName name="wrn.tablea." localSheetId="58" hidden="1">{#N/A,#N/A,FALSE,"CGBR95C"}</definedName>
    <definedName name="wrn.tablea." hidden="1">{#N/A,#N/A,FALSE,"CGBR95C"}</definedName>
    <definedName name="wrn.tableb." localSheetId="50" hidden="1">{#N/A,#N/A,FALSE,"CGBR95C"}</definedName>
    <definedName name="wrn.tableb." localSheetId="32" hidden="1">{#N/A,#N/A,FALSE,"CGBR95C"}</definedName>
    <definedName name="wrn.tableb." localSheetId="58" hidden="1">{#N/A,#N/A,FALSE,"CGBR95C"}</definedName>
    <definedName name="wrn.tableb." hidden="1">{#N/A,#N/A,FALSE,"CGBR95C"}</definedName>
    <definedName name="wrn.tableq." localSheetId="50" hidden="1">{#N/A,#N/A,FALSE,"CGBR95C"}</definedName>
    <definedName name="wrn.tableq." localSheetId="32" hidden="1">{#N/A,#N/A,FALSE,"CGBR95C"}</definedName>
    <definedName name="wrn.tableq." localSheetId="58" hidden="1">{#N/A,#N/A,FALSE,"CGBR95C"}</definedName>
    <definedName name="wrn.tableq." hidden="1">{#N/A,#N/A,FALSE,"CGBR95C"}</definedName>
    <definedName name="wrn.TMCOMP." localSheetId="50" hidden="1">{#N/A,#N/A,FALSE,"TMCOMP96";#N/A,#N/A,FALSE,"MAT96";#N/A,#N/A,FALSE,"FANDA96";#N/A,#N/A,FALSE,"INTRAN96";#N/A,#N/A,FALSE,"NAA9697";#N/A,#N/A,FALSE,"ECWEBB";#N/A,#N/A,FALSE,"MFT96";#N/A,#N/A,FALSE,"CTrecon"}</definedName>
    <definedName name="wrn.TMCOMP." localSheetId="32" hidden="1">{#N/A,#N/A,FALSE,"TMCOMP96";#N/A,#N/A,FALSE,"MAT96";#N/A,#N/A,FALSE,"FANDA96";#N/A,#N/A,FALSE,"INTRAN96";#N/A,#N/A,FALSE,"NAA9697";#N/A,#N/A,FALSE,"ECWEBB";#N/A,#N/A,FALSE,"MFT96";#N/A,#N/A,FALSE,"CTrecon"}</definedName>
    <definedName name="wrn.TMCOMP." localSheetId="58" hidden="1">{#N/A,#N/A,FALSE,"TMCOMP96";#N/A,#N/A,FALSE,"MAT96";#N/A,#N/A,FALSE,"FANDA96";#N/A,#N/A,FALSE,"INTRAN96";#N/A,#N/A,FALSE,"NAA9697";#N/A,#N/A,FALSE,"ECWEBB";#N/A,#N/A,FALSE,"MFT96";#N/A,#N/A,FALSE,"CTrecon"}</definedName>
    <definedName name="wrn.TMCOMP." hidden="1">{#N/A,#N/A,FALSE,"TMCOMP96";#N/A,#N/A,FALSE,"MAT96";#N/A,#N/A,FALSE,"FANDA96";#N/A,#N/A,FALSE,"INTRAN96";#N/A,#N/A,FALSE,"NAA9697";#N/A,#N/A,FALSE,"ECWEBB";#N/A,#N/A,FALSE,"MFT96";#N/A,#N/A,FALSE,"CTrecon"}</definedName>
    <definedName name="wrn.TMCOMP._1" hidden="1">{#N/A,#N/A,FALSE,"TMCOMP96";#N/A,#N/A,FALSE,"MAT96";#N/A,#N/A,FALSE,"FANDA96";#N/A,#N/A,FALSE,"INTRAN96";#N/A,#N/A,FALSE,"NAA9697";#N/A,#N/A,FALSE,"ECWEBB";#N/A,#N/A,FALSE,"MFT96";#N/A,#N/A,FALSE,"CTrecon"}</definedName>
    <definedName name="wrn.TMCOMP._2" hidden="1">{#N/A,#N/A,FALSE,"TMCOMP96";#N/A,#N/A,FALSE,"MAT96";#N/A,#N/A,FALSE,"FANDA96";#N/A,#N/A,FALSE,"INTRAN96";#N/A,#N/A,FALSE,"NAA9697";#N/A,#N/A,FALSE,"ECWEBB";#N/A,#N/A,FALSE,"MFT96";#N/A,#N/A,FALSE,"CTrecon"}</definedName>
    <definedName name="WT_growth_cont">#REF!</definedName>
    <definedName name="www" hidden="1">'[13]FC Page 1'!#REF!</definedName>
    <definedName name="X">#REF!</definedName>
    <definedName name="XDPShare">[29]Cover!$K$121</definedName>
    <definedName name="XDPShareInv">[29]Cover!$K$122</definedName>
    <definedName name="xx" hidden="1">[7]Data!#REF!</definedName>
    <definedName name="y1972y">#REF!</definedName>
    <definedName name="y1973y">#REF!</definedName>
    <definedName name="y1974y">#REF!</definedName>
    <definedName name="y1975y">#REF!</definedName>
    <definedName name="y1976y">#REF!</definedName>
    <definedName name="y1977y">#REF!</definedName>
    <definedName name="y1978y">#REF!</definedName>
    <definedName name="y1979y">#REF!</definedName>
    <definedName name="y1980y">#REF!</definedName>
    <definedName name="y1981y">#REF!</definedName>
    <definedName name="y1982y">#REF!</definedName>
    <definedName name="y1983y">#REF!</definedName>
    <definedName name="y1984y">#REF!</definedName>
    <definedName name="y1985y">#REF!</definedName>
    <definedName name="y1986y">#REF!</definedName>
    <definedName name="y1987y">#REF!</definedName>
    <definedName name="y1988y">#REF!</definedName>
    <definedName name="y1989y">#REF!</definedName>
    <definedName name="y1990y">#REF!</definedName>
    <definedName name="y1991y">#REF!</definedName>
    <definedName name="y1992y">#REF!</definedName>
    <definedName name="y1993y">#REF!</definedName>
    <definedName name="y1994y">#REF!</definedName>
    <definedName name="y1995y">#REF!</definedName>
    <definedName name="y1996y">#REF!</definedName>
    <definedName name="y1997y">#REF!</definedName>
    <definedName name="y1998y">#REF!</definedName>
    <definedName name="y1999y">#REF!</definedName>
    <definedName name="y2000y">#REF!</definedName>
    <definedName name="y2001y">#REF!</definedName>
    <definedName name="y2002y">#REF!</definedName>
    <definedName name="y2003y">#REF!</definedName>
    <definedName name="y2004y">#REF!</definedName>
    <definedName name="y2005y">#REF!</definedName>
    <definedName name="y2006y">#REF!</definedName>
    <definedName name="y2007y">#REF!</definedName>
    <definedName name="y2008y">#REF!</definedName>
    <definedName name="y2009y">#REF!</definedName>
    <definedName name="y2010y">#REF!</definedName>
    <definedName name="y2011y">#REF!</definedName>
    <definedName name="y2012y">#REF!</definedName>
    <definedName name="y2013y">#REF!</definedName>
    <definedName name="y2014y">#REF!</definedName>
    <definedName name="y2015y">#REF!</definedName>
    <definedName name="y2016y">#REF!</definedName>
    <definedName name="y2017y">#REF!</definedName>
    <definedName name="YA_percent">#REF!</definedName>
    <definedName name="year">[142]FormFrontPage!$O$3</definedName>
    <definedName name="YearList">'[48]Options List'!$H$3:$H$500</definedName>
    <definedName name="Years">'[48]Front Sheet'!$B$58:$B$84</definedName>
    <definedName name="yru" hidden="1">#REF!</definedName>
    <definedName name="zz" hidden="1">[7]Data!#REF!</definedName>
    <definedName name="zzz">#REF!</definedName>
  </definedNames>
  <calcPr calcId="191028"/>
  <pivotCaches>
    <pivotCache cacheId="0" r:id="rId25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 i="61" l="1"/>
  <c r="D21" i="61"/>
  <c r="E21" i="61"/>
  <c r="F21" i="61"/>
  <c r="G21" i="61"/>
  <c r="CO21" i="61"/>
  <c r="O22" i="61"/>
  <c r="P22" i="61"/>
  <c r="Q22" i="61"/>
  <c r="R22" i="61"/>
  <c r="S22" i="61"/>
  <c r="T22" i="61"/>
  <c r="U22" i="61"/>
  <c r="V22" i="61"/>
  <c r="W22" i="61"/>
  <c r="X22" i="61"/>
  <c r="Y22" i="61"/>
  <c r="Z22" i="61"/>
  <c r="AA22" i="61"/>
  <c r="AB22" i="61"/>
  <c r="AC22" i="61"/>
  <c r="AD22" i="61"/>
  <c r="AE22" i="61"/>
  <c r="AF22" i="61"/>
  <c r="AG22" i="61"/>
  <c r="AH22" i="61"/>
  <c r="AI22" i="61"/>
  <c r="AJ22" i="61"/>
  <c r="AK22" i="61"/>
  <c r="AL22" i="61"/>
  <c r="AM22" i="61"/>
  <c r="AN22" i="61"/>
  <c r="AO22" i="61"/>
  <c r="AP22" i="61"/>
  <c r="AQ22" i="61"/>
  <c r="AR22" i="61"/>
  <c r="AS22" i="61"/>
  <c r="AT22" i="61"/>
  <c r="AU22" i="61"/>
  <c r="AV22" i="61"/>
  <c r="AW22" i="61"/>
  <c r="AX22" i="61"/>
  <c r="AY22" i="61"/>
  <c r="AZ22" i="61"/>
  <c r="BA22" i="61"/>
  <c r="BB22" i="61"/>
  <c r="BC22" i="61"/>
  <c r="BD22" i="61"/>
  <c r="BE22" i="61"/>
  <c r="BF22" i="61"/>
  <c r="BG22" i="61"/>
  <c r="BH22" i="61"/>
  <c r="BI22" i="61"/>
  <c r="BJ22" i="61"/>
  <c r="BK22" i="61"/>
  <c r="BL22" i="61"/>
  <c r="BM22" i="61"/>
  <c r="BN22" i="61"/>
  <c r="BO22" i="61"/>
  <c r="BP22" i="61"/>
  <c r="BQ22" i="61"/>
  <c r="BR22" i="61"/>
  <c r="BS22" i="61"/>
  <c r="BT22" i="61"/>
  <c r="BU22" i="61"/>
  <c r="BV22" i="61"/>
  <c r="BW22" i="61"/>
  <c r="BX22" i="61"/>
  <c r="BY22" i="61"/>
  <c r="BZ22" i="61"/>
  <c r="CA22" i="61"/>
  <c r="CB22" i="61"/>
  <c r="CC22" i="61"/>
  <c r="CD22" i="61"/>
  <c r="CE22" i="61"/>
  <c r="CF22" i="61"/>
  <c r="CG22" i="61"/>
  <c r="CH22" i="61"/>
  <c r="CI22" i="61"/>
  <c r="CJ22" i="61"/>
  <c r="CK22" i="61"/>
  <c r="CL22" i="61"/>
  <c r="CM22" i="61"/>
  <c r="CN22" i="61"/>
  <c r="CO22" i="61"/>
  <c r="D22" i="61"/>
  <c r="E22" i="61"/>
  <c r="F22" i="61"/>
  <c r="G22" i="61"/>
  <c r="H22" i="61"/>
  <c r="I22" i="61"/>
  <c r="J22" i="61"/>
  <c r="K22" i="61"/>
  <c r="L22" i="61"/>
  <c r="M22" i="61"/>
  <c r="N22" i="61"/>
  <c r="C22" i="61"/>
  <c r="CQ23" i="61"/>
  <c r="O19" i="62" l="1"/>
  <c r="F27" i="61"/>
  <c r="CO24" i="61"/>
  <c r="C27" i="61"/>
  <c r="C24" i="61"/>
  <c r="S24" i="61"/>
  <c r="B65" i="94"/>
  <c r="M65" i="94"/>
  <c r="B55" i="94"/>
  <c r="C55" i="94"/>
  <c r="D55" i="94"/>
  <c r="E55" i="94"/>
  <c r="B50" i="94"/>
  <c r="C50" i="94"/>
  <c r="D50" i="94"/>
  <c r="E50" i="94"/>
  <c r="F50" i="94"/>
  <c r="G50" i="94"/>
  <c r="H50" i="94"/>
  <c r="O50" i="94" s="1"/>
  <c r="I50" i="94"/>
  <c r="J50" i="94"/>
  <c r="J52" i="94" s="1"/>
  <c r="K50" i="94"/>
  <c r="K51" i="94" s="1"/>
  <c r="L50" i="94"/>
  <c r="L52" i="94" s="1"/>
  <c r="M50" i="94"/>
  <c r="G51" i="94"/>
  <c r="H51" i="94"/>
  <c r="I51" i="94"/>
  <c r="J51" i="94"/>
  <c r="L51" i="94"/>
  <c r="M51" i="94"/>
  <c r="B52" i="94"/>
  <c r="C52" i="94"/>
  <c r="D52" i="94"/>
  <c r="E52" i="94"/>
  <c r="F52" i="94"/>
  <c r="G52" i="94"/>
  <c r="H52" i="94"/>
  <c r="I52" i="94"/>
  <c r="M52" i="94"/>
  <c r="G47" i="94"/>
  <c r="H47" i="94"/>
  <c r="I47" i="94"/>
  <c r="J47" i="94"/>
  <c r="F48" i="94"/>
  <c r="F51" i="94" s="1"/>
  <c r="G48" i="94"/>
  <c r="H48" i="94"/>
  <c r="I48" i="94"/>
  <c r="J48" i="94"/>
  <c r="K48" i="94"/>
  <c r="L48" i="94"/>
  <c r="M48" i="94"/>
  <c r="N26" i="94"/>
  <c r="P35" i="94"/>
  <c r="Q35" i="94"/>
  <c r="R35" i="94"/>
  <c r="P36" i="94"/>
  <c r="P37" i="94"/>
  <c r="P38" i="94"/>
  <c r="P39" i="94"/>
  <c r="P40" i="94"/>
  <c r="M17" i="94"/>
  <c r="B18" i="94"/>
  <c r="C18" i="94"/>
  <c r="D18" i="94"/>
  <c r="E18" i="94"/>
  <c r="F18" i="94"/>
  <c r="G18" i="94"/>
  <c r="H18" i="94"/>
  <c r="I18" i="94"/>
  <c r="J18" i="94"/>
  <c r="K18" i="94"/>
  <c r="L18" i="94"/>
  <c r="M18" i="94"/>
  <c r="B7" i="94"/>
  <c r="C7" i="94"/>
  <c r="D7" i="94"/>
  <c r="E7" i="94"/>
  <c r="F7" i="94"/>
  <c r="G7" i="94"/>
  <c r="H7" i="94"/>
  <c r="I7" i="94"/>
  <c r="J7" i="94"/>
  <c r="K7" i="94"/>
  <c r="L7" i="94"/>
  <c r="M7" i="94"/>
  <c r="O7" i="94"/>
  <c r="P7" i="94"/>
  <c r="Q7" i="94"/>
  <c r="R7" i="94"/>
  <c r="S7" i="94"/>
  <c r="P8" i="94"/>
  <c r="Q8" i="94"/>
  <c r="R8" i="94"/>
  <c r="S8" i="94"/>
  <c r="P9" i="94"/>
  <c r="Q9" i="94"/>
  <c r="R9" i="94"/>
  <c r="S9" i="94"/>
  <c r="P10" i="94"/>
  <c r="Q10" i="94"/>
  <c r="R10" i="94"/>
  <c r="S10" i="94"/>
  <c r="B11" i="94"/>
  <c r="C11" i="94"/>
  <c r="D11" i="94"/>
  <c r="E11" i="94"/>
  <c r="F11" i="94"/>
  <c r="G11" i="94"/>
  <c r="H11" i="94"/>
  <c r="I11" i="94"/>
  <c r="J11" i="94"/>
  <c r="K11" i="94"/>
  <c r="L11" i="94"/>
  <c r="M11" i="94"/>
  <c r="P11" i="94"/>
  <c r="Q11" i="94"/>
  <c r="R11" i="94"/>
  <c r="S11" i="94"/>
  <c r="B12" i="94"/>
  <c r="C12" i="94"/>
  <c r="D12" i="94"/>
  <c r="E12" i="94"/>
  <c r="F12" i="94"/>
  <c r="G12" i="94"/>
  <c r="H12" i="94"/>
  <c r="I12" i="94"/>
  <c r="J12" i="94"/>
  <c r="K12" i="94"/>
  <c r="L12" i="94"/>
  <c r="M12" i="94"/>
  <c r="P12" i="94"/>
  <c r="Q12" i="94"/>
  <c r="R12" i="94"/>
  <c r="S12" i="94"/>
  <c r="P13" i="94"/>
  <c r="Q13" i="94"/>
  <c r="R13" i="94"/>
  <c r="S13" i="94"/>
  <c r="M15" i="94"/>
  <c r="H47" i="18"/>
  <c r="M47" i="18" s="1"/>
  <c r="H37" i="18"/>
  <c r="C47" i="18"/>
  <c r="F21" i="94" a="1"/>
  <c r="F21" i="94" l="1"/>
  <c r="O52" i="94"/>
  <c r="K52" i="94"/>
  <c r="E48" i="94"/>
  <c r="O22" i="62"/>
  <c r="O23" i="62"/>
  <c r="O24" i="62"/>
  <c r="O25" i="62"/>
  <c r="O26" i="62"/>
  <c r="O27" i="62"/>
  <c r="O28" i="62"/>
  <c r="C9" i="18"/>
  <c r="R10" i="58"/>
  <c r="B3" i="93"/>
  <c r="A3" i="93"/>
  <c r="G18" i="84"/>
  <c r="G19" i="84"/>
  <c r="O7" i="77"/>
  <c r="M15" i="77"/>
  <c r="F52" i="18"/>
  <c r="H17" i="84"/>
  <c r="H13" i="84"/>
  <c r="H12" i="84"/>
  <c r="G12" i="84"/>
  <c r="C3" i="84"/>
  <c r="C4" i="84"/>
  <c r="C5" i="84"/>
  <c r="C6" i="84"/>
  <c r="C7" i="84"/>
  <c r="C8" i="84"/>
  <c r="C9" i="84"/>
  <c r="C10" i="84"/>
  <c r="C11" i="84"/>
  <c r="C12" i="84"/>
  <c r="C13" i="84"/>
  <c r="C14" i="84"/>
  <c r="C15" i="84"/>
  <c r="C16" i="84"/>
  <c r="C17" i="84"/>
  <c r="C18" i="84"/>
  <c r="C19" i="84"/>
  <c r="C20" i="84"/>
  <c r="C21" i="84"/>
  <c r="C22" i="84"/>
  <c r="C23" i="84"/>
  <c r="C2" i="84"/>
  <c r="F35" i="18"/>
  <c r="F36" i="18"/>
  <c r="F37" i="18"/>
  <c r="F38" i="18"/>
  <c r="F39" i="18"/>
  <c r="F40" i="18"/>
  <c r="F41" i="18"/>
  <c r="F42" i="18"/>
  <c r="F43" i="18"/>
  <c r="F44" i="18"/>
  <c r="F45" i="18"/>
  <c r="F46" i="18"/>
  <c r="F47" i="18"/>
  <c r="F48" i="18"/>
  <c r="F49" i="18"/>
  <c r="F50" i="18"/>
  <c r="F51" i="18"/>
  <c r="D23" i="84"/>
  <c r="E51" i="94" l="1"/>
  <c r="D48" i="94"/>
  <c r="F55" i="94"/>
  <c r="CO39" i="61"/>
  <c r="CQ22" i="61"/>
  <c r="CQ21" i="61"/>
  <c r="E18" i="84"/>
  <c r="T19" i="84"/>
  <c r="M7" i="77"/>
  <c r="D51" i="94" l="1"/>
  <c r="C48" i="94"/>
  <c r="P25" i="58"/>
  <c r="O25" i="58"/>
  <c r="N22" i="58"/>
  <c r="N21" i="58"/>
  <c r="E24" i="61"/>
  <c r="D24" i="61"/>
  <c r="E27" i="61"/>
  <c r="P61" i="58"/>
  <c r="R32" i="88"/>
  <c r="Q32" i="88"/>
  <c r="Q30" i="88"/>
  <c r="Q29" i="88"/>
  <c r="R27" i="88"/>
  <c r="D13" i="71"/>
  <c r="B13" i="71"/>
  <c r="R15" i="58"/>
  <c r="L4" i="88" s="1"/>
  <c r="X12" i="88" s="1"/>
  <c r="CQ20" i="61"/>
  <c r="O18" i="62" s="1"/>
  <c r="D12" i="88"/>
  <c r="Q17" i="58"/>
  <c r="Q89" i="58" s="1"/>
  <c r="R17" i="58"/>
  <c r="F5" i="88" s="1"/>
  <c r="L5" i="88" s="1"/>
  <c r="X13" i="88" s="1"/>
  <c r="P17" i="58"/>
  <c r="D5" i="88" s="1"/>
  <c r="J5" i="88" s="1"/>
  <c r="Q9" i="58"/>
  <c r="R9" i="58"/>
  <c r="Q10" i="58"/>
  <c r="Q15" i="58"/>
  <c r="K4" i="88" s="1"/>
  <c r="W12" i="88" s="1"/>
  <c r="P10" i="58"/>
  <c r="P9" i="58"/>
  <c r="U9" i="58" s="1"/>
  <c r="D3" i="88"/>
  <c r="D22" i="88" s="1"/>
  <c r="O15" i="58"/>
  <c r="O88" i="58" s="1"/>
  <c r="O14" i="58"/>
  <c r="O8" i="58" s="1"/>
  <c r="T23" i="84"/>
  <c r="T22" i="84"/>
  <c r="N23" i="84"/>
  <c r="Q23" i="84"/>
  <c r="E19" i="84"/>
  <c r="D19" i="84"/>
  <c r="N92" i="58"/>
  <c r="O92" i="58"/>
  <c r="P92" i="58"/>
  <c r="Q92" i="58"/>
  <c r="R92" i="58"/>
  <c r="K89" i="58"/>
  <c r="L89" i="58"/>
  <c r="M89" i="58"/>
  <c r="N89" i="58"/>
  <c r="O89" i="58"/>
  <c r="J89" i="58"/>
  <c r="K87" i="58"/>
  <c r="L87" i="58"/>
  <c r="M87" i="58"/>
  <c r="N87" i="58"/>
  <c r="O87" i="58"/>
  <c r="Q87" i="58"/>
  <c r="J87" i="58"/>
  <c r="K85" i="58"/>
  <c r="L85" i="58"/>
  <c r="M85" i="58"/>
  <c r="N85" i="58"/>
  <c r="O85" i="58"/>
  <c r="P85" i="58"/>
  <c r="K86" i="58"/>
  <c r="L86" i="58"/>
  <c r="M86" i="58"/>
  <c r="L88" i="58"/>
  <c r="M88" i="58"/>
  <c r="N88" i="58"/>
  <c r="J86" i="58"/>
  <c r="J85" i="58"/>
  <c r="L84" i="58"/>
  <c r="O83" i="58"/>
  <c r="K82" i="58"/>
  <c r="K92" i="58" s="1"/>
  <c r="L82" i="58"/>
  <c r="L92" i="58" s="1"/>
  <c r="M82" i="58"/>
  <c r="M92" i="58" s="1"/>
  <c r="N82" i="58"/>
  <c r="O82" i="58"/>
  <c r="P82" i="58"/>
  <c r="Q82" i="58"/>
  <c r="R82" i="58"/>
  <c r="J82" i="58"/>
  <c r="J92" i="58" s="1"/>
  <c r="F15" i="58"/>
  <c r="G15" i="58"/>
  <c r="H15" i="58"/>
  <c r="I15" i="58"/>
  <c r="J15" i="58"/>
  <c r="J88" i="58" s="1"/>
  <c r="K15" i="58"/>
  <c r="K88" i="58" s="1"/>
  <c r="L15" i="58"/>
  <c r="M15" i="58"/>
  <c r="N15" i="58"/>
  <c r="F14" i="58"/>
  <c r="F8" i="58" s="1"/>
  <c r="G14" i="58"/>
  <c r="G8" i="58" s="1"/>
  <c r="H14" i="58"/>
  <c r="H8" i="58" s="1"/>
  <c r="I14" i="58"/>
  <c r="I8" i="58" s="1"/>
  <c r="J14" i="58"/>
  <c r="J8" i="58" s="1"/>
  <c r="J84" i="58" s="1"/>
  <c r="K14" i="58"/>
  <c r="K8" i="58" s="1"/>
  <c r="K84" i="58" s="1"/>
  <c r="L14" i="58"/>
  <c r="L8" i="58" s="1"/>
  <c r="M14" i="58"/>
  <c r="M8" i="58" s="1"/>
  <c r="M84" i="58" s="1"/>
  <c r="N14" i="58"/>
  <c r="N8" i="58" s="1"/>
  <c r="N84" i="58" s="1"/>
  <c r="N26" i="77"/>
  <c r="O7" i="58"/>
  <c r="Q27" i="88" s="1"/>
  <c r="N7" i="58"/>
  <c r="N83" i="58" s="1"/>
  <c r="M7" i="58"/>
  <c r="M83" i="58" s="1"/>
  <c r="L7" i="58"/>
  <c r="L83" i="58" s="1"/>
  <c r="K7" i="58"/>
  <c r="K83" i="58" s="1"/>
  <c r="J7" i="58"/>
  <c r="J83" i="58" s="1"/>
  <c r="I7" i="58"/>
  <c r="H7" i="58"/>
  <c r="G7" i="58"/>
  <c r="F7" i="58"/>
  <c r="U13" i="58"/>
  <c r="W13" i="58"/>
  <c r="AA18" i="62"/>
  <c r="M16" i="58"/>
  <c r="L16" i="58"/>
  <c r="L14" i="62" a="1"/>
  <c r="Q33" i="58" a="1"/>
  <c r="L9" i="62" a="1"/>
  <c r="L16" i="62" a="1"/>
  <c r="L15" i="62" a="1"/>
  <c r="L6" i="62" a="1"/>
  <c r="R33" i="58" a="1"/>
  <c r="L17" i="62" a="1"/>
  <c r="L11" i="62" a="1"/>
  <c r="L7" i="62" a="1"/>
  <c r="L10" i="62" a="1"/>
  <c r="L8" i="62" a="1"/>
  <c r="L12" i="62" a="1"/>
  <c r="L18" i="62" a="1"/>
  <c r="L13" i="62" a="1"/>
  <c r="B48" i="94" l="1"/>
  <c r="B51" i="94" s="1"/>
  <c r="C51" i="94"/>
  <c r="T58" i="88"/>
  <c r="Q50" i="88"/>
  <c r="R50" i="88" s="1"/>
  <c r="R30" i="88"/>
  <c r="P87" i="58"/>
  <c r="P4" i="58"/>
  <c r="T12" i="58"/>
  <c r="M9" i="81"/>
  <c r="M25" i="81" s="1"/>
  <c r="T8" i="58"/>
  <c r="T9" i="58" s="1"/>
  <c r="T10" i="58" s="1"/>
  <c r="R29" i="88"/>
  <c r="R89" i="58"/>
  <c r="P13" i="88"/>
  <c r="R7" i="58"/>
  <c r="V13" i="88"/>
  <c r="R58" i="88" s="1"/>
  <c r="P11" i="88"/>
  <c r="O56" i="88" s="1"/>
  <c r="Q16" i="58"/>
  <c r="D14" i="71" s="1"/>
  <c r="Q14" i="58"/>
  <c r="O84" i="58"/>
  <c r="B10" i="71"/>
  <c r="Q88" i="58"/>
  <c r="M11" i="81"/>
  <c r="O86" i="58"/>
  <c r="P14" i="58"/>
  <c r="N86" i="58"/>
  <c r="E5" i="88"/>
  <c r="Q13" i="88" s="1"/>
  <c r="P58" i="88" s="1"/>
  <c r="R16" i="58"/>
  <c r="E14" i="71" s="1"/>
  <c r="S57" i="88"/>
  <c r="R42" i="88"/>
  <c r="R48" i="88"/>
  <c r="T57" i="88"/>
  <c r="R38" i="88"/>
  <c r="R13" i="88"/>
  <c r="Q58" i="88" s="1"/>
  <c r="Q37" i="88"/>
  <c r="Q35" i="88"/>
  <c r="R63" i="58"/>
  <c r="R64" i="58" s="1"/>
  <c r="E13" i="71"/>
  <c r="R65" i="58"/>
  <c r="D6" i="88"/>
  <c r="P14" i="88" s="1"/>
  <c r="K5" i="88"/>
  <c r="D16" i="88"/>
  <c r="P89" i="58"/>
  <c r="P7" i="58"/>
  <c r="P83" i="58" s="1"/>
  <c r="R87" i="58"/>
  <c r="R88" i="58"/>
  <c r="Q7" i="58"/>
  <c r="Q83" i="58" s="1"/>
  <c r="R83" i="58"/>
  <c r="R85" i="58"/>
  <c r="F3" i="88"/>
  <c r="Q85" i="58"/>
  <c r="E4" i="88"/>
  <c r="R14" i="58"/>
  <c r="E3" i="88"/>
  <c r="F4" i="88"/>
  <c r="D4" i="88"/>
  <c r="P12" i="88" s="1"/>
  <c r="P15" i="58"/>
  <c r="L15" i="62"/>
  <c r="L11" i="62"/>
  <c r="L17" i="62"/>
  <c r="L6" i="62"/>
  <c r="L12" i="62"/>
  <c r="L18" i="62"/>
  <c r="L7" i="62"/>
  <c r="L13" i="62"/>
  <c r="L8" i="62"/>
  <c r="L14" i="62"/>
  <c r="L9" i="62"/>
  <c r="L10" i="62"/>
  <c r="L16" i="62"/>
  <c r="Q33" i="58"/>
  <c r="M21" i="94" s="1"/>
  <c r="R33" i="58"/>
  <c r="E2" i="84"/>
  <c r="D13" i="84"/>
  <c r="D3" i="84"/>
  <c r="D4" i="84"/>
  <c r="D5" i="84"/>
  <c r="D6" i="84"/>
  <c r="D7" i="84"/>
  <c r="D8" i="84"/>
  <c r="D9" i="84"/>
  <c r="D10" i="84"/>
  <c r="D11" i="84"/>
  <c r="D12" i="84"/>
  <c r="D14" i="84"/>
  <c r="D15" i="84"/>
  <c r="D16" i="84"/>
  <c r="D17" i="84"/>
  <c r="D18" i="84"/>
  <c r="D20" i="84"/>
  <c r="D21" i="84"/>
  <c r="D22" i="84"/>
  <c r="D2" i="84"/>
  <c r="T20" i="84"/>
  <c r="T21" i="84" s="1"/>
  <c r="T18" i="84"/>
  <c r="H10" i="85"/>
  <c r="I10" i="85"/>
  <c r="B55" i="77"/>
  <c r="C55" i="77"/>
  <c r="D55" i="77"/>
  <c r="E55" i="77"/>
  <c r="M12" i="81"/>
  <c r="M28" i="81" s="1"/>
  <c r="E10" i="85"/>
  <c r="Q3" i="84"/>
  <c r="Q4" i="84"/>
  <c r="Q5" i="84"/>
  <c r="Q6" i="84"/>
  <c r="Q7" i="84"/>
  <c r="Q8" i="84"/>
  <c r="Q9" i="84"/>
  <c r="Q10" i="84"/>
  <c r="Q11" i="84"/>
  <c r="Q12" i="84"/>
  <c r="Q13" i="84"/>
  <c r="Q14" i="84"/>
  <c r="Q15" i="84"/>
  <c r="Q16" i="84"/>
  <c r="Q17" i="84"/>
  <c r="Q18" i="84"/>
  <c r="Q19" i="84"/>
  <c r="Q20" i="84"/>
  <c r="Q21" i="84"/>
  <c r="Q22" i="84"/>
  <c r="Q2" i="84"/>
  <c r="P3" i="84"/>
  <c r="P4" i="84"/>
  <c r="P5" i="84"/>
  <c r="P6" i="84"/>
  <c r="P7" i="84"/>
  <c r="P8" i="84"/>
  <c r="P9" i="84"/>
  <c r="P10" i="84"/>
  <c r="P11" i="84"/>
  <c r="P12" i="84"/>
  <c r="P13" i="84"/>
  <c r="P14" i="84"/>
  <c r="P15" i="84"/>
  <c r="P16" i="84"/>
  <c r="P17" i="84"/>
  <c r="P18" i="84"/>
  <c r="P19" i="84"/>
  <c r="P20" i="84"/>
  <c r="P21" i="84"/>
  <c r="P22" i="84"/>
  <c r="P23" i="84"/>
  <c r="P2" i="84"/>
  <c r="N2" i="84"/>
  <c r="N3" i="84"/>
  <c r="N4" i="84"/>
  <c r="N5" i="84"/>
  <c r="N6" i="84"/>
  <c r="N7" i="84"/>
  <c r="N8" i="84"/>
  <c r="N9" i="84"/>
  <c r="N10" i="84"/>
  <c r="N11" i="84"/>
  <c r="N12" i="84"/>
  <c r="N13" i="84"/>
  <c r="N14" i="84"/>
  <c r="N15" i="84"/>
  <c r="N17" i="84"/>
  <c r="N18" i="84"/>
  <c r="N19" i="84"/>
  <c r="N20" i="84"/>
  <c r="N21" i="84"/>
  <c r="N22" i="84"/>
  <c r="N16" i="84"/>
  <c r="F6" i="18"/>
  <c r="B9" i="73"/>
  <c r="C9" i="73"/>
  <c r="B10" i="73"/>
  <c r="B11" i="73"/>
  <c r="B12" i="73"/>
  <c r="B13" i="73"/>
  <c r="B14" i="73"/>
  <c r="B16" i="73"/>
  <c r="A10" i="73"/>
  <c r="A11" i="73"/>
  <c r="A12" i="73"/>
  <c r="A13" i="73"/>
  <c r="A14" i="73"/>
  <c r="A15" i="73"/>
  <c r="A16" i="73"/>
  <c r="A9" i="73"/>
  <c r="E12" i="71"/>
  <c r="E15" i="71"/>
  <c r="Q61" i="58"/>
  <c r="J33" i="78"/>
  <c r="J27" i="78"/>
  <c r="J28" i="78"/>
  <c r="L7" i="77"/>
  <c r="C8" i="81"/>
  <c r="C24" i="81" s="1"/>
  <c r="D8" i="81"/>
  <c r="D24" i="81" s="1"/>
  <c r="E8" i="81"/>
  <c r="E24" i="81" s="1"/>
  <c r="F8" i="81"/>
  <c r="F24" i="81" s="1"/>
  <c r="G8" i="81"/>
  <c r="G24" i="81" s="1"/>
  <c r="H8" i="81"/>
  <c r="H24" i="81" s="1"/>
  <c r="I8" i="81"/>
  <c r="I24" i="81" s="1"/>
  <c r="J8" i="81"/>
  <c r="J24" i="81" s="1"/>
  <c r="K8" i="81"/>
  <c r="K24" i="81" s="1"/>
  <c r="L8" i="81"/>
  <c r="L24" i="81" s="1"/>
  <c r="M8" i="81"/>
  <c r="M24" i="81" s="1"/>
  <c r="C9" i="81"/>
  <c r="D9" i="81"/>
  <c r="D25" i="81" s="1"/>
  <c r="E9" i="81"/>
  <c r="F9" i="81"/>
  <c r="G9" i="81"/>
  <c r="G25" i="81" s="1"/>
  <c r="H9" i="81"/>
  <c r="H25" i="81" s="1"/>
  <c r="I9" i="81"/>
  <c r="I25" i="81" s="1"/>
  <c r="J9" i="81"/>
  <c r="K9" i="81"/>
  <c r="L9" i="81"/>
  <c r="L25" i="81" s="1"/>
  <c r="C10" i="81"/>
  <c r="C26" i="81" s="1"/>
  <c r="D10" i="81"/>
  <c r="D26" i="81" s="1"/>
  <c r="E10" i="81"/>
  <c r="E26" i="81" s="1"/>
  <c r="F10" i="81"/>
  <c r="F26" i="81" s="1"/>
  <c r="G10" i="81"/>
  <c r="G26" i="81" s="1"/>
  <c r="H10" i="81"/>
  <c r="H26" i="81" s="1"/>
  <c r="I10" i="81"/>
  <c r="I26" i="81" s="1"/>
  <c r="J10" i="81"/>
  <c r="J26" i="81" s="1"/>
  <c r="K10" i="81"/>
  <c r="K26" i="81" s="1"/>
  <c r="L10" i="81"/>
  <c r="C13" i="81"/>
  <c r="C29" i="81" s="1"/>
  <c r="D13" i="81"/>
  <c r="D29" i="81" s="1"/>
  <c r="E13" i="81"/>
  <c r="E29" i="81" s="1"/>
  <c r="F13" i="81"/>
  <c r="F29" i="81" s="1"/>
  <c r="G13" i="81"/>
  <c r="G29" i="81" s="1"/>
  <c r="H13" i="81"/>
  <c r="H29" i="81" s="1"/>
  <c r="I13" i="81"/>
  <c r="I29" i="81" s="1"/>
  <c r="J13" i="81"/>
  <c r="J29" i="81" s="1"/>
  <c r="K13" i="81"/>
  <c r="K29" i="81" s="1"/>
  <c r="L13" i="81"/>
  <c r="L29" i="81" s="1"/>
  <c r="M13" i="81"/>
  <c r="N13" i="81" s="1"/>
  <c r="B8" i="81"/>
  <c r="B24" i="81" s="1"/>
  <c r="B9" i="81"/>
  <c r="B25" i="81" s="1"/>
  <c r="B10" i="81"/>
  <c r="B26" i="81" s="1"/>
  <c r="B13" i="81"/>
  <c r="B29" i="81" s="1"/>
  <c r="G43" i="81"/>
  <c r="G44" i="81" s="1"/>
  <c r="H43" i="81"/>
  <c r="H44" i="81" s="1"/>
  <c r="I43" i="81"/>
  <c r="I44" i="81" s="1"/>
  <c r="J43" i="81"/>
  <c r="J44" i="81" s="1"/>
  <c r="F44" i="81"/>
  <c r="E44" i="81" s="1"/>
  <c r="D44" i="81" s="1"/>
  <c r="C44" i="81" s="1"/>
  <c r="B44" i="81" s="1"/>
  <c r="K44" i="81"/>
  <c r="L44" i="81"/>
  <c r="M44" i="81"/>
  <c r="P30" i="81"/>
  <c r="R30" i="81"/>
  <c r="I9" i="67"/>
  <c r="Q29" i="58"/>
  <c r="Q25" i="58"/>
  <c r="T25" i="58" s="1"/>
  <c r="U30" i="78"/>
  <c r="U24" i="78"/>
  <c r="W32" i="78"/>
  <c r="C78" i="79"/>
  <c r="C77" i="79"/>
  <c r="I33" i="78"/>
  <c r="W33" i="78" s="1"/>
  <c r="S4" i="24"/>
  <c r="Q4" i="24"/>
  <c r="R4" i="24"/>
  <c r="H18" i="55" a="1"/>
  <c r="G18" i="55" a="1"/>
  <c r="M18" i="62" a="1"/>
  <c r="L18" i="55" a="1"/>
  <c r="N32" i="58" a="1"/>
  <c r="R32" i="58" a="1"/>
  <c r="I18" i="55" a="1"/>
  <c r="J18" i="55" a="1"/>
  <c r="K32" i="58" a="1"/>
  <c r="Q32" i="58" a="1"/>
  <c r="P32" i="58" a="1"/>
  <c r="L32" i="58" a="1"/>
  <c r="M18" i="55" a="1"/>
  <c r="K18" i="55" a="1"/>
  <c r="J32" i="58" a="1"/>
  <c r="M32" i="58" a="1"/>
  <c r="I32" i="58" a="1"/>
  <c r="H32" i="58" a="1"/>
  <c r="F32" i="58" a="1"/>
  <c r="O32" i="58" a="1"/>
  <c r="G32" i="58" a="1"/>
  <c r="F18" i="55" a="1"/>
  <c r="R53" i="58" l="1"/>
  <c r="B28" i="94"/>
  <c r="M29" i="94"/>
  <c r="D31" i="94"/>
  <c r="M32" i="94"/>
  <c r="M26" i="94"/>
  <c r="C28" i="94"/>
  <c r="B29" i="94"/>
  <c r="E31" i="94"/>
  <c r="B32" i="94"/>
  <c r="M28" i="94"/>
  <c r="B26" i="94"/>
  <c r="D28" i="94"/>
  <c r="C29" i="94"/>
  <c r="C32" i="94"/>
  <c r="C26" i="94"/>
  <c r="D26" i="94"/>
  <c r="E26" i="94"/>
  <c r="B30" i="94"/>
  <c r="M55" i="94"/>
  <c r="B58" i="94" s="1"/>
  <c r="M27" i="94"/>
  <c r="C30" i="94"/>
  <c r="C31" i="94"/>
  <c r="E28" i="94"/>
  <c r="M30" i="94"/>
  <c r="E32" i="94"/>
  <c r="B27" i="94"/>
  <c r="D30" i="94"/>
  <c r="B31" i="94"/>
  <c r="D29" i="94"/>
  <c r="D32" i="94"/>
  <c r="E29" i="94"/>
  <c r="C27" i="94"/>
  <c r="E30" i="94"/>
  <c r="M31" i="94"/>
  <c r="D27" i="94"/>
  <c r="E27" i="94"/>
  <c r="F31" i="94"/>
  <c r="F29" i="94"/>
  <c r="F32" i="94"/>
  <c r="F26" i="94"/>
  <c r="F28" i="94"/>
  <c r="F27" i="94"/>
  <c r="F30" i="94"/>
  <c r="O51" i="94"/>
  <c r="R84" i="58"/>
  <c r="R8" i="58"/>
  <c r="E10" i="71" s="1"/>
  <c r="L3" i="88"/>
  <c r="Q44" i="88"/>
  <c r="R44" i="88" s="1"/>
  <c r="S44" i="88" s="1"/>
  <c r="P86" i="58"/>
  <c r="J3" i="88"/>
  <c r="P88" i="58"/>
  <c r="P63" i="58"/>
  <c r="J4" i="88"/>
  <c r="V12" i="88" s="1"/>
  <c r="C13" i="71"/>
  <c r="P8" i="58"/>
  <c r="Q8" i="58"/>
  <c r="Q84" i="58" s="1"/>
  <c r="K3" i="88"/>
  <c r="W11" i="88" s="1"/>
  <c r="T19" i="58"/>
  <c r="T11" i="58"/>
  <c r="O58" i="88"/>
  <c r="Q38" i="88"/>
  <c r="E17" i="88"/>
  <c r="Q12" i="88"/>
  <c r="O59" i="88"/>
  <c r="Q33" i="88"/>
  <c r="O57" i="88"/>
  <c r="Q36" i="88"/>
  <c r="F16" i="88"/>
  <c r="R11" i="88"/>
  <c r="E16" i="88"/>
  <c r="Q11" i="88"/>
  <c r="W13" i="88"/>
  <c r="S58" i="88" s="1"/>
  <c r="Q38" i="58"/>
  <c r="Q35" i="58"/>
  <c r="R35" i="58" s="1"/>
  <c r="M18" i="62"/>
  <c r="F17" i="88"/>
  <c r="R12" i="88"/>
  <c r="R44" i="58"/>
  <c r="N14" i="72" s="1"/>
  <c r="R42" i="58"/>
  <c r="F6" i="88"/>
  <c r="R14" i="88" s="1"/>
  <c r="E6" i="88"/>
  <c r="Q14" i="88" s="1"/>
  <c r="D23" i="88"/>
  <c r="D17" i="88"/>
  <c r="F25" i="88"/>
  <c r="R43" i="58"/>
  <c r="E25" i="88"/>
  <c r="R86" i="58"/>
  <c r="Q86" i="58"/>
  <c r="I31" i="78"/>
  <c r="J29" i="78"/>
  <c r="J30" i="78" s="1"/>
  <c r="M7" i="81"/>
  <c r="N7" i="81" s="1"/>
  <c r="L32" i="58"/>
  <c r="D41" i="78" s="1"/>
  <c r="J32" i="58"/>
  <c r="K32" i="58"/>
  <c r="C41" i="78" s="1"/>
  <c r="Q32" i="58"/>
  <c r="I41" i="78" s="1"/>
  <c r="F32" i="58"/>
  <c r="G32" i="58"/>
  <c r="M32" i="58"/>
  <c r="E41" i="78" s="1"/>
  <c r="N32" i="58"/>
  <c r="F41" i="78" s="1"/>
  <c r="H32" i="58"/>
  <c r="O32" i="58"/>
  <c r="G41" i="78" s="1"/>
  <c r="P32" i="58"/>
  <c r="H41" i="78" s="1"/>
  <c r="I32" i="58"/>
  <c r="R32" i="58"/>
  <c r="J41" i="78" s="1"/>
  <c r="F18" i="55"/>
  <c r="G18" i="55"/>
  <c r="H18" i="55"/>
  <c r="I18" i="55"/>
  <c r="J18" i="55"/>
  <c r="K18" i="55"/>
  <c r="L18" i="55"/>
  <c r="M18" i="55"/>
  <c r="R10" i="81"/>
  <c r="Q27" i="58"/>
  <c r="P27" i="58"/>
  <c r="Q24" i="58"/>
  <c r="Q23" i="58" s="1"/>
  <c r="N12" i="81"/>
  <c r="N9" i="81"/>
  <c r="N8" i="81"/>
  <c r="R29" i="81"/>
  <c r="P13" i="81"/>
  <c r="M10" i="81"/>
  <c r="Q10" i="81" s="1"/>
  <c r="N25" i="81"/>
  <c r="P24" i="81"/>
  <c r="R9" i="81"/>
  <c r="P9" i="81"/>
  <c r="P10" i="81"/>
  <c r="Q9" i="81"/>
  <c r="P8" i="81"/>
  <c r="R8" i="81"/>
  <c r="K25" i="81"/>
  <c r="P25" i="81" s="1"/>
  <c r="S9" i="81"/>
  <c r="E34" i="81"/>
  <c r="C34" i="81"/>
  <c r="C25" i="81"/>
  <c r="N24" i="81"/>
  <c r="Q24" i="81"/>
  <c r="S24" i="81"/>
  <c r="G34" i="81"/>
  <c r="M29" i="81"/>
  <c r="Q13" i="81"/>
  <c r="S13" i="81"/>
  <c r="C39" i="81"/>
  <c r="P29" i="81"/>
  <c r="F39" i="81"/>
  <c r="B39" i="81"/>
  <c r="E39" i="81"/>
  <c r="F25" i="81"/>
  <c r="E25" i="81"/>
  <c r="D34" i="81"/>
  <c r="S25" i="81"/>
  <c r="L26" i="81"/>
  <c r="R13" i="81"/>
  <c r="Q25" i="81"/>
  <c r="F34" i="81"/>
  <c r="B34" i="81"/>
  <c r="R24" i="81"/>
  <c r="S8" i="81"/>
  <c r="J25" i="81"/>
  <c r="Q8" i="81"/>
  <c r="H50" i="24"/>
  <c r="L59" i="58"/>
  <c r="M59" i="58"/>
  <c r="N59" i="58"/>
  <c r="O59" i="58"/>
  <c r="K59" i="58"/>
  <c r="L58" i="58"/>
  <c r="M58" i="58"/>
  <c r="N58" i="58"/>
  <c r="O58" i="58"/>
  <c r="K58" i="58"/>
  <c r="I29" i="78"/>
  <c r="F16" i="58"/>
  <c r="H12" i="81"/>
  <c r="H28" i="81" s="1"/>
  <c r="B45" i="78"/>
  <c r="C45" i="78"/>
  <c r="D45" i="78"/>
  <c r="E45" i="78"/>
  <c r="F45" i="78"/>
  <c r="G45" i="78"/>
  <c r="H45" i="78"/>
  <c r="I45" i="78"/>
  <c r="B46" i="78"/>
  <c r="C46" i="78"/>
  <c r="D46" i="78"/>
  <c r="E46" i="78"/>
  <c r="F46" i="78"/>
  <c r="G46" i="78"/>
  <c r="H46" i="78"/>
  <c r="I46" i="78"/>
  <c r="B47" i="78"/>
  <c r="B48" i="78"/>
  <c r="B49" i="78"/>
  <c r="B50" i="78"/>
  <c r="B52" i="78"/>
  <c r="B54" i="78"/>
  <c r="B55" i="78"/>
  <c r="B34" i="78"/>
  <c r="U34" i="78" s="1"/>
  <c r="C34" i="78"/>
  <c r="D34" i="78"/>
  <c r="E34" i="78"/>
  <c r="F34" i="78"/>
  <c r="G34" i="78"/>
  <c r="H34" i="78"/>
  <c r="I34" i="78"/>
  <c r="B42" i="78"/>
  <c r="L51" i="78"/>
  <c r="C58" i="94" l="1"/>
  <c r="C61" i="94" s="1"/>
  <c r="B61" i="94"/>
  <c r="M58" i="94"/>
  <c r="B59" i="94"/>
  <c r="B62" i="94" s="1"/>
  <c r="C59" i="94"/>
  <c r="C62" i="94" s="1"/>
  <c r="M59" i="94"/>
  <c r="D59" i="94"/>
  <c r="D62" i="94" s="1"/>
  <c r="E59" i="94"/>
  <c r="E62" i="94" s="1"/>
  <c r="F59" i="94"/>
  <c r="F62" i="94" s="1"/>
  <c r="F58" i="94"/>
  <c r="F61" i="94" s="1"/>
  <c r="E58" i="94"/>
  <c r="E61" i="94" s="1"/>
  <c r="D58" i="94"/>
  <c r="D61" i="94" s="1"/>
  <c r="N27" i="94"/>
  <c r="R41" i="88"/>
  <c r="R43" i="88" s="1"/>
  <c r="S56" i="88"/>
  <c r="Q30" i="58"/>
  <c r="K6" i="88"/>
  <c r="W14" i="88" s="1"/>
  <c r="S59" i="88" s="1"/>
  <c r="R57" i="88"/>
  <c r="R36" i="88"/>
  <c r="P64" i="58"/>
  <c r="P65" i="58"/>
  <c r="D52" i="18"/>
  <c r="I52" i="18" s="1"/>
  <c r="R30" i="58"/>
  <c r="R38" i="58"/>
  <c r="V11" i="88"/>
  <c r="J6" i="88"/>
  <c r="V14" i="88" s="1"/>
  <c r="J26" i="78"/>
  <c r="N60" i="58"/>
  <c r="X11" i="88"/>
  <c r="L6" i="88"/>
  <c r="X14" i="88" s="1"/>
  <c r="P84" i="58"/>
  <c r="P30" i="58"/>
  <c r="Q48" i="88"/>
  <c r="Q57" i="88"/>
  <c r="Q56" i="88"/>
  <c r="Q47" i="88"/>
  <c r="Q59" i="88"/>
  <c r="Q45" i="88"/>
  <c r="P57" i="88"/>
  <c r="Q42" i="88"/>
  <c r="P59" i="88"/>
  <c r="Q39" i="88"/>
  <c r="P56" i="88"/>
  <c r="Q41" i="88"/>
  <c r="N13" i="72"/>
  <c r="R3" i="88"/>
  <c r="E22" i="71"/>
  <c r="E21" i="71"/>
  <c r="R5" i="88"/>
  <c r="Q3" i="88"/>
  <c r="Q18" i="88" s="1"/>
  <c r="Q4" i="88"/>
  <c r="Q19" i="88" s="1"/>
  <c r="R4" i="88"/>
  <c r="Q5" i="88"/>
  <c r="Q20" i="88" s="1"/>
  <c r="V58" i="88" s="1"/>
  <c r="E30" i="88"/>
  <c r="F30" i="88"/>
  <c r="F29" i="88"/>
  <c r="E29" i="88"/>
  <c r="E28" i="88"/>
  <c r="F28" i="88"/>
  <c r="M27" i="81"/>
  <c r="M15" i="81"/>
  <c r="M23" i="81"/>
  <c r="K60" i="58"/>
  <c r="S10" i="81"/>
  <c r="N10" i="81"/>
  <c r="J31" i="78"/>
  <c r="M26" i="81"/>
  <c r="S26" i="81" s="1"/>
  <c r="B12" i="81"/>
  <c r="B28" i="81" s="1"/>
  <c r="E35" i="81"/>
  <c r="R25" i="81"/>
  <c r="N29" i="81"/>
  <c r="D39" i="81"/>
  <c r="Q29" i="81"/>
  <c r="S29" i="81"/>
  <c r="G39" i="81"/>
  <c r="G35" i="81"/>
  <c r="R26" i="81"/>
  <c r="P26" i="81"/>
  <c r="F35" i="81"/>
  <c r="K34" i="78"/>
  <c r="W34" i="78"/>
  <c r="K29" i="78"/>
  <c r="W29" i="78"/>
  <c r="G21" i="78"/>
  <c r="F22" i="78"/>
  <c r="G22" i="78" s="1"/>
  <c r="E11" i="78"/>
  <c r="M16" i="62" a="1"/>
  <c r="R39" i="88" l="1"/>
  <c r="M62" i="94"/>
  <c r="M61" i="94"/>
  <c r="R49" i="58"/>
  <c r="M16" i="62"/>
  <c r="R45" i="88"/>
  <c r="T59" i="88"/>
  <c r="T56" i="88"/>
  <c r="R47" i="88"/>
  <c r="R49" i="88" s="1"/>
  <c r="R37" i="88"/>
  <c r="R56" i="88"/>
  <c r="R35" i="88"/>
  <c r="R33" i="88"/>
  <c r="R59" i="88"/>
  <c r="Q43" i="88"/>
  <c r="Q49" i="88"/>
  <c r="S42" i="88"/>
  <c r="V57" i="88"/>
  <c r="S41" i="88"/>
  <c r="V56" i="88"/>
  <c r="R19" i="88"/>
  <c r="R20" i="88"/>
  <c r="R6" i="88"/>
  <c r="R18" i="88"/>
  <c r="V5" i="88"/>
  <c r="W20" i="88" s="1"/>
  <c r="Y58" i="88" s="1"/>
  <c r="Q6" i="88"/>
  <c r="V4" i="88"/>
  <c r="W19" i="88" s="1"/>
  <c r="Y57" i="88" s="1"/>
  <c r="V3" i="88"/>
  <c r="W18" i="88" s="1"/>
  <c r="Y56" i="88" s="1"/>
  <c r="I29" i="88"/>
  <c r="I30" i="88"/>
  <c r="I28" i="88"/>
  <c r="N11" i="81"/>
  <c r="M42" i="81"/>
  <c r="N26" i="81"/>
  <c r="Q26" i="81"/>
  <c r="B7" i="81"/>
  <c r="F30" i="58"/>
  <c r="L55" i="78"/>
  <c r="L52" i="78"/>
  <c r="B44" i="67"/>
  <c r="B27" i="78"/>
  <c r="U27" i="78" s="1"/>
  <c r="B28" i="78"/>
  <c r="U28" i="78" s="1"/>
  <c r="B29" i="78"/>
  <c r="U29" i="78" s="1"/>
  <c r="B31" i="78"/>
  <c r="U31" i="78" s="1"/>
  <c r="B33" i="78"/>
  <c r="U33" i="78" s="1"/>
  <c r="B26" i="78"/>
  <c r="U26" i="78" s="1"/>
  <c r="C33" i="78"/>
  <c r="D33" i="78"/>
  <c r="E33" i="78"/>
  <c r="F33" i="78"/>
  <c r="G33" i="78"/>
  <c r="H33" i="78"/>
  <c r="C25" i="78"/>
  <c r="D25" i="78"/>
  <c r="E25" i="78"/>
  <c r="F25" i="78"/>
  <c r="G25" i="78"/>
  <c r="H25" i="78"/>
  <c r="I25" i="78"/>
  <c r="W25" i="78" s="1"/>
  <c r="J25" i="78"/>
  <c r="C27" i="78"/>
  <c r="D27" i="78"/>
  <c r="E27" i="78"/>
  <c r="F27" i="78"/>
  <c r="G27" i="78"/>
  <c r="H27" i="78"/>
  <c r="I27" i="78"/>
  <c r="W27" i="78" s="1"/>
  <c r="C28" i="78"/>
  <c r="D28" i="78"/>
  <c r="E28" i="78"/>
  <c r="F28" i="78"/>
  <c r="G28" i="78"/>
  <c r="H28" i="78"/>
  <c r="I28" i="78"/>
  <c r="C29" i="78"/>
  <c r="D29" i="78"/>
  <c r="E29" i="78"/>
  <c r="F29" i="78"/>
  <c r="G29" i="78"/>
  <c r="H29" i="78"/>
  <c r="D24" i="78"/>
  <c r="E24" i="78"/>
  <c r="F24" i="78"/>
  <c r="G24" i="78"/>
  <c r="H24" i="78"/>
  <c r="I24" i="78"/>
  <c r="W24" i="78" s="1"/>
  <c r="J24" i="78"/>
  <c r="C24" i="78"/>
  <c r="S43" i="88" l="1"/>
  <c r="S47" i="88"/>
  <c r="W56" i="88"/>
  <c r="S50" i="88"/>
  <c r="W58" i="88"/>
  <c r="S48" i="88"/>
  <c r="W57" i="88"/>
  <c r="Q21" i="88"/>
  <c r="V6" i="88"/>
  <c r="W21" i="88" s="1"/>
  <c r="Y59" i="88" s="1"/>
  <c r="R21" i="88"/>
  <c r="M45" i="81"/>
  <c r="M54" i="81" s="1"/>
  <c r="M46" i="81"/>
  <c r="M55" i="81" s="1"/>
  <c r="B23" i="81"/>
  <c r="B15" i="81"/>
  <c r="K49" i="78"/>
  <c r="W28" i="78"/>
  <c r="G30" i="78"/>
  <c r="E30" i="78"/>
  <c r="C30" i="78"/>
  <c r="D30" i="78"/>
  <c r="H30" i="78"/>
  <c r="M55" i="78"/>
  <c r="K33" i="78"/>
  <c r="O55" i="78"/>
  <c r="K28" i="78"/>
  <c r="F30" i="78"/>
  <c r="I30" i="78"/>
  <c r="W30" i="78" s="1"/>
  <c r="K27" i="78"/>
  <c r="K50" i="78"/>
  <c r="K55" i="78"/>
  <c r="K48" i="78"/>
  <c r="M50" i="77"/>
  <c r="M48" i="77"/>
  <c r="L48" i="77"/>
  <c r="K48" i="77"/>
  <c r="I48" i="77"/>
  <c r="H48" i="77"/>
  <c r="J47" i="77"/>
  <c r="J48" i="77" s="1"/>
  <c r="I47" i="77"/>
  <c r="H47" i="77"/>
  <c r="G47" i="77"/>
  <c r="G48" i="77" s="1"/>
  <c r="P40" i="77"/>
  <c r="P39" i="77"/>
  <c r="P38" i="77"/>
  <c r="P37" i="77"/>
  <c r="P36" i="77"/>
  <c r="R35" i="77"/>
  <c r="Q35" i="77"/>
  <c r="P35" i="77"/>
  <c r="L18" i="77"/>
  <c r="E18" i="77"/>
  <c r="M17" i="77"/>
  <c r="S13" i="77"/>
  <c r="R13" i="77"/>
  <c r="Q13" i="77"/>
  <c r="P13" i="77"/>
  <c r="M12" i="77"/>
  <c r="L12" i="77"/>
  <c r="K12" i="77"/>
  <c r="J12" i="77"/>
  <c r="I12" i="77"/>
  <c r="H12" i="77"/>
  <c r="G12" i="77"/>
  <c r="F12" i="77"/>
  <c r="E12" i="77"/>
  <c r="D12" i="77"/>
  <c r="C12" i="77"/>
  <c r="B12" i="77"/>
  <c r="M11" i="77"/>
  <c r="S11" i="77" s="1"/>
  <c r="L11" i="77"/>
  <c r="K11" i="77"/>
  <c r="J11" i="77"/>
  <c r="J50" i="77" s="1"/>
  <c r="I11" i="77"/>
  <c r="H11" i="77"/>
  <c r="H50" i="77" s="1"/>
  <c r="G11" i="77"/>
  <c r="G50" i="77" s="1"/>
  <c r="F11" i="77"/>
  <c r="F50" i="77" s="1"/>
  <c r="E11" i="77"/>
  <c r="D11" i="77"/>
  <c r="D50" i="77" s="1"/>
  <c r="C11" i="77"/>
  <c r="B11" i="77"/>
  <c r="B50" i="77" s="1"/>
  <c r="B52" i="77" s="1"/>
  <c r="S10" i="77"/>
  <c r="R10" i="77"/>
  <c r="Q10" i="77"/>
  <c r="P10" i="77"/>
  <c r="S9" i="77"/>
  <c r="R9" i="77"/>
  <c r="Q9" i="77"/>
  <c r="P9" i="77"/>
  <c r="S8" i="77"/>
  <c r="R8" i="77"/>
  <c r="Q8" i="77"/>
  <c r="P8" i="77"/>
  <c r="K7" i="77"/>
  <c r="J7" i="77"/>
  <c r="J18" i="77" s="1"/>
  <c r="I7" i="77"/>
  <c r="H7" i="77"/>
  <c r="H18" i="77" s="1"/>
  <c r="G7" i="77"/>
  <c r="F7" i="77"/>
  <c r="E7" i="77"/>
  <c r="D7" i="77"/>
  <c r="D18" i="77" s="1"/>
  <c r="C7" i="77"/>
  <c r="B7" i="77"/>
  <c r="W48" i="58"/>
  <c r="V48" i="58"/>
  <c r="U49" i="58"/>
  <c r="U50" i="58"/>
  <c r="U51" i="58"/>
  <c r="U52" i="58"/>
  <c r="U53" i="58"/>
  <c r="U48" i="58"/>
  <c r="S49" i="88" l="1"/>
  <c r="S45" i="88"/>
  <c r="W59" i="88"/>
  <c r="S39" i="88"/>
  <c r="V59" i="88"/>
  <c r="O51" i="78"/>
  <c r="K30" i="78"/>
  <c r="K51" i="78"/>
  <c r="H52" i="77"/>
  <c r="M52" i="77"/>
  <c r="Q11" i="77"/>
  <c r="P11" i="77"/>
  <c r="F18" i="77"/>
  <c r="P7" i="77"/>
  <c r="F48" i="77"/>
  <c r="E48" i="77" s="1"/>
  <c r="D48" i="77" s="1"/>
  <c r="C48" i="77" s="1"/>
  <c r="B48" i="77" s="1"/>
  <c r="P12" i="77"/>
  <c r="F52" i="77"/>
  <c r="D52" i="77"/>
  <c r="D51" i="77"/>
  <c r="G51" i="77"/>
  <c r="G52" i="77"/>
  <c r="B65" i="77"/>
  <c r="J52" i="77"/>
  <c r="J51" i="77"/>
  <c r="M65" i="77"/>
  <c r="S12" i="77"/>
  <c r="I18" i="77"/>
  <c r="B18" i="77"/>
  <c r="K50" i="77"/>
  <c r="R11" i="77"/>
  <c r="C18" i="77"/>
  <c r="L50" i="77"/>
  <c r="M51" i="77"/>
  <c r="Q12" i="77"/>
  <c r="C50" i="77"/>
  <c r="B51" i="77"/>
  <c r="R12" i="77"/>
  <c r="G18" i="77"/>
  <c r="I50" i="77"/>
  <c r="H51" i="77"/>
  <c r="E50" i="77"/>
  <c r="Q7" i="77"/>
  <c r="R7" i="77"/>
  <c r="K18" i="77"/>
  <c r="S7" i="77"/>
  <c r="M18" i="77"/>
  <c r="K38" i="1"/>
  <c r="F21" i="77" a="1"/>
  <c r="F21" i="77" l="1"/>
  <c r="O48" i="78"/>
  <c r="O50" i="77"/>
  <c r="F51" i="77"/>
  <c r="L52" i="77"/>
  <c r="L51" i="77"/>
  <c r="C52" i="77"/>
  <c r="C51" i="77"/>
  <c r="E52" i="77"/>
  <c r="E51" i="77"/>
  <c r="K52" i="77"/>
  <c r="K51" i="77"/>
  <c r="I51" i="77"/>
  <c r="I52" i="77"/>
  <c r="C76" i="39"/>
  <c r="G21" i="77" a="1"/>
  <c r="F33" i="58" a="1"/>
  <c r="G21" i="77" l="1"/>
  <c r="F55" i="77"/>
  <c r="F33" i="58"/>
  <c r="O47" i="78"/>
  <c r="O51" i="77"/>
  <c r="O52" i="77"/>
  <c r="T6" i="66"/>
  <c r="G33" i="58" a="1"/>
  <c r="H21" i="77" a="1"/>
  <c r="F68" i="58" l="1"/>
  <c r="H21" i="77"/>
  <c r="G55" i="77"/>
  <c r="G33" i="58"/>
  <c r="Q46" i="5"/>
  <c r="I21" i="77" a="1"/>
  <c r="H33" i="58" a="1"/>
  <c r="G68" i="58" l="1"/>
  <c r="I21" i="77"/>
  <c r="E2" i="85"/>
  <c r="H55" i="77"/>
  <c r="H33" i="58"/>
  <c r="C11" i="75"/>
  <c r="B2" i="75"/>
  <c r="B3" i="75"/>
  <c r="B4" i="75"/>
  <c r="B5" i="75"/>
  <c r="B6" i="75"/>
  <c r="B7" i="75"/>
  <c r="B8" i="75"/>
  <c r="B9" i="75"/>
  <c r="B10" i="75"/>
  <c r="B11" i="75"/>
  <c r="B1" i="75"/>
  <c r="J21" i="77" a="1"/>
  <c r="I33" i="58" a="1"/>
  <c r="H68" i="58" l="1"/>
  <c r="G2" i="85"/>
  <c r="F2" i="85"/>
  <c r="J21" i="77"/>
  <c r="E3" i="85"/>
  <c r="I55" i="77"/>
  <c r="I33" i="58"/>
  <c r="K39" i="18"/>
  <c r="K40" i="18"/>
  <c r="K41" i="18"/>
  <c r="K42" i="18"/>
  <c r="K43" i="18"/>
  <c r="K44" i="18"/>
  <c r="K46" i="18"/>
  <c r="K47" i="18"/>
  <c r="K48" i="18"/>
  <c r="K49" i="18"/>
  <c r="K50" i="18"/>
  <c r="K51" i="18"/>
  <c r="K45" i="18"/>
  <c r="K21" i="77" a="1"/>
  <c r="J33" i="58" a="1"/>
  <c r="I68" i="58" l="1"/>
  <c r="I2" i="85"/>
  <c r="F3" i="85"/>
  <c r="G3" i="85"/>
  <c r="I3" i="85" s="1"/>
  <c r="K21" i="77"/>
  <c r="E4" i="85"/>
  <c r="J55" i="77"/>
  <c r="J33" i="58"/>
  <c r="Q63" i="58"/>
  <c r="Q64" i="58" s="1"/>
  <c r="W31" i="78"/>
  <c r="D15" i="71"/>
  <c r="C15" i="71"/>
  <c r="B15" i="71"/>
  <c r="D12" i="71"/>
  <c r="C12" i="71"/>
  <c r="B12" i="71"/>
  <c r="L21" i="77" a="1"/>
  <c r="M17" i="62" a="1"/>
  <c r="K33" i="58" a="1"/>
  <c r="M17" i="62" l="1"/>
  <c r="J68" i="58"/>
  <c r="G4" i="85"/>
  <c r="F4" i="85"/>
  <c r="L21" i="77"/>
  <c r="E5" i="85"/>
  <c r="K55" i="77"/>
  <c r="K33" i="58"/>
  <c r="G21" i="94" s="1"/>
  <c r="K31" i="78"/>
  <c r="O52" i="78"/>
  <c r="K52" i="78"/>
  <c r="Q65" i="58"/>
  <c r="C77" i="39"/>
  <c r="M10" i="1"/>
  <c r="L23" i="55"/>
  <c r="M23" i="55"/>
  <c r="O7" i="62"/>
  <c r="O8" i="62"/>
  <c r="O9" i="62"/>
  <c r="O10" i="62"/>
  <c r="O11" i="62"/>
  <c r="O12" i="62"/>
  <c r="O13" i="62"/>
  <c r="B8" i="67"/>
  <c r="B24" i="67" s="1"/>
  <c r="C8" i="67"/>
  <c r="C24" i="67" s="1"/>
  <c r="D8" i="67"/>
  <c r="D24" i="67" s="1"/>
  <c r="E8" i="67"/>
  <c r="E24" i="67" s="1"/>
  <c r="F8" i="67"/>
  <c r="F24" i="67" s="1"/>
  <c r="G8" i="67"/>
  <c r="G24" i="67" s="1"/>
  <c r="H8" i="67"/>
  <c r="H24" i="67" s="1"/>
  <c r="I8" i="67"/>
  <c r="I24" i="67" s="1"/>
  <c r="J8" i="67"/>
  <c r="J24" i="67" s="1"/>
  <c r="K8" i="67"/>
  <c r="K24" i="67" s="1"/>
  <c r="L8" i="67"/>
  <c r="L24" i="67" s="1"/>
  <c r="M8" i="67"/>
  <c r="M24" i="67" s="1"/>
  <c r="B9" i="67"/>
  <c r="B25" i="67" s="1"/>
  <c r="C9" i="67"/>
  <c r="C25" i="67" s="1"/>
  <c r="D9" i="67"/>
  <c r="D25" i="67" s="1"/>
  <c r="E9" i="67"/>
  <c r="E25" i="67" s="1"/>
  <c r="F9" i="67"/>
  <c r="F25" i="67" s="1"/>
  <c r="G9" i="67"/>
  <c r="G25" i="67" s="1"/>
  <c r="H9" i="67"/>
  <c r="H25" i="67" s="1"/>
  <c r="I25" i="67"/>
  <c r="J9" i="67"/>
  <c r="J25" i="67" s="1"/>
  <c r="K9" i="67"/>
  <c r="L9" i="67"/>
  <c r="M9" i="67"/>
  <c r="M25" i="67" s="1"/>
  <c r="B10" i="67"/>
  <c r="B26" i="67" s="1"/>
  <c r="C10" i="67"/>
  <c r="C26" i="67" s="1"/>
  <c r="D10" i="67"/>
  <c r="D26" i="67" s="1"/>
  <c r="E10" i="67"/>
  <c r="E26" i="67" s="1"/>
  <c r="F10" i="67"/>
  <c r="F26" i="67" s="1"/>
  <c r="G10" i="67"/>
  <c r="G26" i="67" s="1"/>
  <c r="H10" i="67"/>
  <c r="H26" i="67" s="1"/>
  <c r="I10" i="67"/>
  <c r="I26" i="67" s="1"/>
  <c r="J10" i="67"/>
  <c r="J26" i="67" s="1"/>
  <c r="K10" i="67"/>
  <c r="K26" i="67" s="1"/>
  <c r="L10" i="67"/>
  <c r="M10" i="67"/>
  <c r="M26" i="67" s="1"/>
  <c r="B13" i="67"/>
  <c r="B29" i="67" s="1"/>
  <c r="C13" i="67"/>
  <c r="C29" i="67" s="1"/>
  <c r="D13" i="67"/>
  <c r="D29" i="67" s="1"/>
  <c r="E13" i="67"/>
  <c r="E29" i="67" s="1"/>
  <c r="F13" i="67"/>
  <c r="F29" i="67" s="1"/>
  <c r="G13" i="67"/>
  <c r="G29" i="67" s="1"/>
  <c r="H13" i="67"/>
  <c r="H29" i="67" s="1"/>
  <c r="I13" i="67"/>
  <c r="I29" i="67" s="1"/>
  <c r="J13" i="67"/>
  <c r="J29" i="67" s="1"/>
  <c r="K13" i="67"/>
  <c r="K29" i="67" s="1"/>
  <c r="L13" i="67"/>
  <c r="M13" i="67"/>
  <c r="M29" i="67" s="1"/>
  <c r="G43" i="67"/>
  <c r="G44" i="67" s="1"/>
  <c r="H43" i="67"/>
  <c r="I43" i="67"/>
  <c r="J43" i="67"/>
  <c r="J44" i="67" s="1"/>
  <c r="H44" i="67"/>
  <c r="I44" i="67"/>
  <c r="K44" i="67"/>
  <c r="L44" i="67"/>
  <c r="M44" i="67"/>
  <c r="P30" i="67"/>
  <c r="R30" i="67"/>
  <c r="N27" i="56"/>
  <c r="R2" i="51"/>
  <c r="C7" i="18"/>
  <c r="C8"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6" i="18"/>
  <c r="T46" i="66"/>
  <c r="T45" i="66"/>
  <c r="T44" i="66"/>
  <c r="T43" i="66"/>
  <c r="T42" i="66"/>
  <c r="T41" i="66"/>
  <c r="T40" i="66"/>
  <c r="T39" i="66"/>
  <c r="T38" i="66"/>
  <c r="T37" i="66"/>
  <c r="T36" i="66"/>
  <c r="T35" i="66"/>
  <c r="D35" i="66"/>
  <c r="T34" i="66"/>
  <c r="T33" i="66"/>
  <c r="T32" i="66"/>
  <c r="T31" i="66"/>
  <c r="T30" i="66"/>
  <c r="T29" i="66"/>
  <c r="T28" i="66"/>
  <c r="T27" i="66"/>
  <c r="T26" i="66"/>
  <c r="T25" i="66"/>
  <c r="T24" i="66"/>
  <c r="T23" i="66"/>
  <c r="T22" i="66"/>
  <c r="T21" i="66"/>
  <c r="T20" i="66"/>
  <c r="T19" i="66"/>
  <c r="T18" i="66"/>
  <c r="T17" i="66"/>
  <c r="T16" i="66"/>
  <c r="T15" i="66"/>
  <c r="T14" i="66"/>
  <c r="T13" i="66"/>
  <c r="T12" i="66"/>
  <c r="T11" i="66"/>
  <c r="T10" i="66"/>
  <c r="T9" i="66"/>
  <c r="T8" i="66"/>
  <c r="T7" i="66"/>
  <c r="CQ15" i="61"/>
  <c r="CQ16" i="61"/>
  <c r="O14" i="62" s="1"/>
  <c r="CQ17" i="61"/>
  <c r="O15" i="62" s="1"/>
  <c r="CQ18" i="61"/>
  <c r="O16" i="62" s="1"/>
  <c r="CQ19" i="61"/>
  <c r="O17" i="62" s="1"/>
  <c r="CQ9" i="61"/>
  <c r="CQ10" i="61"/>
  <c r="CQ11" i="61"/>
  <c r="CQ12" i="61"/>
  <c r="CQ13" i="61"/>
  <c r="CQ14" i="61"/>
  <c r="AA17" i="62"/>
  <c r="AA16" i="62"/>
  <c r="AA15" i="62"/>
  <c r="AA14" i="62"/>
  <c r="AA13" i="62"/>
  <c r="AA12" i="62"/>
  <c r="AA11" i="62"/>
  <c r="AA10" i="62"/>
  <c r="AA9" i="62"/>
  <c r="AA8" i="62"/>
  <c r="AA7" i="62"/>
  <c r="AA6" i="62"/>
  <c r="CO27" i="61"/>
  <c r="CN24" i="61"/>
  <c r="CM24" i="61"/>
  <c r="CM32" i="61" s="1"/>
  <c r="CL24" i="61"/>
  <c r="CK24" i="61"/>
  <c r="CK28" i="61" s="1"/>
  <c r="CJ24" i="61"/>
  <c r="CI24" i="61"/>
  <c r="CI33" i="61" s="1"/>
  <c r="CH24" i="61"/>
  <c r="CG24" i="61"/>
  <c r="CF24" i="61"/>
  <c r="CE24" i="61"/>
  <c r="CD24" i="61"/>
  <c r="CC24" i="61"/>
  <c r="CB24" i="61"/>
  <c r="CB35" i="61" s="1"/>
  <c r="CA24" i="61"/>
  <c r="BZ24" i="61"/>
  <c r="BZ29" i="61" s="1"/>
  <c r="BY24" i="61"/>
  <c r="BY27" i="61" s="1"/>
  <c r="BX24" i="61"/>
  <c r="BX36" i="61" s="1"/>
  <c r="BW24" i="61"/>
  <c r="BW27" i="61" s="1"/>
  <c r="BV24" i="61"/>
  <c r="BV27" i="61" s="1"/>
  <c r="BU24" i="61"/>
  <c r="BT24" i="61"/>
  <c r="BS24" i="61"/>
  <c r="BR24" i="61"/>
  <c r="BQ24" i="61"/>
  <c r="BP24" i="61"/>
  <c r="BO24" i="61"/>
  <c r="BN24" i="61"/>
  <c r="BM24" i="61"/>
  <c r="BL24" i="61"/>
  <c r="BK24" i="61"/>
  <c r="BK33" i="61" s="1"/>
  <c r="BJ24" i="61"/>
  <c r="BI24" i="61"/>
  <c r="BI27" i="61" s="1"/>
  <c r="BH24" i="61"/>
  <c r="BG24" i="61"/>
  <c r="BG34" i="61" s="1"/>
  <c r="BF24" i="61"/>
  <c r="BF27" i="61" s="1"/>
  <c r="BE24" i="61"/>
  <c r="BE28" i="61" s="1"/>
  <c r="BD24" i="61"/>
  <c r="BC24" i="61"/>
  <c r="BC28" i="61" s="1"/>
  <c r="BB24" i="61"/>
  <c r="BA24" i="61"/>
  <c r="BA27" i="61" s="1"/>
  <c r="AZ24" i="61"/>
  <c r="AZ38" i="61" s="1"/>
  <c r="AY24" i="61"/>
  <c r="AY32" i="61" s="1"/>
  <c r="AX24" i="61"/>
  <c r="AW24" i="61"/>
  <c r="AW28" i="61" s="1"/>
  <c r="AV24" i="61"/>
  <c r="AU24" i="61"/>
  <c r="AT24" i="61"/>
  <c r="AS24" i="61"/>
  <c r="AS27" i="61" s="1"/>
  <c r="AR24" i="61"/>
  <c r="AQ24" i="61"/>
  <c r="AQ30" i="61" s="1"/>
  <c r="AP24" i="61"/>
  <c r="AP29" i="61" s="1"/>
  <c r="AO24" i="61"/>
  <c r="AN24" i="61"/>
  <c r="AM24" i="61"/>
  <c r="AL24" i="61"/>
  <c r="AK24" i="61"/>
  <c r="AK27" i="61" s="1"/>
  <c r="AJ24" i="61"/>
  <c r="AI24" i="61"/>
  <c r="AI34" i="61" s="1"/>
  <c r="AH24" i="61"/>
  <c r="AH27" i="61" s="1"/>
  <c r="AG24" i="61"/>
  <c r="AF24" i="61"/>
  <c r="AF29" i="61" s="1"/>
  <c r="AE24" i="61"/>
  <c r="AD24" i="61"/>
  <c r="AC24" i="61"/>
  <c r="AB24" i="61"/>
  <c r="AA24" i="61"/>
  <c r="AA30" i="61" s="1"/>
  <c r="Z24" i="61"/>
  <c r="Y24" i="61"/>
  <c r="X24" i="61"/>
  <c r="W24" i="61"/>
  <c r="V24" i="61"/>
  <c r="U24" i="61"/>
  <c r="T24" i="61"/>
  <c r="R24" i="61"/>
  <c r="Q24" i="61"/>
  <c r="P24" i="61"/>
  <c r="O24" i="61"/>
  <c r="O31" i="61" s="1"/>
  <c r="N24" i="61"/>
  <c r="M24" i="61"/>
  <c r="L24" i="61"/>
  <c r="K24" i="61"/>
  <c r="K29" i="61" s="1"/>
  <c r="J24" i="61"/>
  <c r="J27" i="61" s="1"/>
  <c r="I24" i="61"/>
  <c r="I28" i="61" s="1"/>
  <c r="H24" i="61"/>
  <c r="H35" i="61" s="1"/>
  <c r="G24" i="61"/>
  <c r="F24" i="61"/>
  <c r="C29" i="61"/>
  <c r="B14" i="61"/>
  <c r="B13" i="61"/>
  <c r="B12" i="61"/>
  <c r="B11" i="61"/>
  <c r="B10" i="61"/>
  <c r="B9" i="61"/>
  <c r="CQ8" i="61"/>
  <c r="B8" i="61"/>
  <c r="CO7" i="61"/>
  <c r="CN7" i="61"/>
  <c r="CM7" i="61"/>
  <c r="CL7" i="61"/>
  <c r="CK7" i="61"/>
  <c r="CJ7" i="61"/>
  <c r="CI7" i="61"/>
  <c r="CH7" i="61"/>
  <c r="CG7" i="61"/>
  <c r="CF7" i="61"/>
  <c r="CE7" i="61"/>
  <c r="CD7" i="61"/>
  <c r="CC7" i="61"/>
  <c r="CB7" i="61"/>
  <c r="CA7" i="61"/>
  <c r="BZ7" i="61"/>
  <c r="BY7" i="61"/>
  <c r="BX7" i="61"/>
  <c r="BW7" i="61"/>
  <c r="BV7" i="61"/>
  <c r="BU7" i="61"/>
  <c r="BT7" i="61"/>
  <c r="BS7" i="61"/>
  <c r="BR7" i="61"/>
  <c r="BQ7" i="61"/>
  <c r="BP7" i="61"/>
  <c r="BO7" i="61"/>
  <c r="BN7" i="61"/>
  <c r="BM7" i="61"/>
  <c r="BL7" i="61"/>
  <c r="BK7" i="61"/>
  <c r="BJ7" i="61"/>
  <c r="BI7" i="61"/>
  <c r="BH7" i="61"/>
  <c r="BG7" i="61"/>
  <c r="BF7" i="61"/>
  <c r="BE7" i="61"/>
  <c r="BD7" i="61"/>
  <c r="BC7" i="61"/>
  <c r="BB7" i="61"/>
  <c r="BA7" i="61"/>
  <c r="AZ7" i="61"/>
  <c r="AY7" i="61"/>
  <c r="AX7" i="61"/>
  <c r="AW7" i="61"/>
  <c r="AV7" i="61"/>
  <c r="AU7" i="61"/>
  <c r="AT7" i="61"/>
  <c r="AS7" i="61"/>
  <c r="AR7" i="61"/>
  <c r="AQ7" i="61"/>
  <c r="AP7" i="61"/>
  <c r="AO7" i="61"/>
  <c r="AN7" i="61"/>
  <c r="AM7" i="61"/>
  <c r="AL7" i="61"/>
  <c r="AK7" i="61"/>
  <c r="AJ7" i="61"/>
  <c r="AI7" i="61"/>
  <c r="AH7" i="61"/>
  <c r="AG7" i="61"/>
  <c r="AF7" i="61"/>
  <c r="AE7" i="61"/>
  <c r="AD7" i="61"/>
  <c r="AC7" i="61"/>
  <c r="AB7" i="61"/>
  <c r="AA7" i="61"/>
  <c r="Z7" i="61"/>
  <c r="Y7" i="61"/>
  <c r="X7" i="61"/>
  <c r="W7" i="61"/>
  <c r="V7" i="61"/>
  <c r="U7" i="61"/>
  <c r="T7" i="61"/>
  <c r="S7" i="61"/>
  <c r="R7" i="61"/>
  <c r="Q7" i="61"/>
  <c r="P7" i="61"/>
  <c r="O7" i="61"/>
  <c r="N7" i="61"/>
  <c r="M7" i="61"/>
  <c r="L7" i="61"/>
  <c r="K7" i="61"/>
  <c r="J7" i="61"/>
  <c r="I7" i="61"/>
  <c r="H7" i="61"/>
  <c r="G7" i="61"/>
  <c r="F7" i="61"/>
  <c r="E7" i="61"/>
  <c r="D7" i="61"/>
  <c r="C7" i="61"/>
  <c r="B7" i="61"/>
  <c r="B11" i="62"/>
  <c r="B10" i="62"/>
  <c r="B9" i="62"/>
  <c r="B8" i="62"/>
  <c r="B7" i="62"/>
  <c r="B6" i="62"/>
  <c r="B5" i="62"/>
  <c r="B4" i="62"/>
  <c r="B3" i="62"/>
  <c r="B2" i="62"/>
  <c r="M21" i="77" a="1"/>
  <c r="L33" i="58" a="1"/>
  <c r="G55" i="94" l="1"/>
  <c r="G27" i="94"/>
  <c r="G31" i="94"/>
  <c r="G28" i="94"/>
  <c r="B38" i="94" s="1"/>
  <c r="G29" i="94"/>
  <c r="G32" i="94"/>
  <c r="G26" i="94"/>
  <c r="G30" i="94"/>
  <c r="M27" i="62"/>
  <c r="S18" i="62"/>
  <c r="S19" i="62"/>
  <c r="K68" i="58"/>
  <c r="F5" i="85"/>
  <c r="G5" i="85"/>
  <c r="I4" i="85"/>
  <c r="C42" i="78"/>
  <c r="M21" i="77"/>
  <c r="E6" i="85"/>
  <c r="L55" i="77"/>
  <c r="L33" i="58"/>
  <c r="H21" i="94" s="1"/>
  <c r="O49" i="78"/>
  <c r="P13" i="67"/>
  <c r="P10" i="67"/>
  <c r="C78" i="39"/>
  <c r="C79" i="39" s="1"/>
  <c r="C80" i="39" s="1"/>
  <c r="C81" i="39" s="1"/>
  <c r="B52" i="5" a="1"/>
  <c r="N24" i="67"/>
  <c r="S10" i="67"/>
  <c r="P9" i="67"/>
  <c r="R10" i="67"/>
  <c r="L25" i="67"/>
  <c r="S25" i="67" s="1"/>
  <c r="Q10" i="67"/>
  <c r="L26" i="67"/>
  <c r="S26" i="67" s="1"/>
  <c r="Q13" i="67"/>
  <c r="Q9" i="67"/>
  <c r="Q8" i="67"/>
  <c r="L29" i="67"/>
  <c r="F39" i="67" s="1"/>
  <c r="O6" i="62"/>
  <c r="S24" i="67"/>
  <c r="Q24" i="67"/>
  <c r="S13" i="67"/>
  <c r="S9" i="67"/>
  <c r="R13" i="67"/>
  <c r="S8" i="67"/>
  <c r="P24" i="67"/>
  <c r="R24" i="67"/>
  <c r="B34" i="67"/>
  <c r="G34" i="67"/>
  <c r="E34" i="67"/>
  <c r="F34" i="67"/>
  <c r="D34" i="67"/>
  <c r="E39" i="67"/>
  <c r="B39" i="67"/>
  <c r="C34" i="67"/>
  <c r="K25" i="67"/>
  <c r="R8" i="67"/>
  <c r="P8" i="67"/>
  <c r="F44" i="67"/>
  <c r="E44" i="67" s="1"/>
  <c r="D44" i="67" s="1"/>
  <c r="C44" i="67" s="1"/>
  <c r="R9" i="67"/>
  <c r="CC28" i="61"/>
  <c r="V29" i="61"/>
  <c r="CE30" i="61"/>
  <c r="AY27" i="61"/>
  <c r="AA32" i="61"/>
  <c r="W28" i="61"/>
  <c r="CJ39" i="61"/>
  <c r="AC39" i="61"/>
  <c r="AC37" i="61"/>
  <c r="AC35" i="61"/>
  <c r="AC38" i="61"/>
  <c r="AC36" i="61"/>
  <c r="AC33" i="61"/>
  <c r="AC31" i="61"/>
  <c r="AC29" i="61"/>
  <c r="AC32" i="61"/>
  <c r="AC30" i="61"/>
  <c r="AC34" i="61"/>
  <c r="AC28" i="61"/>
  <c r="CG39" i="61"/>
  <c r="CG37" i="61"/>
  <c r="CG35" i="61"/>
  <c r="CG38" i="61"/>
  <c r="CG36" i="61"/>
  <c r="CG33" i="61"/>
  <c r="CG31" i="61"/>
  <c r="CG29" i="61"/>
  <c r="CG30" i="61"/>
  <c r="CG32" i="61"/>
  <c r="CG34" i="61"/>
  <c r="CG28" i="61"/>
  <c r="AC27" i="61"/>
  <c r="G8" i="62"/>
  <c r="C8" i="62"/>
  <c r="F39" i="61"/>
  <c r="F37" i="61"/>
  <c r="F38" i="61"/>
  <c r="F36" i="61"/>
  <c r="F33" i="61"/>
  <c r="F31" i="61"/>
  <c r="F35" i="61"/>
  <c r="F34" i="61"/>
  <c r="F32" i="61"/>
  <c r="F30" i="61"/>
  <c r="F29" i="61"/>
  <c r="N39" i="61"/>
  <c r="N37" i="61"/>
  <c r="N38" i="61"/>
  <c r="N36" i="61"/>
  <c r="N33" i="61"/>
  <c r="N31" i="61"/>
  <c r="N35" i="61"/>
  <c r="N34" i="61"/>
  <c r="N32" i="61"/>
  <c r="N30" i="61"/>
  <c r="N29" i="61"/>
  <c r="N27" i="61"/>
  <c r="V39" i="61"/>
  <c r="V37" i="61"/>
  <c r="V38" i="61"/>
  <c r="V36" i="61"/>
  <c r="V35" i="61"/>
  <c r="V33" i="61"/>
  <c r="V31" i="61"/>
  <c r="V34" i="61"/>
  <c r="V32" i="61"/>
  <c r="V30" i="61"/>
  <c r="V27" i="61"/>
  <c r="AD39" i="61"/>
  <c r="AD37" i="61"/>
  <c r="AD38" i="61"/>
  <c r="AD36" i="61"/>
  <c r="AD33" i="61"/>
  <c r="AD31" i="61"/>
  <c r="AD35" i="61"/>
  <c r="AD34" i="61"/>
  <c r="AD32" i="61"/>
  <c r="AD30" i="61"/>
  <c r="AD27" i="61"/>
  <c r="AL39" i="61"/>
  <c r="AL37" i="61"/>
  <c r="AL38" i="61"/>
  <c r="AL36" i="61"/>
  <c r="AL35" i="61"/>
  <c r="AL33" i="61"/>
  <c r="AL31" i="61"/>
  <c r="AL34" i="61"/>
  <c r="AL32" i="61"/>
  <c r="AL30" i="61"/>
  <c r="AL27" i="61"/>
  <c r="AL28" i="61"/>
  <c r="AL29" i="61"/>
  <c r="AT39" i="61"/>
  <c r="AT37" i="61"/>
  <c r="AT38" i="61"/>
  <c r="AT36" i="61"/>
  <c r="AT33" i="61"/>
  <c r="AT31" i="61"/>
  <c r="AT34" i="61"/>
  <c r="AT32" i="61"/>
  <c r="AT30" i="61"/>
  <c r="AT29" i="61"/>
  <c r="AT27" i="61"/>
  <c r="AT35" i="61"/>
  <c r="AT28" i="61"/>
  <c r="BB39" i="61"/>
  <c r="BB37" i="61"/>
  <c r="BB38" i="61"/>
  <c r="BB36" i="61"/>
  <c r="BB33" i="61"/>
  <c r="BB31" i="61"/>
  <c r="BB35" i="61"/>
  <c r="BB34" i="61"/>
  <c r="BB32" i="61"/>
  <c r="BB30" i="61"/>
  <c r="BB27" i="61"/>
  <c r="BB29" i="61"/>
  <c r="BB28" i="61"/>
  <c r="BJ39" i="61"/>
  <c r="BJ37" i="61"/>
  <c r="BJ38" i="61"/>
  <c r="BJ36" i="61"/>
  <c r="BJ33" i="61"/>
  <c r="BJ31" i="61"/>
  <c r="BJ34" i="61"/>
  <c r="BJ32" i="61"/>
  <c r="BJ30" i="61"/>
  <c r="BJ29" i="61"/>
  <c r="BJ27" i="61"/>
  <c r="BJ28" i="61"/>
  <c r="BR39" i="61"/>
  <c r="BR37" i="61"/>
  <c r="BR38" i="61"/>
  <c r="BR36" i="61"/>
  <c r="BR33" i="61"/>
  <c r="BR31" i="61"/>
  <c r="BR35" i="61"/>
  <c r="BR34" i="61"/>
  <c r="BR32" i="61"/>
  <c r="BR30" i="61"/>
  <c r="BR27" i="61"/>
  <c r="BR29" i="61"/>
  <c r="BR28" i="61"/>
  <c r="BZ39" i="61"/>
  <c r="BZ37" i="61"/>
  <c r="BZ38" i="61"/>
  <c r="BZ36" i="61"/>
  <c r="BZ33" i="61"/>
  <c r="BZ31" i="61"/>
  <c r="BZ35" i="61"/>
  <c r="BZ34" i="61"/>
  <c r="BZ32" i="61"/>
  <c r="BZ30" i="61"/>
  <c r="BZ27" i="61"/>
  <c r="BZ28" i="61"/>
  <c r="CH39" i="61"/>
  <c r="CH37" i="61"/>
  <c r="CH38" i="61"/>
  <c r="CH36" i="61"/>
  <c r="CH33" i="61"/>
  <c r="CH31" i="61"/>
  <c r="CH34" i="61"/>
  <c r="CH32" i="61"/>
  <c r="CH30" i="61"/>
  <c r="CH35" i="61"/>
  <c r="CH29" i="61"/>
  <c r="CH27" i="61"/>
  <c r="CH28" i="61"/>
  <c r="K27" i="61"/>
  <c r="F28" i="61"/>
  <c r="Y28" i="61"/>
  <c r="CI28" i="61"/>
  <c r="AD29" i="61"/>
  <c r="BJ35" i="61"/>
  <c r="E39" i="61"/>
  <c r="E37" i="61"/>
  <c r="E38" i="61"/>
  <c r="E36" i="61"/>
  <c r="E33" i="61"/>
  <c r="E31" i="61"/>
  <c r="E35" i="61"/>
  <c r="E32" i="61"/>
  <c r="E34" i="61"/>
  <c r="E28" i="61"/>
  <c r="BA39" i="61"/>
  <c r="BA37" i="61"/>
  <c r="BA35" i="61"/>
  <c r="BA38" i="61"/>
  <c r="BA36" i="61"/>
  <c r="BA33" i="61"/>
  <c r="BA31" i="61"/>
  <c r="BA29" i="61"/>
  <c r="BA30" i="61"/>
  <c r="BA32" i="61"/>
  <c r="BA34" i="61"/>
  <c r="BA28" i="61"/>
  <c r="G38" i="61"/>
  <c r="G36" i="61"/>
  <c r="G35" i="61"/>
  <c r="G37" i="61"/>
  <c r="G34" i="61"/>
  <c r="G32" i="61"/>
  <c r="G30" i="61"/>
  <c r="G39" i="61"/>
  <c r="G33" i="61"/>
  <c r="G29" i="61"/>
  <c r="G27" i="61"/>
  <c r="G31" i="61"/>
  <c r="O38" i="61"/>
  <c r="O36" i="61"/>
  <c r="O37" i="61"/>
  <c r="O39" i="61"/>
  <c r="O35" i="61"/>
  <c r="O34" i="61"/>
  <c r="O32" i="61"/>
  <c r="O30" i="61"/>
  <c r="O29" i="61"/>
  <c r="O27" i="61"/>
  <c r="O33" i="61"/>
  <c r="W38" i="61"/>
  <c r="W36" i="61"/>
  <c r="W39" i="61"/>
  <c r="W34" i="61"/>
  <c r="W32" i="61"/>
  <c r="W30" i="61"/>
  <c r="W37" i="61"/>
  <c r="W35" i="61"/>
  <c r="W27" i="61"/>
  <c r="W29" i="61"/>
  <c r="AE38" i="61"/>
  <c r="AE36" i="61"/>
  <c r="AE35" i="61"/>
  <c r="AE34" i="61"/>
  <c r="AE32" i="61"/>
  <c r="AE30" i="61"/>
  <c r="AE37" i="61"/>
  <c r="AE39" i="61"/>
  <c r="AE31" i="61"/>
  <c r="AE27" i="61"/>
  <c r="AE29" i="61"/>
  <c r="AM38" i="61"/>
  <c r="AM36" i="61"/>
  <c r="AM37" i="61"/>
  <c r="AM34" i="61"/>
  <c r="AM32" i="61"/>
  <c r="AM30" i="61"/>
  <c r="AM39" i="61"/>
  <c r="AM33" i="61"/>
  <c r="AM27" i="61"/>
  <c r="AM29" i="61"/>
  <c r="AM35" i="61"/>
  <c r="AM31" i="61"/>
  <c r="AU38" i="61"/>
  <c r="AU36" i="61"/>
  <c r="AU37" i="61"/>
  <c r="AU39" i="61"/>
  <c r="AU34" i="61"/>
  <c r="AU32" i="61"/>
  <c r="AU30" i="61"/>
  <c r="AU35" i="61"/>
  <c r="AU29" i="61"/>
  <c r="AU27" i="61"/>
  <c r="AU33" i="61"/>
  <c r="BC38" i="61"/>
  <c r="BC36" i="61"/>
  <c r="BC39" i="61"/>
  <c r="BC35" i="61"/>
  <c r="BC34" i="61"/>
  <c r="BC32" i="61"/>
  <c r="BC30" i="61"/>
  <c r="BC37" i="61"/>
  <c r="BC27" i="61"/>
  <c r="BK38" i="61"/>
  <c r="BK36" i="61"/>
  <c r="BK34" i="61"/>
  <c r="BK32" i="61"/>
  <c r="BK30" i="61"/>
  <c r="BK37" i="61"/>
  <c r="BK39" i="61"/>
  <c r="BK35" i="61"/>
  <c r="BK29" i="61"/>
  <c r="BK31" i="61"/>
  <c r="BK27" i="61"/>
  <c r="BS38" i="61"/>
  <c r="BS36" i="61"/>
  <c r="BS37" i="61"/>
  <c r="BS35" i="61"/>
  <c r="BS34" i="61"/>
  <c r="BS32" i="61"/>
  <c r="BS30" i="61"/>
  <c r="BS39" i="61"/>
  <c r="BS33" i="61"/>
  <c r="BS27" i="61"/>
  <c r="BS31" i="61"/>
  <c r="CA38" i="61"/>
  <c r="CA36" i="61"/>
  <c r="CA37" i="61"/>
  <c r="CA35" i="61"/>
  <c r="CA39" i="61"/>
  <c r="CA34" i="61"/>
  <c r="CA32" i="61"/>
  <c r="CA30" i="61"/>
  <c r="CA27" i="61"/>
  <c r="CA29" i="61"/>
  <c r="CA33" i="61"/>
  <c r="CI38" i="61"/>
  <c r="CI36" i="61"/>
  <c r="CI39" i="61"/>
  <c r="CI34" i="61"/>
  <c r="CI32" i="61"/>
  <c r="CI30" i="61"/>
  <c r="CI37" i="61"/>
  <c r="CI27" i="61"/>
  <c r="CI35" i="61"/>
  <c r="CI29" i="61"/>
  <c r="M27" i="61"/>
  <c r="AI27" i="61"/>
  <c r="G28" i="61"/>
  <c r="AD28" i="61"/>
  <c r="E30" i="61"/>
  <c r="W31" i="61"/>
  <c r="BG32" i="61"/>
  <c r="C34" i="61"/>
  <c r="U39" i="61"/>
  <c r="U37" i="61"/>
  <c r="U35" i="61"/>
  <c r="U38" i="61"/>
  <c r="U36" i="61"/>
  <c r="U33" i="61"/>
  <c r="U31" i="61"/>
  <c r="U32" i="61"/>
  <c r="U29" i="61"/>
  <c r="U34" i="61"/>
  <c r="U28" i="61"/>
  <c r="BY39" i="61"/>
  <c r="BY37" i="61"/>
  <c r="BY35" i="61"/>
  <c r="BY38" i="61"/>
  <c r="BY36" i="61"/>
  <c r="BY33" i="61"/>
  <c r="BY31" i="61"/>
  <c r="BY29" i="61"/>
  <c r="BY34" i="61"/>
  <c r="BY30" i="61"/>
  <c r="BY32" i="61"/>
  <c r="BY28" i="61"/>
  <c r="C9" i="62"/>
  <c r="G9" i="62"/>
  <c r="H38" i="61"/>
  <c r="H36" i="61"/>
  <c r="H37" i="61"/>
  <c r="H34" i="61"/>
  <c r="H32" i="61"/>
  <c r="H30" i="61"/>
  <c r="H39" i="61"/>
  <c r="H33" i="61"/>
  <c r="H31" i="61"/>
  <c r="H29" i="61"/>
  <c r="H27" i="61"/>
  <c r="H28" i="61"/>
  <c r="P38" i="61"/>
  <c r="P36" i="61"/>
  <c r="P39" i="61"/>
  <c r="P35" i="61"/>
  <c r="P34" i="61"/>
  <c r="P32" i="61"/>
  <c r="P30" i="61"/>
  <c r="P33" i="61"/>
  <c r="P31" i="61"/>
  <c r="P29" i="61"/>
  <c r="P27" i="61"/>
  <c r="P28" i="61"/>
  <c r="X38" i="61"/>
  <c r="X36" i="61"/>
  <c r="X34" i="61"/>
  <c r="X32" i="61"/>
  <c r="X30" i="61"/>
  <c r="X35" i="61"/>
  <c r="X33" i="61"/>
  <c r="X31" i="61"/>
  <c r="X27" i="61"/>
  <c r="X29" i="61"/>
  <c r="X37" i="61"/>
  <c r="X28" i="61"/>
  <c r="X39" i="61"/>
  <c r="AF38" i="61"/>
  <c r="AF36" i="61"/>
  <c r="AF35" i="61"/>
  <c r="AF34" i="61"/>
  <c r="AF32" i="61"/>
  <c r="AF30" i="61"/>
  <c r="AF37" i="61"/>
  <c r="AF33" i="61"/>
  <c r="AF31" i="61"/>
  <c r="AF27" i="61"/>
  <c r="AF28" i="61"/>
  <c r="AF39" i="61"/>
  <c r="AN38" i="61"/>
  <c r="AN36" i="61"/>
  <c r="AN37" i="61"/>
  <c r="AN34" i="61"/>
  <c r="AN32" i="61"/>
  <c r="AN30" i="61"/>
  <c r="AN39" i="61"/>
  <c r="AN35" i="61"/>
  <c r="AN33" i="61"/>
  <c r="AN31" i="61"/>
  <c r="AN27" i="61"/>
  <c r="AN28" i="61"/>
  <c r="AV38" i="61"/>
  <c r="AV36" i="61"/>
  <c r="AV39" i="61"/>
  <c r="AV34" i="61"/>
  <c r="AV32" i="61"/>
  <c r="AV30" i="61"/>
  <c r="AV35" i="61"/>
  <c r="AV33" i="61"/>
  <c r="AV31" i="61"/>
  <c r="AV27" i="61"/>
  <c r="AV37" i="61"/>
  <c r="AV28" i="61"/>
  <c r="AV29" i="61"/>
  <c r="BD38" i="61"/>
  <c r="BD36" i="61"/>
  <c r="BD35" i="61"/>
  <c r="BD34" i="61"/>
  <c r="BD32" i="61"/>
  <c r="BD30" i="61"/>
  <c r="BD33" i="61"/>
  <c r="BD31" i="61"/>
  <c r="BD29" i="61"/>
  <c r="BD37" i="61"/>
  <c r="BD27" i="61"/>
  <c r="BD28" i="61"/>
  <c r="BL38" i="61"/>
  <c r="BL36" i="61"/>
  <c r="BL34" i="61"/>
  <c r="BL32" i="61"/>
  <c r="BL30" i="61"/>
  <c r="BL37" i="61"/>
  <c r="BL33" i="61"/>
  <c r="BL31" i="61"/>
  <c r="BL29" i="61"/>
  <c r="BL27" i="61"/>
  <c r="BL39" i="61"/>
  <c r="BL35" i="61"/>
  <c r="BL28" i="61"/>
  <c r="BT38" i="61"/>
  <c r="BT36" i="61"/>
  <c r="BT37" i="61"/>
  <c r="BT35" i="61"/>
  <c r="BT34" i="61"/>
  <c r="BT32" i="61"/>
  <c r="BT30" i="61"/>
  <c r="BT39" i="61"/>
  <c r="BT33" i="61"/>
  <c r="BT31" i="61"/>
  <c r="BT29" i="61"/>
  <c r="BT27" i="61"/>
  <c r="BT28" i="61"/>
  <c r="CB38" i="61"/>
  <c r="CB36" i="61"/>
  <c r="CB39" i="61"/>
  <c r="CB34" i="61"/>
  <c r="CB32" i="61"/>
  <c r="CB30" i="61"/>
  <c r="CB33" i="61"/>
  <c r="CB31" i="61"/>
  <c r="CB29" i="61"/>
  <c r="CB27" i="61"/>
  <c r="CB28" i="61"/>
  <c r="CB37" i="61"/>
  <c r="CJ38" i="61"/>
  <c r="CJ36" i="61"/>
  <c r="CJ34" i="61"/>
  <c r="CJ32" i="61"/>
  <c r="CJ30" i="61"/>
  <c r="CJ35" i="61"/>
  <c r="CJ33" i="61"/>
  <c r="CJ31" i="61"/>
  <c r="CJ29" i="61"/>
  <c r="CJ27" i="61"/>
  <c r="CJ28" i="61"/>
  <c r="CJ37" i="61"/>
  <c r="R27" i="61"/>
  <c r="BG27" i="61"/>
  <c r="CD27" i="61"/>
  <c r="AE28" i="61"/>
  <c r="BK28" i="61"/>
  <c r="AN29" i="61"/>
  <c r="U30" i="61"/>
  <c r="AU31" i="61"/>
  <c r="CE32" i="61"/>
  <c r="AA34" i="61"/>
  <c r="AK39" i="61"/>
  <c r="AK37" i="61"/>
  <c r="AK35" i="61"/>
  <c r="AK38" i="61"/>
  <c r="AK36" i="61"/>
  <c r="AK33" i="61"/>
  <c r="AK31" i="61"/>
  <c r="AK29" i="61"/>
  <c r="AK32" i="61"/>
  <c r="AK34" i="61"/>
  <c r="AK30" i="61"/>
  <c r="AK28" i="61"/>
  <c r="CO37" i="61"/>
  <c r="CO35" i="61"/>
  <c r="CO38" i="61"/>
  <c r="CO36" i="61"/>
  <c r="CO33" i="61"/>
  <c r="CO31" i="61"/>
  <c r="CO29" i="61"/>
  <c r="CO30" i="61"/>
  <c r="CO32" i="61"/>
  <c r="CO34" i="61"/>
  <c r="CO28" i="61"/>
  <c r="G5" i="62"/>
  <c r="C5" i="62"/>
  <c r="I38" i="61"/>
  <c r="I36" i="61"/>
  <c r="I39" i="61"/>
  <c r="I37" i="61"/>
  <c r="I34" i="61"/>
  <c r="I32" i="61"/>
  <c r="I30" i="61"/>
  <c r="I35" i="61"/>
  <c r="I33" i="61"/>
  <c r="I31" i="61"/>
  <c r="I29" i="61"/>
  <c r="I27" i="61"/>
  <c r="Q38" i="61"/>
  <c r="Q36" i="61"/>
  <c r="Q39" i="61"/>
  <c r="Q37" i="61"/>
  <c r="Q35" i="61"/>
  <c r="Q34" i="61"/>
  <c r="Q32" i="61"/>
  <c r="Q30" i="61"/>
  <c r="Q31" i="61"/>
  <c r="Q33" i="61"/>
  <c r="Q29" i="61"/>
  <c r="Q27" i="61"/>
  <c r="Y38" i="61"/>
  <c r="Y36" i="61"/>
  <c r="Y39" i="61"/>
  <c r="Y37" i="61"/>
  <c r="Y35" i="61"/>
  <c r="Y34" i="61"/>
  <c r="Y32" i="61"/>
  <c r="Y30" i="61"/>
  <c r="Y29" i="61"/>
  <c r="Y31" i="61"/>
  <c r="Y33" i="61"/>
  <c r="Y27" i="61"/>
  <c r="AG38" i="61"/>
  <c r="AG36" i="61"/>
  <c r="AG39" i="61"/>
  <c r="AG37" i="61"/>
  <c r="AG35" i="61"/>
  <c r="AG34" i="61"/>
  <c r="AG32" i="61"/>
  <c r="AG30" i="61"/>
  <c r="AG31" i="61"/>
  <c r="AG33" i="61"/>
  <c r="AG29" i="61"/>
  <c r="AG27" i="61"/>
  <c r="AO38" i="61"/>
  <c r="AO36" i="61"/>
  <c r="AO39" i="61"/>
  <c r="AO37" i="61"/>
  <c r="AO35" i="61"/>
  <c r="AO34" i="61"/>
  <c r="AO32" i="61"/>
  <c r="AO30" i="61"/>
  <c r="AO33" i="61"/>
  <c r="AO29" i="61"/>
  <c r="AO31" i="61"/>
  <c r="AO27" i="61"/>
  <c r="AW38" i="61"/>
  <c r="AW36" i="61"/>
  <c r="AW39" i="61"/>
  <c r="AW37" i="61"/>
  <c r="AW35" i="61"/>
  <c r="AW34" i="61"/>
  <c r="AW32" i="61"/>
  <c r="AW30" i="61"/>
  <c r="AW31" i="61"/>
  <c r="AW33" i="61"/>
  <c r="AW29" i="61"/>
  <c r="AW27" i="61"/>
  <c r="BE38" i="61"/>
  <c r="BE36" i="61"/>
  <c r="BE39" i="61"/>
  <c r="BE37" i="61"/>
  <c r="BE35" i="61"/>
  <c r="BE34" i="61"/>
  <c r="BE32" i="61"/>
  <c r="BE30" i="61"/>
  <c r="BE31" i="61"/>
  <c r="BE29" i="61"/>
  <c r="BE33" i="61"/>
  <c r="BE27" i="61"/>
  <c r="BM38" i="61"/>
  <c r="BM36" i="61"/>
  <c r="BM39" i="61"/>
  <c r="BM37" i="61"/>
  <c r="BM35" i="61"/>
  <c r="BM34" i="61"/>
  <c r="BM32" i="61"/>
  <c r="BM30" i="61"/>
  <c r="BM31" i="61"/>
  <c r="BM33" i="61"/>
  <c r="BM29" i="61"/>
  <c r="BM27" i="61"/>
  <c r="BU38" i="61"/>
  <c r="BU36" i="61"/>
  <c r="BU39" i="61"/>
  <c r="BU37" i="61"/>
  <c r="BU35" i="61"/>
  <c r="BU34" i="61"/>
  <c r="BU32" i="61"/>
  <c r="BU30" i="61"/>
  <c r="BU33" i="61"/>
  <c r="BU29" i="61"/>
  <c r="BU31" i="61"/>
  <c r="BU27" i="61"/>
  <c r="CC38" i="61"/>
  <c r="CC36" i="61"/>
  <c r="CC39" i="61"/>
  <c r="CC37" i="61"/>
  <c r="CC35" i="61"/>
  <c r="CC34" i="61"/>
  <c r="CC32" i="61"/>
  <c r="CC30" i="61"/>
  <c r="CC29" i="61"/>
  <c r="CC31" i="61"/>
  <c r="CC33" i="61"/>
  <c r="CC27" i="61"/>
  <c r="CK38" i="61"/>
  <c r="CK36" i="61"/>
  <c r="CK39" i="61"/>
  <c r="CK37" i="61"/>
  <c r="CK35" i="61"/>
  <c r="CK34" i="61"/>
  <c r="CK32" i="61"/>
  <c r="CK30" i="61"/>
  <c r="CK31" i="61"/>
  <c r="CK33" i="61"/>
  <c r="CK29" i="61"/>
  <c r="CK27" i="61"/>
  <c r="S27" i="61"/>
  <c r="AP27" i="61"/>
  <c r="CE27" i="61"/>
  <c r="N28" i="61"/>
  <c r="AG28" i="61"/>
  <c r="BM28" i="61"/>
  <c r="E29" i="61"/>
  <c r="BC31" i="61"/>
  <c r="P37" i="61"/>
  <c r="M39" i="61"/>
  <c r="M37" i="61"/>
  <c r="M35" i="61"/>
  <c r="M38" i="61"/>
  <c r="M36" i="61"/>
  <c r="M33" i="61"/>
  <c r="M31" i="61"/>
  <c r="M34" i="61"/>
  <c r="M30" i="61"/>
  <c r="M32" i="61"/>
  <c r="M28" i="61"/>
  <c r="BQ39" i="61"/>
  <c r="BQ37" i="61"/>
  <c r="BQ35" i="61"/>
  <c r="BQ38" i="61"/>
  <c r="BQ36" i="61"/>
  <c r="BQ33" i="61"/>
  <c r="BQ31" i="61"/>
  <c r="BQ29" i="61"/>
  <c r="BQ32" i="61"/>
  <c r="BQ34" i="61"/>
  <c r="BQ30" i="61"/>
  <c r="BQ28" i="61"/>
  <c r="G2" i="62"/>
  <c r="C2" i="62"/>
  <c r="G6" i="62"/>
  <c r="C6" i="62"/>
  <c r="G10" i="62"/>
  <c r="C10" i="62"/>
  <c r="J38" i="61"/>
  <c r="J36" i="61"/>
  <c r="J39" i="61"/>
  <c r="J37" i="61"/>
  <c r="J34" i="61"/>
  <c r="J32" i="61"/>
  <c r="J33" i="61"/>
  <c r="J31" i="61"/>
  <c r="J35" i="61"/>
  <c r="J30" i="61"/>
  <c r="J28" i="61"/>
  <c r="J29" i="61"/>
  <c r="R38" i="61"/>
  <c r="R36" i="61"/>
  <c r="R39" i="61"/>
  <c r="R37" i="61"/>
  <c r="R34" i="61"/>
  <c r="R32" i="61"/>
  <c r="R35" i="61"/>
  <c r="R33" i="61"/>
  <c r="R31" i="61"/>
  <c r="R28" i="61"/>
  <c r="R29" i="61"/>
  <c r="R30" i="61"/>
  <c r="Z38" i="61"/>
  <c r="Z36" i="61"/>
  <c r="Z39" i="61"/>
  <c r="Z37" i="61"/>
  <c r="Z34" i="61"/>
  <c r="Z32" i="61"/>
  <c r="Z33" i="61"/>
  <c r="Z31" i="61"/>
  <c r="Z35" i="61"/>
  <c r="Z28" i="61"/>
  <c r="Z30" i="61"/>
  <c r="Z29" i="61"/>
  <c r="AH38" i="61"/>
  <c r="AH36" i="61"/>
  <c r="AH39" i="61"/>
  <c r="AH37" i="61"/>
  <c r="AH34" i="61"/>
  <c r="AH32" i="61"/>
  <c r="AH35" i="61"/>
  <c r="AH33" i="61"/>
  <c r="AH31" i="61"/>
  <c r="AH30" i="61"/>
  <c r="AH29" i="61"/>
  <c r="AH28" i="61"/>
  <c r="AP38" i="61"/>
  <c r="AP36" i="61"/>
  <c r="AP39" i="61"/>
  <c r="AP37" i="61"/>
  <c r="AP35" i="61"/>
  <c r="AP34" i="61"/>
  <c r="AP32" i="61"/>
  <c r="AP33" i="61"/>
  <c r="AP31" i="61"/>
  <c r="AP28" i="61"/>
  <c r="AP30" i="61"/>
  <c r="AX38" i="61"/>
  <c r="AX36" i="61"/>
  <c r="AX39" i="61"/>
  <c r="AX37" i="61"/>
  <c r="AX35" i="61"/>
  <c r="AX34" i="61"/>
  <c r="AX32" i="61"/>
  <c r="AX30" i="61"/>
  <c r="AX33" i="61"/>
  <c r="AX31" i="61"/>
  <c r="AX28" i="61"/>
  <c r="BF38" i="61"/>
  <c r="BF36" i="61"/>
  <c r="BF39" i="61"/>
  <c r="BF37" i="61"/>
  <c r="BF35" i="61"/>
  <c r="BF34" i="61"/>
  <c r="BF32" i="61"/>
  <c r="BF30" i="61"/>
  <c r="BF33" i="61"/>
  <c r="BF31" i="61"/>
  <c r="BF29" i="61"/>
  <c r="BF28" i="61"/>
  <c r="BN38" i="61"/>
  <c r="BN36" i="61"/>
  <c r="BN39" i="61"/>
  <c r="BN37" i="61"/>
  <c r="BN35" i="61"/>
  <c r="BN34" i="61"/>
  <c r="BN32" i="61"/>
  <c r="BN30" i="61"/>
  <c r="BN33" i="61"/>
  <c r="BN31" i="61"/>
  <c r="BN29" i="61"/>
  <c r="BN28" i="61"/>
  <c r="BV38" i="61"/>
  <c r="BV36" i="61"/>
  <c r="BV39" i="61"/>
  <c r="BV37" i="61"/>
  <c r="BV35" i="61"/>
  <c r="BV34" i="61"/>
  <c r="BV32" i="61"/>
  <c r="BV30" i="61"/>
  <c r="BV33" i="61"/>
  <c r="BV31" i="61"/>
  <c r="BV29" i="61"/>
  <c r="BV28" i="61"/>
  <c r="CD38" i="61"/>
  <c r="CD36" i="61"/>
  <c r="CD39" i="61"/>
  <c r="CD37" i="61"/>
  <c r="CD35" i="61"/>
  <c r="CD34" i="61"/>
  <c r="CD32" i="61"/>
  <c r="CD30" i="61"/>
  <c r="CD33" i="61"/>
  <c r="CD31" i="61"/>
  <c r="CD29" i="61"/>
  <c r="CD28" i="61"/>
  <c r="CL38" i="61"/>
  <c r="CL36" i="61"/>
  <c r="CL39" i="61"/>
  <c r="CL37" i="61"/>
  <c r="CL35" i="61"/>
  <c r="CL34" i="61"/>
  <c r="CL32" i="61"/>
  <c r="CL30" i="61"/>
  <c r="CL33" i="61"/>
  <c r="CL31" i="61"/>
  <c r="CL29" i="61"/>
  <c r="CL28" i="61"/>
  <c r="U27" i="61"/>
  <c r="AQ27" i="61"/>
  <c r="BN27" i="61"/>
  <c r="CG27" i="61"/>
  <c r="O28" i="61"/>
  <c r="AM28" i="61"/>
  <c r="BS28" i="61"/>
  <c r="AX29" i="61"/>
  <c r="CA31" i="61"/>
  <c r="W33" i="61"/>
  <c r="T38" i="61"/>
  <c r="BI39" i="61"/>
  <c r="BI37" i="61"/>
  <c r="BI35" i="61"/>
  <c r="BI38" i="61"/>
  <c r="BI36" i="61"/>
  <c r="BI33" i="61"/>
  <c r="BI31" i="61"/>
  <c r="BI29" i="61"/>
  <c r="BI30" i="61"/>
  <c r="BI32" i="61"/>
  <c r="BI34" i="61"/>
  <c r="BI28" i="61"/>
  <c r="C4" i="62"/>
  <c r="G4" i="62"/>
  <c r="C39" i="61"/>
  <c r="C37" i="61"/>
  <c r="C35" i="61"/>
  <c r="C36" i="61"/>
  <c r="C33" i="61"/>
  <c r="C31" i="61"/>
  <c r="C38" i="61"/>
  <c r="C32" i="61"/>
  <c r="C28" i="61"/>
  <c r="C30" i="61"/>
  <c r="K39" i="61"/>
  <c r="K37" i="61"/>
  <c r="K35" i="61"/>
  <c r="K36" i="61"/>
  <c r="K38" i="61"/>
  <c r="K33" i="61"/>
  <c r="K31" i="61"/>
  <c r="K34" i="61"/>
  <c r="K30" i="61"/>
  <c r="K28" i="61"/>
  <c r="K32" i="61"/>
  <c r="S39" i="61"/>
  <c r="S37" i="61"/>
  <c r="S35" i="61"/>
  <c r="S38" i="61"/>
  <c r="S33" i="61"/>
  <c r="S31" i="61"/>
  <c r="S36" i="61"/>
  <c r="S28" i="61"/>
  <c r="S30" i="61"/>
  <c r="S34" i="61"/>
  <c r="AA39" i="61"/>
  <c r="AA37" i="61"/>
  <c r="AA35" i="61"/>
  <c r="AA33" i="61"/>
  <c r="AA31" i="61"/>
  <c r="AA36" i="61"/>
  <c r="AA38" i="61"/>
  <c r="AA28" i="61"/>
  <c r="AA29" i="61"/>
  <c r="AI39" i="61"/>
  <c r="AI37" i="61"/>
  <c r="AI35" i="61"/>
  <c r="AI36" i="61"/>
  <c r="AI33" i="61"/>
  <c r="AI31" i="61"/>
  <c r="AI38" i="61"/>
  <c r="AI30" i="61"/>
  <c r="AI29" i="61"/>
  <c r="AI32" i="61"/>
  <c r="AI28" i="61"/>
  <c r="AQ39" i="61"/>
  <c r="AQ37" i="61"/>
  <c r="AQ35" i="61"/>
  <c r="AQ36" i="61"/>
  <c r="AQ38" i="61"/>
  <c r="AQ33" i="61"/>
  <c r="AQ31" i="61"/>
  <c r="AQ34" i="61"/>
  <c r="AQ28" i="61"/>
  <c r="AQ29" i="61"/>
  <c r="AQ32" i="61"/>
  <c r="AY39" i="61"/>
  <c r="AY37" i="61"/>
  <c r="AY35" i="61"/>
  <c r="AY38" i="61"/>
  <c r="AY33" i="61"/>
  <c r="AY31" i="61"/>
  <c r="AY29" i="61"/>
  <c r="AY36" i="61"/>
  <c r="AY28" i="61"/>
  <c r="AY34" i="61"/>
  <c r="BG39" i="61"/>
  <c r="BG37" i="61"/>
  <c r="BG35" i="61"/>
  <c r="BG33" i="61"/>
  <c r="BG31" i="61"/>
  <c r="BG29" i="61"/>
  <c r="BG36" i="61"/>
  <c r="BG38" i="61"/>
  <c r="BG30" i="61"/>
  <c r="BG28" i="61"/>
  <c r="BO39" i="61"/>
  <c r="BO37" i="61"/>
  <c r="BO35" i="61"/>
  <c r="BO36" i="61"/>
  <c r="BO33" i="61"/>
  <c r="BO31" i="61"/>
  <c r="BO29" i="61"/>
  <c r="BO38" i="61"/>
  <c r="BO32" i="61"/>
  <c r="BO28" i="61"/>
  <c r="BO30" i="61"/>
  <c r="BW39" i="61"/>
  <c r="BW37" i="61"/>
  <c r="BW35" i="61"/>
  <c r="BW36" i="61"/>
  <c r="BW38" i="61"/>
  <c r="BW33" i="61"/>
  <c r="BW31" i="61"/>
  <c r="BW29" i="61"/>
  <c r="BW34" i="61"/>
  <c r="BW28" i="61"/>
  <c r="BW32" i="61"/>
  <c r="CE39" i="61"/>
  <c r="CE37" i="61"/>
  <c r="CE35" i="61"/>
  <c r="CE38" i="61"/>
  <c r="CE33" i="61"/>
  <c r="CE31" i="61"/>
  <c r="CE29" i="61"/>
  <c r="CE36" i="61"/>
  <c r="CE28" i="61"/>
  <c r="CE34" i="61"/>
  <c r="CM39" i="61"/>
  <c r="CM37" i="61"/>
  <c r="CM35" i="61"/>
  <c r="CM33" i="61"/>
  <c r="CM31" i="61"/>
  <c r="CM29" i="61"/>
  <c r="CM36" i="61"/>
  <c r="CM38" i="61"/>
  <c r="CM30" i="61"/>
  <c r="CM28" i="61"/>
  <c r="Z27" i="61"/>
  <c r="BO27" i="61"/>
  <c r="CL27" i="61"/>
  <c r="Q28" i="61"/>
  <c r="AO28" i="61"/>
  <c r="BU28" i="61"/>
  <c r="M29" i="61"/>
  <c r="BC29" i="61"/>
  <c r="AY30" i="61"/>
  <c r="CI31" i="61"/>
  <c r="AE33" i="61"/>
  <c r="BO34" i="61"/>
  <c r="AS39" i="61"/>
  <c r="AS37" i="61"/>
  <c r="AS35" i="61"/>
  <c r="AS38" i="61"/>
  <c r="AS36" i="61"/>
  <c r="AS33" i="61"/>
  <c r="AS31" i="61"/>
  <c r="AS29" i="61"/>
  <c r="AS34" i="61"/>
  <c r="AS30" i="61"/>
  <c r="AS32" i="61"/>
  <c r="AS28" i="61"/>
  <c r="G3" i="62"/>
  <c r="C3" i="62"/>
  <c r="G7" i="62"/>
  <c r="C7" i="62"/>
  <c r="G11" i="62"/>
  <c r="C11" i="62"/>
  <c r="D39" i="61"/>
  <c r="D37" i="61"/>
  <c r="D36" i="61"/>
  <c r="D33" i="61"/>
  <c r="D31" i="61"/>
  <c r="D38" i="61"/>
  <c r="D35" i="61"/>
  <c r="D34" i="61"/>
  <c r="D32" i="61"/>
  <c r="D30" i="61"/>
  <c r="D28" i="61"/>
  <c r="D29" i="61"/>
  <c r="D27" i="61"/>
  <c r="L39" i="61"/>
  <c r="L37" i="61"/>
  <c r="L35" i="61"/>
  <c r="L38" i="61"/>
  <c r="L33" i="61"/>
  <c r="L31" i="61"/>
  <c r="L34" i="61"/>
  <c r="L32" i="61"/>
  <c r="L30" i="61"/>
  <c r="L28" i="61"/>
  <c r="L36" i="61"/>
  <c r="L29" i="61"/>
  <c r="L27" i="61"/>
  <c r="T39" i="61"/>
  <c r="T37" i="61"/>
  <c r="T35" i="61"/>
  <c r="T33" i="61"/>
  <c r="T31" i="61"/>
  <c r="T29" i="61"/>
  <c r="T34" i="61"/>
  <c r="T32" i="61"/>
  <c r="T30" i="61"/>
  <c r="T36" i="61"/>
  <c r="T28" i="61"/>
  <c r="T27" i="61"/>
  <c r="AB39" i="61"/>
  <c r="AB37" i="61"/>
  <c r="AB35" i="61"/>
  <c r="AB33" i="61"/>
  <c r="AB31" i="61"/>
  <c r="AB29" i="61"/>
  <c r="AB36" i="61"/>
  <c r="AB34" i="61"/>
  <c r="AB32" i="61"/>
  <c r="AB30" i="61"/>
  <c r="AB28" i="61"/>
  <c r="AB38" i="61"/>
  <c r="AB27" i="61"/>
  <c r="AJ39" i="61"/>
  <c r="AJ37" i="61"/>
  <c r="AJ35" i="61"/>
  <c r="AJ36" i="61"/>
  <c r="AJ33" i="61"/>
  <c r="AJ31" i="61"/>
  <c r="AJ29" i="61"/>
  <c r="AJ38" i="61"/>
  <c r="AJ34" i="61"/>
  <c r="AJ32" i="61"/>
  <c r="AJ30" i="61"/>
  <c r="AJ28" i="61"/>
  <c r="AJ27" i="61"/>
  <c r="AR39" i="61"/>
  <c r="AR37" i="61"/>
  <c r="AR35" i="61"/>
  <c r="AR38" i="61"/>
  <c r="AR33" i="61"/>
  <c r="AR31" i="61"/>
  <c r="AR29" i="61"/>
  <c r="AR34" i="61"/>
  <c r="AR32" i="61"/>
  <c r="AR30" i="61"/>
  <c r="AR28" i="61"/>
  <c r="AR27" i="61"/>
  <c r="AR36" i="61"/>
  <c r="AZ39" i="61"/>
  <c r="AZ37" i="61"/>
  <c r="AZ35" i="61"/>
  <c r="AZ33" i="61"/>
  <c r="AZ31" i="61"/>
  <c r="AZ29" i="61"/>
  <c r="AZ34" i="61"/>
  <c r="AZ32" i="61"/>
  <c r="AZ30" i="61"/>
  <c r="AZ28" i="61"/>
  <c r="AZ27" i="61"/>
  <c r="AZ36" i="61"/>
  <c r="BH39" i="61"/>
  <c r="BH37" i="61"/>
  <c r="BH35" i="61"/>
  <c r="BH33" i="61"/>
  <c r="BH31" i="61"/>
  <c r="BH29" i="61"/>
  <c r="BH36" i="61"/>
  <c r="BH34" i="61"/>
  <c r="BH32" i="61"/>
  <c r="BH30" i="61"/>
  <c r="BH28" i="61"/>
  <c r="BH38" i="61"/>
  <c r="BH27" i="61"/>
  <c r="BP39" i="61"/>
  <c r="BP37" i="61"/>
  <c r="BP35" i="61"/>
  <c r="BP36" i="61"/>
  <c r="BP33" i="61"/>
  <c r="BP31" i="61"/>
  <c r="BP29" i="61"/>
  <c r="BP38" i="61"/>
  <c r="BP34" i="61"/>
  <c r="BP32" i="61"/>
  <c r="BP30" i="61"/>
  <c r="BP28" i="61"/>
  <c r="BP27" i="61"/>
  <c r="BX39" i="61"/>
  <c r="BX37" i="61"/>
  <c r="BX35" i="61"/>
  <c r="BX38" i="61"/>
  <c r="BX33" i="61"/>
  <c r="BX31" i="61"/>
  <c r="BX29" i="61"/>
  <c r="BX34" i="61"/>
  <c r="BX32" i="61"/>
  <c r="BX30" i="61"/>
  <c r="BX28" i="61"/>
  <c r="BX27" i="61"/>
  <c r="CF39" i="61"/>
  <c r="CF37" i="61"/>
  <c r="CF35" i="61"/>
  <c r="CF33" i="61"/>
  <c r="CF31" i="61"/>
  <c r="CF29" i="61"/>
  <c r="CF34" i="61"/>
  <c r="CF32" i="61"/>
  <c r="CF30" i="61"/>
  <c r="CF28" i="61"/>
  <c r="CF38" i="61"/>
  <c r="CF36" i="61"/>
  <c r="CF27" i="61"/>
  <c r="CN39" i="61"/>
  <c r="CN37" i="61"/>
  <c r="CN35" i="61"/>
  <c r="CN33" i="61"/>
  <c r="CN31" i="61"/>
  <c r="CN29" i="61"/>
  <c r="CN36" i="61"/>
  <c r="CN34" i="61"/>
  <c r="CN32" i="61"/>
  <c r="CN30" i="61"/>
  <c r="CN38" i="61"/>
  <c r="CN28" i="61"/>
  <c r="CN27" i="61"/>
  <c r="AA27" i="61"/>
  <c r="AX27" i="61"/>
  <c r="BQ27" i="61"/>
  <c r="CM27" i="61"/>
  <c r="V28" i="61"/>
  <c r="AU28" i="61"/>
  <c r="CA28" i="61"/>
  <c r="S29" i="61"/>
  <c r="BS29" i="61"/>
  <c r="BW30" i="61"/>
  <c r="S32" i="61"/>
  <c r="BC33" i="61"/>
  <c r="CM34" i="61"/>
  <c r="BD39" i="61"/>
  <c r="M33" i="58" a="1"/>
  <c r="H55" i="94" l="1"/>
  <c r="H27" i="94"/>
  <c r="H31" i="94"/>
  <c r="H28" i="94"/>
  <c r="H29" i="94"/>
  <c r="H32" i="94"/>
  <c r="H30" i="94"/>
  <c r="H26" i="94"/>
  <c r="B40" i="94"/>
  <c r="Q38" i="94" s="1"/>
  <c r="B36" i="94"/>
  <c r="Q36" i="94" s="1"/>
  <c r="B42" i="94"/>
  <c r="Q40" i="94" s="1"/>
  <c r="B37" i="94"/>
  <c r="Q37" i="94" s="1"/>
  <c r="B41" i="94"/>
  <c r="Q39" i="94" s="1"/>
  <c r="G59" i="94"/>
  <c r="G58" i="94"/>
  <c r="L32" i="77"/>
  <c r="M28" i="77"/>
  <c r="J26" i="77"/>
  <c r="L68" i="58"/>
  <c r="F6" i="85"/>
  <c r="G6" i="85"/>
  <c r="I5" i="85"/>
  <c r="C30" i="77"/>
  <c r="B28" i="77"/>
  <c r="E28" i="77"/>
  <c r="E26" i="77"/>
  <c r="B32" i="77"/>
  <c r="D28" i="77"/>
  <c r="D26" i="77"/>
  <c r="B29" i="77"/>
  <c r="E29" i="77"/>
  <c r="C28" i="77"/>
  <c r="D31" i="77"/>
  <c r="C31" i="77"/>
  <c r="B26" i="77"/>
  <c r="E31" i="77"/>
  <c r="D30" i="77"/>
  <c r="D32" i="77"/>
  <c r="C29" i="77"/>
  <c r="C26" i="77"/>
  <c r="C32" i="77"/>
  <c r="E30" i="77"/>
  <c r="C27" i="77"/>
  <c r="E32" i="77"/>
  <c r="D27" i="77"/>
  <c r="D29" i="77"/>
  <c r="E27" i="77"/>
  <c r="B31" i="77"/>
  <c r="B30" i="77"/>
  <c r="B27" i="77"/>
  <c r="L31" i="77"/>
  <c r="L30" i="77"/>
  <c r="N30" i="77" s="1"/>
  <c r="L26" i="77"/>
  <c r="L27" i="77"/>
  <c r="L28" i="77"/>
  <c r="L29" i="77"/>
  <c r="D42" i="78"/>
  <c r="E7" i="85"/>
  <c r="M32" i="77"/>
  <c r="M29" i="77"/>
  <c r="M27" i="77"/>
  <c r="M55" i="77"/>
  <c r="M26" i="77"/>
  <c r="M31" i="77"/>
  <c r="M30" i="77"/>
  <c r="F27" i="77"/>
  <c r="F30" i="77"/>
  <c r="F32" i="77"/>
  <c r="F29" i="77"/>
  <c r="F31" i="77"/>
  <c r="F28" i="77"/>
  <c r="F26" i="77"/>
  <c r="G29" i="77"/>
  <c r="G26" i="77"/>
  <c r="G27" i="77"/>
  <c r="G32" i="77"/>
  <c r="G31" i="77"/>
  <c r="G28" i="77"/>
  <c r="G30" i="77"/>
  <c r="H28" i="77"/>
  <c r="H32" i="77"/>
  <c r="H30" i="77"/>
  <c r="H29" i="77"/>
  <c r="H31" i="77"/>
  <c r="H27" i="77"/>
  <c r="H26" i="77"/>
  <c r="I27" i="77"/>
  <c r="I28" i="77"/>
  <c r="I29" i="77"/>
  <c r="I31" i="77"/>
  <c r="I32" i="77"/>
  <c r="I26" i="77"/>
  <c r="I30" i="77"/>
  <c r="J27" i="77"/>
  <c r="J28" i="77"/>
  <c r="J31" i="77"/>
  <c r="J29" i="77"/>
  <c r="J32" i="77"/>
  <c r="J30" i="77"/>
  <c r="K32" i="77"/>
  <c r="K29" i="77"/>
  <c r="K28" i="77"/>
  <c r="K27" i="77"/>
  <c r="K26" i="77"/>
  <c r="K30" i="77"/>
  <c r="K31" i="77"/>
  <c r="M33" i="58"/>
  <c r="I21" i="94" s="1"/>
  <c r="E15" i="84"/>
  <c r="Q29" i="67"/>
  <c r="K52" i="5"/>
  <c r="J52" i="5"/>
  <c r="B52" i="5"/>
  <c r="I52" i="5"/>
  <c r="M52" i="5"/>
  <c r="L52" i="5"/>
  <c r="H52" i="5"/>
  <c r="N52" i="5"/>
  <c r="G52" i="5"/>
  <c r="F52" i="5"/>
  <c r="Q52" i="5"/>
  <c r="P52" i="5"/>
  <c r="D52" i="5"/>
  <c r="O52" i="5"/>
  <c r="C52" i="5"/>
  <c r="E52" i="5"/>
  <c r="Q25" i="67"/>
  <c r="F35" i="67"/>
  <c r="N25" i="67"/>
  <c r="P26" i="67"/>
  <c r="N29" i="67"/>
  <c r="P29" i="67"/>
  <c r="C39" i="67"/>
  <c r="Q26" i="67"/>
  <c r="G39" i="67"/>
  <c r="R26" i="67"/>
  <c r="S29" i="67"/>
  <c r="R29" i="67"/>
  <c r="N26" i="67"/>
  <c r="D39" i="67"/>
  <c r="G35" i="67"/>
  <c r="P25" i="67"/>
  <c r="E35" i="67"/>
  <c r="R25" i="67"/>
  <c r="CQ29" i="61"/>
  <c r="H4" i="62"/>
  <c r="H5" i="62"/>
  <c r="D5" i="62"/>
  <c r="H10" i="62"/>
  <c r="CQ38" i="61"/>
  <c r="CQ28" i="61"/>
  <c r="D4" i="62"/>
  <c r="H7" i="62"/>
  <c r="CQ31" i="61"/>
  <c r="H6" i="62"/>
  <c r="H9" i="62"/>
  <c r="H11" i="62"/>
  <c r="CQ33" i="61"/>
  <c r="CQ27" i="61"/>
  <c r="CQ39" i="61"/>
  <c r="CQ32" i="61"/>
  <c r="H3" i="62"/>
  <c r="CQ36" i="61"/>
  <c r="H2" i="62"/>
  <c r="D2" i="62"/>
  <c r="I2" i="62" s="1"/>
  <c r="CQ35" i="61"/>
  <c r="CQ34" i="61"/>
  <c r="H8" i="62"/>
  <c r="D3" i="62"/>
  <c r="CQ30" i="61"/>
  <c r="CQ37" i="61"/>
  <c r="N33" i="58" a="1"/>
  <c r="G61" i="94" l="1"/>
  <c r="G62" i="94"/>
  <c r="I30" i="94"/>
  <c r="I55" i="94"/>
  <c r="I27" i="94"/>
  <c r="I31" i="94"/>
  <c r="I28" i="94"/>
  <c r="I26" i="94"/>
  <c r="I33" i="94" s="1"/>
  <c r="I29" i="94"/>
  <c r="I32" i="94"/>
  <c r="H59" i="94"/>
  <c r="H58" i="94"/>
  <c r="N27" i="77"/>
  <c r="M68" i="58"/>
  <c r="F7" i="85"/>
  <c r="G7" i="85"/>
  <c r="I6" i="85"/>
  <c r="P32" i="77"/>
  <c r="P31" i="77"/>
  <c r="R30" i="77"/>
  <c r="L33" i="77"/>
  <c r="P29" i="77"/>
  <c r="G41" i="77"/>
  <c r="G40" i="77"/>
  <c r="G37" i="77"/>
  <c r="G38" i="77"/>
  <c r="G42" i="77"/>
  <c r="E42" i="78"/>
  <c r="F38" i="77"/>
  <c r="D37" i="77"/>
  <c r="D41" i="77"/>
  <c r="B40" i="77"/>
  <c r="Q38" i="77" s="1"/>
  <c r="P26" i="77"/>
  <c r="B38" i="77"/>
  <c r="D36" i="77"/>
  <c r="I34" i="77"/>
  <c r="P28" i="77"/>
  <c r="F36" i="77"/>
  <c r="K33" i="77"/>
  <c r="C36" i="77"/>
  <c r="C37" i="77"/>
  <c r="F37" i="77"/>
  <c r="M59" i="77"/>
  <c r="B59" i="77"/>
  <c r="B62" i="77" s="1"/>
  <c r="B58" i="77"/>
  <c r="B61" i="77" s="1"/>
  <c r="M58" i="77"/>
  <c r="D59" i="77"/>
  <c r="D62" i="77" s="1"/>
  <c r="D58" i="77"/>
  <c r="D61" i="77" s="1"/>
  <c r="C58" i="77"/>
  <c r="C61" i="77" s="1"/>
  <c r="C59" i="77"/>
  <c r="C62" i="77" s="1"/>
  <c r="E58" i="77"/>
  <c r="E61" i="77" s="1"/>
  <c r="E59" i="77"/>
  <c r="E62" i="77" s="1"/>
  <c r="F58" i="77"/>
  <c r="F61" i="77" s="1"/>
  <c r="F59" i="77"/>
  <c r="F62" i="77" s="1"/>
  <c r="G58" i="77"/>
  <c r="G61" i="77" s="1"/>
  <c r="G59" i="77"/>
  <c r="G62" i="77" s="1"/>
  <c r="H58" i="77"/>
  <c r="H59" i="77"/>
  <c r="I59" i="77"/>
  <c r="I62" i="77" s="1"/>
  <c r="I58" i="77"/>
  <c r="I61" i="77" s="1"/>
  <c r="J59" i="77"/>
  <c r="J62" i="77" s="1"/>
  <c r="J58" i="77"/>
  <c r="J61" i="77" s="1"/>
  <c r="K59" i="77"/>
  <c r="K62" i="77" s="1"/>
  <c r="K58" i="77"/>
  <c r="K61" i="77" s="1"/>
  <c r="R28" i="77"/>
  <c r="D40" i="77"/>
  <c r="L34" i="77"/>
  <c r="J34" i="77"/>
  <c r="B42" i="77"/>
  <c r="Q40" i="77" s="1"/>
  <c r="S29" i="77"/>
  <c r="Q29" i="77"/>
  <c r="R32" i="77"/>
  <c r="P30" i="77"/>
  <c r="S30" i="77"/>
  <c r="M34" i="77"/>
  <c r="Q30" i="77"/>
  <c r="E40" i="77"/>
  <c r="R38" i="77" s="1"/>
  <c r="H40" i="77"/>
  <c r="E8" i="85"/>
  <c r="B37" i="77"/>
  <c r="Q37" i="77" s="1"/>
  <c r="L59" i="77"/>
  <c r="L62" i="77" s="1"/>
  <c r="R31" i="77"/>
  <c r="R27" i="77"/>
  <c r="J33" i="77"/>
  <c r="B36" i="77"/>
  <c r="Q36" i="77" s="1"/>
  <c r="Q26" i="77"/>
  <c r="S26" i="77"/>
  <c r="M33" i="77"/>
  <c r="H36" i="77"/>
  <c r="E36" i="77"/>
  <c r="R36" i="77" s="1"/>
  <c r="D42" i="77"/>
  <c r="L58" i="77"/>
  <c r="L61" i="77" s="1"/>
  <c r="C40" i="77"/>
  <c r="K34" i="77"/>
  <c r="F40" i="77"/>
  <c r="C42" i="77"/>
  <c r="F42" i="77"/>
  <c r="E37" i="77"/>
  <c r="R37" i="77" s="1"/>
  <c r="S27" i="77"/>
  <c r="H37" i="77"/>
  <c r="Q27" i="77"/>
  <c r="I33" i="77"/>
  <c r="S32" i="77"/>
  <c r="H42" i="77"/>
  <c r="E42" i="77"/>
  <c r="R40" i="77" s="1"/>
  <c r="Q32" i="77"/>
  <c r="R29" i="77"/>
  <c r="G36" i="77"/>
  <c r="E41" i="77"/>
  <c r="R39" i="77" s="1"/>
  <c r="H41" i="77"/>
  <c r="S31" i="77"/>
  <c r="Q31" i="77"/>
  <c r="B41" i="77"/>
  <c r="Q39" i="77" s="1"/>
  <c r="P27" i="77"/>
  <c r="C41" i="77"/>
  <c r="F41" i="77"/>
  <c r="H38" i="77"/>
  <c r="S28" i="77"/>
  <c r="Q28" i="77"/>
  <c r="R26" i="77"/>
  <c r="N33" i="58"/>
  <c r="J21" i="94" s="1"/>
  <c r="O15" i="84"/>
  <c r="E16" i="84"/>
  <c r="E3" i="84"/>
  <c r="E4" i="84"/>
  <c r="E5" i="84"/>
  <c r="E6" i="84"/>
  <c r="E7" i="84"/>
  <c r="E8" i="84"/>
  <c r="E9" i="84"/>
  <c r="E10" i="84"/>
  <c r="E11" i="84"/>
  <c r="E12" i="84"/>
  <c r="E13" i="84"/>
  <c r="E14" i="84"/>
  <c r="CQ41" i="61"/>
  <c r="D8" i="62"/>
  <c r="I8" i="62" s="1"/>
  <c r="D11" i="62"/>
  <c r="I11" i="62" s="1"/>
  <c r="D7" i="62"/>
  <c r="I7" i="62" s="1"/>
  <c r="I3" i="62"/>
  <c r="I4" i="62"/>
  <c r="D6" i="62"/>
  <c r="I6" i="62" s="1"/>
  <c r="D10" i="62"/>
  <c r="I10" i="62" s="1"/>
  <c r="I5" i="62"/>
  <c r="D9" i="62"/>
  <c r="I9" i="62" s="1"/>
  <c r="O33" i="58" a="1"/>
  <c r="I34" i="94" l="1"/>
  <c r="N58" i="94"/>
  <c r="H61" i="94"/>
  <c r="N59" i="94"/>
  <c r="H62" i="94"/>
  <c r="J30" i="94"/>
  <c r="J55" i="94"/>
  <c r="J27" i="94"/>
  <c r="J31" i="94"/>
  <c r="J29" i="94"/>
  <c r="J32" i="94"/>
  <c r="J28" i="94"/>
  <c r="J26" i="94"/>
  <c r="I59" i="94"/>
  <c r="I58" i="94"/>
  <c r="N68" i="58"/>
  <c r="I7" i="85"/>
  <c r="F8" i="85"/>
  <c r="G8" i="85"/>
  <c r="F42" i="78"/>
  <c r="E9" i="85"/>
  <c r="H62" i="77"/>
  <c r="N59" i="77"/>
  <c r="N58" i="77"/>
  <c r="H61" i="77"/>
  <c r="M62" i="77"/>
  <c r="O59" i="77"/>
  <c r="M61" i="77"/>
  <c r="O58" i="77"/>
  <c r="O33" i="58"/>
  <c r="K21" i="94" s="1"/>
  <c r="O14" i="84"/>
  <c r="O13" i="84"/>
  <c r="O12" i="84"/>
  <c r="O11" i="84"/>
  <c r="O10" i="84"/>
  <c r="O9" i="84"/>
  <c r="O8" i="84"/>
  <c r="O7" i="84"/>
  <c r="O6" i="84"/>
  <c r="O5" i="84"/>
  <c r="O4" i="84"/>
  <c r="O3" i="84"/>
  <c r="O2" i="84"/>
  <c r="O16" i="84"/>
  <c r="E17" i="84"/>
  <c r="O61" i="58"/>
  <c r="N61" i="58"/>
  <c r="M60" i="58"/>
  <c r="M61" i="58" s="1"/>
  <c r="L60" i="58"/>
  <c r="L61" i="58" s="1"/>
  <c r="X17" i="58"/>
  <c r="W17" i="58"/>
  <c r="V17" i="58"/>
  <c r="U17" i="58"/>
  <c r="O16" i="58"/>
  <c r="N16" i="58"/>
  <c r="J12" i="81" s="1"/>
  <c r="J28" i="81" s="1"/>
  <c r="I12" i="81"/>
  <c r="I28" i="81" s="1"/>
  <c r="K16" i="58"/>
  <c r="G12" i="81" s="1"/>
  <c r="G28" i="81" s="1"/>
  <c r="J16" i="58"/>
  <c r="F12" i="81" s="1"/>
  <c r="F28" i="81" s="1"/>
  <c r="I16" i="58"/>
  <c r="E12" i="81" s="1"/>
  <c r="E28" i="81" s="1"/>
  <c r="H16" i="58"/>
  <c r="D12" i="81" s="1"/>
  <c r="D28" i="81" s="1"/>
  <c r="G16" i="58"/>
  <c r="C12" i="81" s="1"/>
  <c r="C28" i="81" s="1"/>
  <c r="K11" i="81"/>
  <c r="J11" i="81"/>
  <c r="I11" i="81"/>
  <c r="G11" i="81"/>
  <c r="X12" i="58"/>
  <c r="W12" i="58"/>
  <c r="V12" i="58"/>
  <c r="U12" i="58"/>
  <c r="X9" i="58"/>
  <c r="W9" i="58"/>
  <c r="V9" i="58"/>
  <c r="I26" i="78"/>
  <c r="W26" i="78" s="1"/>
  <c r="N23" i="56"/>
  <c r="N24" i="56"/>
  <c r="N25" i="56"/>
  <c r="N26" i="56"/>
  <c r="N28" i="56"/>
  <c r="N29" i="56"/>
  <c r="L24" i="56"/>
  <c r="P33" i="58" a="1"/>
  <c r="K28" i="94" l="1"/>
  <c r="F38" i="94" s="1"/>
  <c r="K30" i="94"/>
  <c r="K27" i="94"/>
  <c r="K26" i="94"/>
  <c r="K31" i="94"/>
  <c r="K29" i="94"/>
  <c r="K55" i="94"/>
  <c r="K32" i="94"/>
  <c r="J34" i="94"/>
  <c r="I61" i="94"/>
  <c r="I62" i="94"/>
  <c r="J33" i="94"/>
  <c r="J59" i="94"/>
  <c r="J62" i="94" s="1"/>
  <c r="J58" i="94"/>
  <c r="J61" i="94" s="1"/>
  <c r="R31" i="88"/>
  <c r="Q31" i="88"/>
  <c r="B14" i="71"/>
  <c r="O68" i="58"/>
  <c r="E7" i="81"/>
  <c r="E15" i="81" s="1"/>
  <c r="F7" i="81"/>
  <c r="F15" i="81" s="1"/>
  <c r="K12" i="81"/>
  <c r="K28" i="81" s="1"/>
  <c r="E38" i="81" s="1"/>
  <c r="C7" i="81"/>
  <c r="C15" i="81" s="1"/>
  <c r="D7" i="81"/>
  <c r="D23" i="81" s="1"/>
  <c r="I8" i="85"/>
  <c r="G9" i="85"/>
  <c r="F9" i="85"/>
  <c r="H3" i="85"/>
  <c r="H2" i="85"/>
  <c r="H5" i="85"/>
  <c r="G42" i="78"/>
  <c r="P33" i="58"/>
  <c r="L21" i="94" s="1"/>
  <c r="O17" i="84"/>
  <c r="F11" i="81"/>
  <c r="G42" i="81"/>
  <c r="G27" i="81"/>
  <c r="L63" i="58"/>
  <c r="L65" i="58" s="1"/>
  <c r="H11" i="81"/>
  <c r="K42" i="81"/>
  <c r="K27" i="81"/>
  <c r="J27" i="81"/>
  <c r="J42" i="81"/>
  <c r="D26" i="78"/>
  <c r="H7" i="81"/>
  <c r="F26" i="78"/>
  <c r="J7" i="81"/>
  <c r="B11" i="81"/>
  <c r="E11" i="81"/>
  <c r="I27" i="81"/>
  <c r="I42" i="81"/>
  <c r="E26" i="78"/>
  <c r="I7" i="81"/>
  <c r="K7" i="81"/>
  <c r="C11" i="81"/>
  <c r="C26" i="78"/>
  <c r="G7" i="81"/>
  <c r="H26" i="78"/>
  <c r="L7" i="81"/>
  <c r="D11" i="81"/>
  <c r="G26" i="78"/>
  <c r="E31" i="78"/>
  <c r="F31" i="78"/>
  <c r="G31" i="78"/>
  <c r="C31" i="78"/>
  <c r="D31" i="78"/>
  <c r="F63" i="58"/>
  <c r="F65" i="58" s="1"/>
  <c r="B7" i="67"/>
  <c r="G30" i="58"/>
  <c r="C7" i="67"/>
  <c r="H30" i="58"/>
  <c r="D7" i="67"/>
  <c r="I30" i="58"/>
  <c r="E7" i="67"/>
  <c r="F7" i="67"/>
  <c r="J30" i="58"/>
  <c r="G7" i="67"/>
  <c r="K30" i="58"/>
  <c r="L30" i="58"/>
  <c r="H7" i="67"/>
  <c r="I7" i="67"/>
  <c r="N30" i="58"/>
  <c r="J7" i="67"/>
  <c r="K7" i="67"/>
  <c r="C10" i="71"/>
  <c r="U8" i="58"/>
  <c r="L7" i="67"/>
  <c r="D10" i="71"/>
  <c r="M7" i="67"/>
  <c r="B11" i="67"/>
  <c r="C11" i="67"/>
  <c r="D11" i="67"/>
  <c r="E11" i="67"/>
  <c r="F11" i="67"/>
  <c r="K63" i="58"/>
  <c r="K64" i="58" s="1"/>
  <c r="G11" i="67"/>
  <c r="H11" i="67"/>
  <c r="I11" i="67"/>
  <c r="J11" i="67"/>
  <c r="K11" i="67"/>
  <c r="M11" i="67"/>
  <c r="B12" i="67"/>
  <c r="B28" i="67" s="1"/>
  <c r="C12" i="67"/>
  <c r="C28" i="67" s="1"/>
  <c r="D12" i="67"/>
  <c r="D28" i="67" s="1"/>
  <c r="E12" i="67"/>
  <c r="E28" i="67" s="1"/>
  <c r="F12" i="67"/>
  <c r="F28" i="67" s="1"/>
  <c r="G12" i="67"/>
  <c r="G28" i="67" s="1"/>
  <c r="H12" i="67"/>
  <c r="H28" i="67" s="1"/>
  <c r="I12" i="67"/>
  <c r="I28" i="67" s="1"/>
  <c r="J12" i="67"/>
  <c r="J28" i="67" s="1"/>
  <c r="K12" i="67"/>
  <c r="K28" i="67" s="1"/>
  <c r="M12" i="67"/>
  <c r="K61" i="58"/>
  <c r="J61" i="58"/>
  <c r="I61" i="58" s="1"/>
  <c r="H61" i="58" s="1"/>
  <c r="G61" i="58" s="1"/>
  <c r="F61" i="58" s="1"/>
  <c r="X8" i="58"/>
  <c r="U10" i="58"/>
  <c r="L11" i="81"/>
  <c r="V10" i="58"/>
  <c r="P16" i="58"/>
  <c r="C14" i="71" s="1"/>
  <c r="W10" i="58"/>
  <c r="O30" i="58"/>
  <c r="D45" i="18" a="1"/>
  <c r="W8" i="58"/>
  <c r="M63" i="58"/>
  <c r="X10" i="58"/>
  <c r="N63" i="58"/>
  <c r="G63" i="58"/>
  <c r="H63" i="58"/>
  <c r="M30" i="58"/>
  <c r="O63" i="58"/>
  <c r="I63" i="58"/>
  <c r="J63" i="58"/>
  <c r="V8" i="58"/>
  <c r="N12" i="56"/>
  <c r="N7" i="56"/>
  <c r="L9" i="56" s="1"/>
  <c r="G43" i="56"/>
  <c r="F44" i="56" s="1"/>
  <c r="E44" i="56" s="1"/>
  <c r="D44" i="56" s="1"/>
  <c r="H43" i="56"/>
  <c r="H44" i="56" s="1"/>
  <c r="I43" i="56"/>
  <c r="I44" i="56" s="1"/>
  <c r="J43" i="56"/>
  <c r="J44" i="56" s="1"/>
  <c r="G44" i="56"/>
  <c r="K44" i="56"/>
  <c r="L44" i="56"/>
  <c r="M44" i="56"/>
  <c r="B24" i="56"/>
  <c r="C24" i="56"/>
  <c r="D24" i="56"/>
  <c r="E24" i="56"/>
  <c r="F24" i="56"/>
  <c r="G24" i="56"/>
  <c r="H24" i="56"/>
  <c r="I24" i="56"/>
  <c r="J24" i="56"/>
  <c r="K24" i="56"/>
  <c r="E34" i="56" s="1"/>
  <c r="C34" i="56"/>
  <c r="M24" i="56"/>
  <c r="B25" i="56"/>
  <c r="C25" i="56"/>
  <c r="D25" i="56"/>
  <c r="E25" i="56"/>
  <c r="F25" i="56"/>
  <c r="G25" i="56"/>
  <c r="H25" i="56"/>
  <c r="I25" i="56"/>
  <c r="J25" i="56"/>
  <c r="K25" i="56"/>
  <c r="M25" i="56"/>
  <c r="B26" i="56"/>
  <c r="C26" i="56"/>
  <c r="D26" i="56"/>
  <c r="E26" i="56"/>
  <c r="F26" i="56"/>
  <c r="G26" i="56"/>
  <c r="H26" i="56"/>
  <c r="I26" i="56"/>
  <c r="J26" i="56"/>
  <c r="K26" i="56"/>
  <c r="L26" i="56"/>
  <c r="Q26" i="56" s="1"/>
  <c r="M26" i="56"/>
  <c r="S26" i="56" s="1"/>
  <c r="B29" i="56"/>
  <c r="C29" i="56"/>
  <c r="D29" i="56"/>
  <c r="E29" i="56"/>
  <c r="F29" i="56"/>
  <c r="G29" i="56"/>
  <c r="H29" i="56"/>
  <c r="I29" i="56"/>
  <c r="J29" i="56"/>
  <c r="K29" i="56"/>
  <c r="B39" i="56" s="1"/>
  <c r="L29" i="56"/>
  <c r="F39" i="56" s="1"/>
  <c r="M29" i="56"/>
  <c r="P30" i="56"/>
  <c r="R30" i="56"/>
  <c r="B34" i="56"/>
  <c r="D39" i="56"/>
  <c r="E39" i="56"/>
  <c r="B7" i="56"/>
  <c r="B23" i="56" s="1"/>
  <c r="C7" i="56"/>
  <c r="C23" i="56" s="1"/>
  <c r="D7" i="56"/>
  <c r="D15" i="56" s="1"/>
  <c r="E7" i="56"/>
  <c r="E23" i="56" s="1"/>
  <c r="F7" i="56"/>
  <c r="F23" i="56" s="1"/>
  <c r="G7" i="56"/>
  <c r="G15" i="56" s="1"/>
  <c r="H7" i="56"/>
  <c r="H23" i="56" s="1"/>
  <c r="I7" i="56"/>
  <c r="I23" i="56" s="1"/>
  <c r="J7" i="56"/>
  <c r="J23" i="56" s="1"/>
  <c r="K7" i="56"/>
  <c r="K23" i="56" s="1"/>
  <c r="L7" i="56"/>
  <c r="M7" i="56"/>
  <c r="M23" i="56" s="1"/>
  <c r="P8" i="56"/>
  <c r="Q8" i="56"/>
  <c r="R8" i="56"/>
  <c r="S8" i="56"/>
  <c r="P10" i="56"/>
  <c r="Q10" i="56"/>
  <c r="R10" i="56"/>
  <c r="S10" i="56"/>
  <c r="B11" i="56"/>
  <c r="B42" i="56" s="1"/>
  <c r="C11" i="56"/>
  <c r="C27" i="56" s="1"/>
  <c r="D11" i="56"/>
  <c r="D27" i="56" s="1"/>
  <c r="E11" i="56"/>
  <c r="E27" i="56" s="1"/>
  <c r="F11" i="56"/>
  <c r="F42" i="56" s="1"/>
  <c r="G11" i="56"/>
  <c r="G42" i="56" s="1"/>
  <c r="H11" i="56"/>
  <c r="H42" i="56" s="1"/>
  <c r="I11" i="56"/>
  <c r="I42" i="56" s="1"/>
  <c r="J11" i="56"/>
  <c r="J42" i="56" s="1"/>
  <c r="K11" i="56"/>
  <c r="K42" i="56" s="1"/>
  <c r="M11" i="56"/>
  <c r="M27" i="56" s="1"/>
  <c r="B12" i="56"/>
  <c r="B28" i="56" s="1"/>
  <c r="C12" i="56"/>
  <c r="C28" i="56" s="1"/>
  <c r="D12" i="56"/>
  <c r="D28" i="56" s="1"/>
  <c r="E12" i="56"/>
  <c r="E28" i="56" s="1"/>
  <c r="F12" i="56"/>
  <c r="F28" i="56" s="1"/>
  <c r="G12" i="56"/>
  <c r="G28" i="56" s="1"/>
  <c r="H12" i="56"/>
  <c r="H28" i="56" s="1"/>
  <c r="I12" i="56"/>
  <c r="I28" i="56" s="1"/>
  <c r="J12" i="56"/>
  <c r="J28" i="56" s="1"/>
  <c r="K12" i="56"/>
  <c r="K28" i="56" s="1"/>
  <c r="M12" i="56"/>
  <c r="M28" i="56" s="1"/>
  <c r="P13" i="56"/>
  <c r="Q13" i="56"/>
  <c r="R13" i="56"/>
  <c r="S13" i="56"/>
  <c r="Y75" i="12"/>
  <c r="AO75" i="12"/>
  <c r="BP74" i="12"/>
  <c r="BP75" i="12"/>
  <c r="M11" i="62" a="1"/>
  <c r="C42" i="94" l="1"/>
  <c r="F42" i="94"/>
  <c r="F41" i="94"/>
  <c r="C41" i="94"/>
  <c r="K58" i="94"/>
  <c r="K61" i="94" s="1"/>
  <c r="K59" i="94"/>
  <c r="K62" i="94" s="1"/>
  <c r="L31" i="94"/>
  <c r="L26" i="94"/>
  <c r="L28" i="94"/>
  <c r="L55" i="94"/>
  <c r="L27" i="94"/>
  <c r="L29" i="94"/>
  <c r="L32" i="94"/>
  <c r="L30" i="94"/>
  <c r="F36" i="94"/>
  <c r="K33" i="94"/>
  <c r="C36" i="94"/>
  <c r="C37" i="94"/>
  <c r="F37" i="94"/>
  <c r="K34" i="94"/>
  <c r="C40" i="94"/>
  <c r="F40" i="94"/>
  <c r="M11" i="62"/>
  <c r="P42" i="58"/>
  <c r="P38" i="58"/>
  <c r="D25" i="88"/>
  <c r="P5" i="88" s="1"/>
  <c r="W5" i="88" s="1"/>
  <c r="P39" i="58"/>
  <c r="I9" i="85"/>
  <c r="H9" i="85"/>
  <c r="H42" i="78"/>
  <c r="E23" i="81"/>
  <c r="C23" i="81"/>
  <c r="F23" i="81"/>
  <c r="D15" i="81"/>
  <c r="B38" i="81"/>
  <c r="L64" i="58"/>
  <c r="L12" i="81"/>
  <c r="S12" i="81" s="1"/>
  <c r="H8" i="85"/>
  <c r="H6" i="85"/>
  <c r="H7" i="85"/>
  <c r="H4" i="85"/>
  <c r="P68" i="58"/>
  <c r="O18" i="84"/>
  <c r="C42" i="81"/>
  <c r="C27" i="81"/>
  <c r="H42" i="81"/>
  <c r="H27" i="81"/>
  <c r="B37" i="81" s="1"/>
  <c r="J23" i="81"/>
  <c r="J15" i="81"/>
  <c r="K23" i="81"/>
  <c r="K15" i="81"/>
  <c r="H23" i="81"/>
  <c r="H15" i="81"/>
  <c r="I23" i="81"/>
  <c r="I15" i="81"/>
  <c r="J45" i="81"/>
  <c r="J54" i="81" s="1"/>
  <c r="J46" i="81"/>
  <c r="J55" i="81" s="1"/>
  <c r="R7" i="81"/>
  <c r="L15" i="81"/>
  <c r="O25" i="81"/>
  <c r="P7" i="81"/>
  <c r="Q7" i="81"/>
  <c r="S7" i="81"/>
  <c r="L23" i="81"/>
  <c r="D42" i="81"/>
  <c r="D27" i="81"/>
  <c r="I46" i="81"/>
  <c r="I55" i="81" s="1"/>
  <c r="I45" i="81"/>
  <c r="I54" i="81" s="1"/>
  <c r="G15" i="81"/>
  <c r="G23" i="81"/>
  <c r="E42" i="81"/>
  <c r="E27" i="81"/>
  <c r="G46" i="81"/>
  <c r="G55" i="81" s="1"/>
  <c r="G45" i="81"/>
  <c r="G54" i="81" s="1"/>
  <c r="K45" i="81"/>
  <c r="K54" i="81" s="1"/>
  <c r="K46" i="81"/>
  <c r="K55" i="81" s="1"/>
  <c r="F42" i="81"/>
  <c r="F27" i="81"/>
  <c r="L42" i="81"/>
  <c r="L27" i="81"/>
  <c r="S11" i="81"/>
  <c r="Q11" i="81"/>
  <c r="P11" i="81"/>
  <c r="R11" i="81"/>
  <c r="B27" i="81"/>
  <c r="B42" i="81"/>
  <c r="K26" i="78"/>
  <c r="K47" i="78"/>
  <c r="X16" i="58"/>
  <c r="V15" i="58"/>
  <c r="H31" i="78"/>
  <c r="X15" i="58"/>
  <c r="U15" i="58"/>
  <c r="K65" i="58"/>
  <c r="W16" i="58"/>
  <c r="V16" i="58"/>
  <c r="W15" i="58"/>
  <c r="L12" i="67"/>
  <c r="Q12" i="67" s="1"/>
  <c r="L11" i="67"/>
  <c r="S11" i="67" s="1"/>
  <c r="M28" i="67"/>
  <c r="E38" i="67"/>
  <c r="B38" i="67"/>
  <c r="M27" i="67"/>
  <c r="M42" i="67"/>
  <c r="K42" i="67"/>
  <c r="K46" i="67" s="1"/>
  <c r="K27" i="67"/>
  <c r="J42" i="67"/>
  <c r="J27" i="67"/>
  <c r="I27" i="67"/>
  <c r="I42" i="67"/>
  <c r="H42" i="67"/>
  <c r="H27" i="67"/>
  <c r="G27" i="67"/>
  <c r="G42" i="67"/>
  <c r="F27" i="67"/>
  <c r="F42" i="67"/>
  <c r="E27" i="67"/>
  <c r="E42" i="67"/>
  <c r="D42" i="67"/>
  <c r="D27" i="67"/>
  <c r="C27" i="67"/>
  <c r="C42" i="67"/>
  <c r="B27" i="67"/>
  <c r="B42" i="67"/>
  <c r="Q7" i="67"/>
  <c r="M23" i="67"/>
  <c r="M15" i="67"/>
  <c r="S7" i="67"/>
  <c r="L23" i="67"/>
  <c r="O25" i="67"/>
  <c r="P7" i="67"/>
  <c r="R7" i="67"/>
  <c r="L15" i="67"/>
  <c r="K23" i="67"/>
  <c r="K15" i="67"/>
  <c r="J23" i="67"/>
  <c r="J15" i="67"/>
  <c r="I23" i="67"/>
  <c r="I15" i="67"/>
  <c r="H23" i="67"/>
  <c r="H15" i="67"/>
  <c r="G23" i="67"/>
  <c r="G15" i="67"/>
  <c r="F23" i="67"/>
  <c r="F15" i="67"/>
  <c r="E23" i="67"/>
  <c r="E15" i="67"/>
  <c r="D23" i="67"/>
  <c r="D15" i="67"/>
  <c r="C23" i="67"/>
  <c r="C15" i="67"/>
  <c r="B23" i="67"/>
  <c r="B15" i="67"/>
  <c r="U16" i="58"/>
  <c r="D45" i="18"/>
  <c r="D51" i="18"/>
  <c r="D50" i="18"/>
  <c r="D49" i="18"/>
  <c r="I49" i="18" s="1"/>
  <c r="D48" i="18"/>
  <c r="D47" i="18"/>
  <c r="I47" i="18" s="1"/>
  <c r="D46" i="18"/>
  <c r="J65" i="58"/>
  <c r="J64" i="58"/>
  <c r="H64" i="58"/>
  <c r="H65" i="58"/>
  <c r="G64" i="58"/>
  <c r="G65" i="58"/>
  <c r="I65" i="58"/>
  <c r="I64" i="58"/>
  <c r="N64" i="58"/>
  <c r="N65" i="58"/>
  <c r="M64" i="58"/>
  <c r="M65" i="58"/>
  <c r="F64" i="58"/>
  <c r="O64" i="58"/>
  <c r="O65" i="58"/>
  <c r="L25" i="56"/>
  <c r="G35" i="56" s="1"/>
  <c r="S9" i="56"/>
  <c r="L12" i="56"/>
  <c r="P12" i="56" s="1"/>
  <c r="Q9" i="56"/>
  <c r="P9" i="56"/>
  <c r="R9" i="56"/>
  <c r="L11" i="56"/>
  <c r="P11" i="56" s="1"/>
  <c r="K46" i="56"/>
  <c r="K55" i="56" s="1"/>
  <c r="K45" i="56"/>
  <c r="K54" i="56" s="1"/>
  <c r="H45" i="56"/>
  <c r="H54" i="56" s="1"/>
  <c r="H46" i="56"/>
  <c r="H55" i="56" s="1"/>
  <c r="Q25" i="56"/>
  <c r="P7" i="56"/>
  <c r="E35" i="56"/>
  <c r="S24" i="56"/>
  <c r="G23" i="56"/>
  <c r="C33" i="56" s="1"/>
  <c r="D42" i="56"/>
  <c r="D46" i="56" s="1"/>
  <c r="D55" i="56" s="1"/>
  <c r="K27" i="56"/>
  <c r="D23" i="56"/>
  <c r="C42" i="56"/>
  <c r="C46" i="56" s="1"/>
  <c r="C55" i="56" s="1"/>
  <c r="J27" i="56"/>
  <c r="I15" i="56"/>
  <c r="C39" i="56"/>
  <c r="H27" i="56"/>
  <c r="E37" i="56" s="1"/>
  <c r="H15" i="56"/>
  <c r="M42" i="56"/>
  <c r="D34" i="56"/>
  <c r="L23" i="56"/>
  <c r="G33" i="56" s="1"/>
  <c r="F15" i="56"/>
  <c r="S29" i="56"/>
  <c r="B27" i="56"/>
  <c r="G34" i="56"/>
  <c r="E38" i="56"/>
  <c r="G39" i="56"/>
  <c r="E42" i="56"/>
  <c r="S12" i="56"/>
  <c r="F35" i="56"/>
  <c r="L27" i="56"/>
  <c r="P27" i="56" s="1"/>
  <c r="L42" i="56"/>
  <c r="R12" i="56"/>
  <c r="L28" i="56"/>
  <c r="F38" i="56" s="1"/>
  <c r="Q12" i="56"/>
  <c r="S25" i="56"/>
  <c r="F46" i="56"/>
  <c r="F55" i="56" s="1"/>
  <c r="F45" i="56"/>
  <c r="F54" i="56" s="1"/>
  <c r="G38" i="56"/>
  <c r="Q28" i="56"/>
  <c r="S28" i="56"/>
  <c r="Q23" i="56"/>
  <c r="S23" i="56"/>
  <c r="J45" i="56"/>
  <c r="J54" i="56" s="1"/>
  <c r="J46" i="56"/>
  <c r="J55" i="56" s="1"/>
  <c r="B46" i="56"/>
  <c r="B55" i="56" s="1"/>
  <c r="I46" i="56"/>
  <c r="I55" i="56" s="1"/>
  <c r="I45" i="56"/>
  <c r="I54" i="56" s="1"/>
  <c r="B33" i="56"/>
  <c r="E33" i="56"/>
  <c r="C38" i="56"/>
  <c r="B38" i="56"/>
  <c r="G46" i="56"/>
  <c r="G55" i="56" s="1"/>
  <c r="G45" i="56"/>
  <c r="G54" i="56" s="1"/>
  <c r="D45" i="56"/>
  <c r="D54" i="56" s="1"/>
  <c r="C44" i="56"/>
  <c r="F27" i="56"/>
  <c r="P26" i="56"/>
  <c r="P25" i="56"/>
  <c r="P24" i="56"/>
  <c r="P23" i="56"/>
  <c r="I27" i="56"/>
  <c r="S7" i="56"/>
  <c r="M15" i="56"/>
  <c r="E15" i="56"/>
  <c r="F33" i="56"/>
  <c r="R29" i="56"/>
  <c r="R28" i="56"/>
  <c r="R26" i="56"/>
  <c r="R25" i="56"/>
  <c r="R24" i="56"/>
  <c r="R23" i="56"/>
  <c r="R7" i="56"/>
  <c r="L15" i="56"/>
  <c r="Q29" i="56"/>
  <c r="G27" i="56"/>
  <c r="Q24" i="56"/>
  <c r="Q7" i="56"/>
  <c r="K15" i="56"/>
  <c r="C15" i="56"/>
  <c r="F34" i="56"/>
  <c r="P29" i="56"/>
  <c r="P28" i="56"/>
  <c r="J15" i="56"/>
  <c r="B15" i="56"/>
  <c r="AF8" i="12"/>
  <c r="M12" i="62" a="1"/>
  <c r="M8" i="62" a="1"/>
  <c r="M14" i="62" a="1"/>
  <c r="M10" i="62" a="1"/>
  <c r="M6" i="62" a="1"/>
  <c r="M9" i="62" a="1"/>
  <c r="M7" i="62" a="1"/>
  <c r="M13" i="62" a="1"/>
  <c r="M15" i="62" a="1"/>
  <c r="D37" i="94" l="1"/>
  <c r="R27" i="94"/>
  <c r="P27" i="94"/>
  <c r="G37" i="94"/>
  <c r="S27" i="94"/>
  <c r="Q27" i="94"/>
  <c r="E37" i="94"/>
  <c r="R37" i="94" s="1"/>
  <c r="H37" i="94"/>
  <c r="L58" i="94"/>
  <c r="L61" i="94" s="1"/>
  <c r="L59" i="94"/>
  <c r="L62" i="94" s="1"/>
  <c r="P29" i="94"/>
  <c r="R29" i="94"/>
  <c r="Q29" i="94"/>
  <c r="S29" i="94"/>
  <c r="R28" i="94"/>
  <c r="G38" i="94"/>
  <c r="P28" i="94"/>
  <c r="Q28" i="94"/>
  <c r="S28" i="94"/>
  <c r="H38" i="94"/>
  <c r="R26" i="94"/>
  <c r="G36" i="94"/>
  <c r="P26" i="94"/>
  <c r="L33" i="94"/>
  <c r="D36" i="94"/>
  <c r="M33" i="94"/>
  <c r="S26" i="94"/>
  <c r="Q26" i="94"/>
  <c r="E36" i="94"/>
  <c r="R36" i="94" s="1"/>
  <c r="H36" i="94"/>
  <c r="D41" i="94"/>
  <c r="G41" i="94"/>
  <c r="R31" i="94"/>
  <c r="P31" i="94"/>
  <c r="Q31" i="94"/>
  <c r="S31" i="94"/>
  <c r="H41" i="94"/>
  <c r="E41" i="94"/>
  <c r="R39" i="94" s="1"/>
  <c r="L34" i="94"/>
  <c r="D40" i="94"/>
  <c r="N30" i="94"/>
  <c r="G40" i="94"/>
  <c r="P30" i="94"/>
  <c r="R30" i="94"/>
  <c r="M34" i="94"/>
  <c r="Q30" i="94"/>
  <c r="S30" i="94"/>
  <c r="E40" i="94"/>
  <c r="R38" i="94" s="1"/>
  <c r="H40" i="94"/>
  <c r="P32" i="94"/>
  <c r="R32" i="94"/>
  <c r="D42" i="94"/>
  <c r="G42" i="94"/>
  <c r="S32" i="94"/>
  <c r="Q32" i="94"/>
  <c r="E42" i="94"/>
  <c r="R40" i="94" s="1"/>
  <c r="H42" i="94"/>
  <c r="S42" i="58"/>
  <c r="S49" i="58"/>
  <c r="S50" i="58" s="1"/>
  <c r="R48" i="58"/>
  <c r="R50" i="58"/>
  <c r="R51" i="58" s="1"/>
  <c r="M7" i="62"/>
  <c r="M13" i="62"/>
  <c r="M8" i="62"/>
  <c r="M15" i="62"/>
  <c r="M25" i="62" s="1"/>
  <c r="M10" i="62"/>
  <c r="M6" i="62"/>
  <c r="W6" i="62" s="1"/>
  <c r="AC6" i="62" s="1"/>
  <c r="M14" i="62"/>
  <c r="M9" i="62"/>
  <c r="M12" i="62"/>
  <c r="P20" i="88"/>
  <c r="H46" i="18"/>
  <c r="I45" i="18"/>
  <c r="I48" i="18"/>
  <c r="P3" i="88"/>
  <c r="W3" i="88" s="1"/>
  <c r="D29" i="88"/>
  <c r="H29" i="88" s="1"/>
  <c r="D28" i="88"/>
  <c r="J28" i="88" s="1"/>
  <c r="D30" i="88"/>
  <c r="J30" i="88" s="1"/>
  <c r="P4" i="88"/>
  <c r="W4" i="88" s="1"/>
  <c r="U5" i="88"/>
  <c r="V20" i="88" s="1"/>
  <c r="X58" i="88" s="1"/>
  <c r="P12" i="81"/>
  <c r="R12" i="81"/>
  <c r="I50" i="18"/>
  <c r="I51" i="18"/>
  <c r="K93" i="58"/>
  <c r="O94" i="58"/>
  <c r="K96" i="58"/>
  <c r="O97" i="58"/>
  <c r="K99" i="58"/>
  <c r="P94" i="58"/>
  <c r="L96" i="58"/>
  <c r="P97" i="58"/>
  <c r="L99" i="58"/>
  <c r="M93" i="58"/>
  <c r="Q94" i="58"/>
  <c r="M96" i="58"/>
  <c r="Q97" i="58"/>
  <c r="M99" i="58"/>
  <c r="N93" i="58"/>
  <c r="R94" i="58"/>
  <c r="N96" i="58"/>
  <c r="R97" i="58"/>
  <c r="N99" i="58"/>
  <c r="O93" i="58"/>
  <c r="K95" i="58"/>
  <c r="O96" i="58"/>
  <c r="K98" i="58"/>
  <c r="O99" i="58"/>
  <c r="P93" i="58"/>
  <c r="L95" i="58"/>
  <c r="P96" i="58"/>
  <c r="L98" i="58"/>
  <c r="P99" i="58"/>
  <c r="Q93" i="58"/>
  <c r="M95" i="58"/>
  <c r="Q96" i="58"/>
  <c r="M98" i="58"/>
  <c r="Q99" i="58"/>
  <c r="R93" i="58"/>
  <c r="N95" i="58"/>
  <c r="R96" i="58"/>
  <c r="N98" i="58"/>
  <c r="R99" i="58"/>
  <c r="K94" i="58"/>
  <c r="K97" i="58"/>
  <c r="O98" i="58"/>
  <c r="L94" i="58"/>
  <c r="P95" i="58"/>
  <c r="P98" i="58"/>
  <c r="M94" i="58"/>
  <c r="Q98" i="58"/>
  <c r="N94" i="58"/>
  <c r="N97" i="58"/>
  <c r="L93" i="58"/>
  <c r="O95" i="58"/>
  <c r="L97" i="58"/>
  <c r="Q95" i="58"/>
  <c r="M97" i="58"/>
  <c r="R95" i="58"/>
  <c r="R98" i="58"/>
  <c r="J93" i="58"/>
  <c r="J95" i="58"/>
  <c r="J96" i="58"/>
  <c r="J97" i="58"/>
  <c r="J98" i="58"/>
  <c r="J99" i="58"/>
  <c r="J94" i="58"/>
  <c r="L28" i="81"/>
  <c r="G38" i="81" s="1"/>
  <c r="J45" i="58"/>
  <c r="F15" i="72" s="1"/>
  <c r="Q42" i="58"/>
  <c r="F42" i="58"/>
  <c r="G42" i="58"/>
  <c r="H42" i="58"/>
  <c r="I42" i="58"/>
  <c r="J42" i="58"/>
  <c r="K42" i="58"/>
  <c r="L42" i="58"/>
  <c r="M42" i="58"/>
  <c r="N42" i="58"/>
  <c r="O42" i="58"/>
  <c r="S29" i="88" s="1"/>
  <c r="Q12" i="81"/>
  <c r="R40" i="58"/>
  <c r="R39" i="58"/>
  <c r="O38" i="58"/>
  <c r="S27" i="88" s="1"/>
  <c r="I44" i="58"/>
  <c r="E14" i="72" s="1"/>
  <c r="P44" i="58"/>
  <c r="L14" i="72" s="1"/>
  <c r="P43" i="58"/>
  <c r="P40" i="58"/>
  <c r="Q41" i="58"/>
  <c r="R41" i="58"/>
  <c r="B45" i="58"/>
  <c r="Q44" i="58"/>
  <c r="M14" i="72" s="1"/>
  <c r="Q43" i="58"/>
  <c r="D45" i="58"/>
  <c r="Q68" i="58"/>
  <c r="L71" i="58" s="1"/>
  <c r="P41" i="58"/>
  <c r="O40" i="58"/>
  <c r="O43" i="58"/>
  <c r="O41" i="58"/>
  <c r="N45" i="58"/>
  <c r="J15" i="72" s="1"/>
  <c r="M39" i="58"/>
  <c r="M41" i="58"/>
  <c r="M45" i="58"/>
  <c r="I15" i="72" s="1"/>
  <c r="M40" i="58"/>
  <c r="K39" i="58"/>
  <c r="P45" i="58"/>
  <c r="J39" i="58"/>
  <c r="G39" i="58"/>
  <c r="K41" i="58"/>
  <c r="J41" i="58"/>
  <c r="H41" i="58"/>
  <c r="N41" i="58"/>
  <c r="H45" i="58"/>
  <c r="D15" i="72" s="1"/>
  <c r="I41" i="58"/>
  <c r="I45" i="58"/>
  <c r="E15" i="72" s="1"/>
  <c r="L40" i="58"/>
  <c r="O39" i="58"/>
  <c r="L41" i="58"/>
  <c r="L45" i="58"/>
  <c r="H15" i="72" s="1"/>
  <c r="O45" i="58"/>
  <c r="S32" i="88" s="1"/>
  <c r="L39" i="58"/>
  <c r="K40" i="58"/>
  <c r="K45" i="58"/>
  <c r="G15" i="72" s="1"/>
  <c r="N39" i="58"/>
  <c r="H39" i="58"/>
  <c r="F39" i="58"/>
  <c r="J40" i="58"/>
  <c r="N40" i="58"/>
  <c r="F45" i="58"/>
  <c r="B15" i="72" s="1"/>
  <c r="I40" i="58"/>
  <c r="I39" i="58"/>
  <c r="H40" i="58"/>
  <c r="G41" i="58"/>
  <c r="G40" i="58"/>
  <c r="G45" i="58"/>
  <c r="C15" i="72" s="1"/>
  <c r="F44" i="58"/>
  <c r="B14" i="72" s="1"/>
  <c r="F38" i="58"/>
  <c r="F40" i="58"/>
  <c r="F41" i="58"/>
  <c r="E45" i="58"/>
  <c r="I42" i="78"/>
  <c r="G49" i="78" s="1"/>
  <c r="Q45" i="58"/>
  <c r="Q39" i="58"/>
  <c r="C45" i="58"/>
  <c r="Q40" i="58"/>
  <c r="H43" i="58"/>
  <c r="D13" i="72" s="1"/>
  <c r="L43" i="58"/>
  <c r="H13" i="72" s="1"/>
  <c r="G44" i="58"/>
  <c r="C14" i="72" s="1"/>
  <c r="M44" i="58"/>
  <c r="I14" i="72" s="1"/>
  <c r="J38" i="58"/>
  <c r="N38" i="58"/>
  <c r="H44" i="58"/>
  <c r="D14" i="72" s="1"/>
  <c r="N44" i="58"/>
  <c r="J14" i="72" s="1"/>
  <c r="G43" i="58"/>
  <c r="C13" i="72" s="1"/>
  <c r="K38" i="58"/>
  <c r="M43" i="58"/>
  <c r="I13" i="72" s="1"/>
  <c r="G38" i="58"/>
  <c r="O44" i="58"/>
  <c r="I38" i="58"/>
  <c r="F43" i="58"/>
  <c r="B13" i="72" s="1"/>
  <c r="J44" i="58"/>
  <c r="F14" i="72" s="1"/>
  <c r="N43" i="58"/>
  <c r="J13" i="72" s="1"/>
  <c r="J43" i="58"/>
  <c r="F13" i="72" s="1"/>
  <c r="I43" i="58"/>
  <c r="E13" i="72" s="1"/>
  <c r="H38" i="58"/>
  <c r="L38" i="58"/>
  <c r="K44" i="58"/>
  <c r="G14" i="72" s="1"/>
  <c r="K43" i="58"/>
  <c r="M38" i="58"/>
  <c r="L44" i="58"/>
  <c r="H14" i="72" s="1"/>
  <c r="O19" i="84"/>
  <c r="E20" i="84"/>
  <c r="O20" i="84" s="1"/>
  <c r="D37" i="81"/>
  <c r="D45" i="81"/>
  <c r="D54" i="81" s="1"/>
  <c r="D46" i="81"/>
  <c r="D55" i="81" s="1"/>
  <c r="E46" i="81"/>
  <c r="E55" i="81" s="1"/>
  <c r="E45" i="81"/>
  <c r="E54" i="81" s="1"/>
  <c r="R27" i="81"/>
  <c r="P27" i="81"/>
  <c r="S27" i="81"/>
  <c r="N27" i="81"/>
  <c r="Q27" i="81"/>
  <c r="F37" i="81"/>
  <c r="C37" i="81"/>
  <c r="D33" i="81"/>
  <c r="N23" i="81"/>
  <c r="F33" i="81"/>
  <c r="P23" i="81"/>
  <c r="S23" i="81"/>
  <c r="C33" i="81"/>
  <c r="Q23" i="81"/>
  <c r="R23" i="81"/>
  <c r="O23" i="81"/>
  <c r="G33" i="81"/>
  <c r="L45" i="81"/>
  <c r="L54" i="81" s="1"/>
  <c r="M57" i="81" s="1"/>
  <c r="L46" i="81"/>
  <c r="L55" i="81" s="1"/>
  <c r="L58" i="81" s="1"/>
  <c r="F45" i="81"/>
  <c r="F54" i="81" s="1"/>
  <c r="F46" i="81"/>
  <c r="F55" i="81" s="1"/>
  <c r="G37" i="81"/>
  <c r="E33" i="81"/>
  <c r="B33" i="81"/>
  <c r="B46" i="81"/>
  <c r="B55" i="81" s="1"/>
  <c r="B45" i="81"/>
  <c r="B54" i="81" s="1"/>
  <c r="H45" i="81"/>
  <c r="H54" i="81" s="1"/>
  <c r="H46" i="81"/>
  <c r="H55" i="81" s="1"/>
  <c r="E37" i="81"/>
  <c r="C46" i="81"/>
  <c r="C55" i="81" s="1"/>
  <c r="C45" i="81"/>
  <c r="C54" i="81" s="1"/>
  <c r="Q11" i="67"/>
  <c r="S12" i="67"/>
  <c r="E33" i="67"/>
  <c r="B33" i="67"/>
  <c r="P23" i="67"/>
  <c r="R23" i="67"/>
  <c r="C33" i="67"/>
  <c r="F33" i="67"/>
  <c r="Q23" i="67"/>
  <c r="O23" i="67"/>
  <c r="N23" i="67"/>
  <c r="S23" i="67"/>
  <c r="G33" i="67"/>
  <c r="D33" i="67"/>
  <c r="B46" i="67"/>
  <c r="B55" i="67" s="1"/>
  <c r="B45" i="67"/>
  <c r="B54" i="67" s="1"/>
  <c r="C46" i="67"/>
  <c r="C55" i="67" s="1"/>
  <c r="C45" i="67"/>
  <c r="C54" i="67" s="1"/>
  <c r="D46" i="67"/>
  <c r="D55" i="67" s="1"/>
  <c r="D45" i="67"/>
  <c r="D54" i="67" s="1"/>
  <c r="E46" i="67"/>
  <c r="E55" i="67" s="1"/>
  <c r="E45" i="67"/>
  <c r="E54" i="67" s="1"/>
  <c r="F46" i="67"/>
  <c r="F55" i="67" s="1"/>
  <c r="F45" i="67"/>
  <c r="F54" i="67" s="1"/>
  <c r="G45" i="67"/>
  <c r="G54" i="67" s="1"/>
  <c r="G46" i="67"/>
  <c r="G55" i="67" s="1"/>
  <c r="H45" i="67"/>
  <c r="H54" i="67" s="1"/>
  <c r="H46" i="67"/>
  <c r="H55" i="67" s="1"/>
  <c r="I45" i="67"/>
  <c r="I54" i="67" s="1"/>
  <c r="I46" i="67"/>
  <c r="I55" i="67" s="1"/>
  <c r="J45" i="67"/>
  <c r="J54" i="67" s="1"/>
  <c r="J46" i="67"/>
  <c r="J55" i="67" s="1"/>
  <c r="E37" i="67"/>
  <c r="B37" i="67"/>
  <c r="K45" i="67"/>
  <c r="K54" i="67" s="1"/>
  <c r="K55" i="67"/>
  <c r="M46" i="67"/>
  <c r="M55" i="67" s="1"/>
  <c r="M45" i="67"/>
  <c r="M54" i="67" s="1"/>
  <c r="L27" i="67"/>
  <c r="L42" i="67"/>
  <c r="R11" i="67"/>
  <c r="P11" i="67"/>
  <c r="L28" i="67"/>
  <c r="R12" i="67"/>
  <c r="P12" i="67"/>
  <c r="D33" i="56"/>
  <c r="D37" i="56"/>
  <c r="R27" i="56"/>
  <c r="S27" i="56"/>
  <c r="Q11" i="56"/>
  <c r="S11" i="56"/>
  <c r="E45" i="56"/>
  <c r="E54" i="56" s="1"/>
  <c r="E46" i="56"/>
  <c r="E55" i="56" s="1"/>
  <c r="G37" i="56"/>
  <c r="R11" i="56"/>
  <c r="M45" i="56"/>
  <c r="M54" i="56" s="1"/>
  <c r="M46" i="56"/>
  <c r="M55" i="56" s="1"/>
  <c r="D38" i="56"/>
  <c r="L46" i="56"/>
  <c r="L55" i="56" s="1"/>
  <c r="L58" i="56" s="1"/>
  <c r="L45" i="56"/>
  <c r="L54" i="56" s="1"/>
  <c r="Q27" i="56"/>
  <c r="C45" i="56"/>
  <c r="C54" i="56" s="1"/>
  <c r="B44" i="56"/>
  <c r="B45" i="56" s="1"/>
  <c r="B54" i="56" s="1"/>
  <c r="F37" i="56"/>
  <c r="B37" i="56"/>
  <c r="C37" i="56"/>
  <c r="AX61" i="12"/>
  <c r="AX62" i="12"/>
  <c r="AX63" i="12"/>
  <c r="AX64" i="12"/>
  <c r="AX65" i="12"/>
  <c r="AX66" i="12"/>
  <c r="AX67" i="12"/>
  <c r="AX68" i="12"/>
  <c r="AX69" i="12"/>
  <c r="AX70" i="12"/>
  <c r="AX71" i="12"/>
  <c r="AX72" i="12"/>
  <c r="AX73" i="12"/>
  <c r="AX74" i="12"/>
  <c r="AX75" i="12"/>
  <c r="AX76" i="12"/>
  <c r="AX77" i="12"/>
  <c r="AX78" i="12"/>
  <c r="AX79" i="12"/>
  <c r="AX60" i="12"/>
  <c r="AW60" i="12"/>
  <c r="AW42" i="12" s="1"/>
  <c r="AX42" i="12" s="1"/>
  <c r="L58" i="55"/>
  <c r="M57" i="55"/>
  <c r="L57" i="55"/>
  <c r="N12" i="62" a="1"/>
  <c r="O58" i="94" l="1"/>
  <c r="O59" i="94"/>
  <c r="R46" i="58"/>
  <c r="R47" i="58" s="1"/>
  <c r="S47" i="58"/>
  <c r="S48" i="58"/>
  <c r="M22" i="62"/>
  <c r="M26" i="62"/>
  <c r="D62" i="18"/>
  <c r="M23" i="62"/>
  <c r="M24" i="62"/>
  <c r="M28" i="62"/>
  <c r="W18" i="62"/>
  <c r="AC18" i="62" s="1"/>
  <c r="B22" i="74" s="1"/>
  <c r="T20" i="58"/>
  <c r="S38" i="58"/>
  <c r="S38" i="88"/>
  <c r="U58" i="88"/>
  <c r="M35" i="58"/>
  <c r="K46" i="58"/>
  <c r="J46" i="58" s="1"/>
  <c r="S43" i="58"/>
  <c r="L13" i="72"/>
  <c r="M13" i="72"/>
  <c r="G13" i="72"/>
  <c r="X20" i="88"/>
  <c r="Z58" i="88" s="1"/>
  <c r="H28" i="88"/>
  <c r="K50" i="58"/>
  <c r="L51" i="58"/>
  <c r="K49" i="58"/>
  <c r="N12" i="62"/>
  <c r="P71" i="58"/>
  <c r="K14" i="72"/>
  <c r="S31" i="88"/>
  <c r="B23" i="71"/>
  <c r="K13" i="72"/>
  <c r="S30" i="88"/>
  <c r="I11" i="72"/>
  <c r="C11" i="72"/>
  <c r="J11" i="72"/>
  <c r="F11" i="72"/>
  <c r="D11" i="72"/>
  <c r="B20" i="71"/>
  <c r="E11" i="72"/>
  <c r="C22" i="71"/>
  <c r="B22" i="71"/>
  <c r="B21" i="71"/>
  <c r="C21" i="71"/>
  <c r="D21" i="71"/>
  <c r="D22" i="71"/>
  <c r="X19" i="88"/>
  <c r="Z57" i="88" s="1"/>
  <c r="P19" i="88"/>
  <c r="U3" i="88"/>
  <c r="V18" i="88" s="1"/>
  <c r="X56" i="88" s="1"/>
  <c r="P18" i="88"/>
  <c r="U56" i="88" s="1"/>
  <c r="P6" i="88"/>
  <c r="X18" i="88"/>
  <c r="Z56" i="88" s="1"/>
  <c r="U4" i="88"/>
  <c r="V19" i="88" s="1"/>
  <c r="X57" i="88" s="1"/>
  <c r="J29" i="88"/>
  <c r="H30" i="88"/>
  <c r="L11" i="72"/>
  <c r="N28" i="81"/>
  <c r="S28" i="81"/>
  <c r="P28" i="81"/>
  <c r="F38" i="81"/>
  <c r="C38" i="81"/>
  <c r="R28" i="81"/>
  <c r="Q28" i="81"/>
  <c r="D38" i="81"/>
  <c r="T96" i="58"/>
  <c r="B11" i="72"/>
  <c r="M15" i="72"/>
  <c r="T93" i="58"/>
  <c r="T98" i="58"/>
  <c r="T94" i="58"/>
  <c r="T99" i="58"/>
  <c r="U95" i="58"/>
  <c r="V95" i="58"/>
  <c r="U97" i="58"/>
  <c r="V97" i="58"/>
  <c r="V98" i="58"/>
  <c r="U98" i="58"/>
  <c r="T95" i="58"/>
  <c r="U94" i="58"/>
  <c r="V94" i="58"/>
  <c r="U99" i="58"/>
  <c r="V99" i="58"/>
  <c r="U96" i="58"/>
  <c r="V96" i="58"/>
  <c r="T97" i="58"/>
  <c r="V93" i="58"/>
  <c r="U93" i="58"/>
  <c r="C15" i="73"/>
  <c r="C20" i="71"/>
  <c r="X41" i="58"/>
  <c r="H71" i="58"/>
  <c r="V39" i="58"/>
  <c r="V41" i="58"/>
  <c r="N72" i="58"/>
  <c r="M72" i="58"/>
  <c r="O71" i="58"/>
  <c r="Q72" i="58"/>
  <c r="K72" i="58"/>
  <c r="I72" i="58"/>
  <c r="N71" i="58"/>
  <c r="P72" i="58"/>
  <c r="K71" i="58"/>
  <c r="J72" i="58"/>
  <c r="Q71" i="58"/>
  <c r="M71" i="58"/>
  <c r="I71" i="58"/>
  <c r="X44" i="58"/>
  <c r="F71" i="58"/>
  <c r="F72" i="58"/>
  <c r="H72" i="58"/>
  <c r="G71" i="58"/>
  <c r="G72" i="58"/>
  <c r="C18" i="71"/>
  <c r="J71" i="58"/>
  <c r="O72" i="58"/>
  <c r="W39" i="58"/>
  <c r="X43" i="58"/>
  <c r="L72" i="58"/>
  <c r="W41" i="58"/>
  <c r="U41" i="58"/>
  <c r="V43" i="58"/>
  <c r="U43" i="58"/>
  <c r="U39" i="58"/>
  <c r="W43" i="58"/>
  <c r="W40" i="58"/>
  <c r="W44" i="58"/>
  <c r="I55" i="78"/>
  <c r="G48" i="78"/>
  <c r="G54" i="78" s="1"/>
  <c r="F55" i="78"/>
  <c r="C55" i="78"/>
  <c r="G50" i="78"/>
  <c r="G55" i="78"/>
  <c r="C48" i="78"/>
  <c r="E48" i="78"/>
  <c r="E49" i="78"/>
  <c r="F47" i="78"/>
  <c r="F49" i="78"/>
  <c r="H55" i="78"/>
  <c r="D47" i="78"/>
  <c r="H47" i="78"/>
  <c r="E50" i="78"/>
  <c r="I48" i="78"/>
  <c r="F50" i="78"/>
  <c r="R68" i="58"/>
  <c r="V44" i="58"/>
  <c r="X38" i="58"/>
  <c r="V45" i="58"/>
  <c r="C47" i="78"/>
  <c r="F48" i="78"/>
  <c r="I49" i="78"/>
  <c r="M51" i="78" s="1"/>
  <c r="D50" i="78"/>
  <c r="L55" i="58"/>
  <c r="X45" i="58"/>
  <c r="K15" i="72"/>
  <c r="W45" i="58"/>
  <c r="U45" i="58"/>
  <c r="C23" i="71"/>
  <c r="L15" i="72"/>
  <c r="V38" i="58"/>
  <c r="G50" i="58"/>
  <c r="D20" i="71"/>
  <c r="F50" i="58"/>
  <c r="V50" i="58" s="1"/>
  <c r="F55" i="58"/>
  <c r="V53" i="58" s="1"/>
  <c r="H50" i="58"/>
  <c r="I47" i="78"/>
  <c r="D49" i="78"/>
  <c r="U40" i="58"/>
  <c r="I55" i="58"/>
  <c r="W53" i="58" s="1"/>
  <c r="H49" i="78"/>
  <c r="H55" i="58"/>
  <c r="K55" i="58"/>
  <c r="D23" i="71"/>
  <c r="G55" i="58"/>
  <c r="D55" i="78"/>
  <c r="C50" i="78"/>
  <c r="J55" i="58"/>
  <c r="L50" i="58"/>
  <c r="J50" i="58"/>
  <c r="I50" i="58"/>
  <c r="W50" i="58" s="1"/>
  <c r="X39" i="58"/>
  <c r="G47" i="78"/>
  <c r="D48" i="78"/>
  <c r="H50" i="78"/>
  <c r="X40" i="58"/>
  <c r="H48" i="78"/>
  <c r="C49" i="78"/>
  <c r="I50" i="78"/>
  <c r="K51" i="58"/>
  <c r="J51" i="58"/>
  <c r="E47" i="78"/>
  <c r="E55" i="78"/>
  <c r="F51" i="58"/>
  <c r="M11" i="72"/>
  <c r="D18" i="71"/>
  <c r="V40" i="58"/>
  <c r="K53" i="58"/>
  <c r="J42" i="78"/>
  <c r="O28" i="78" s="1"/>
  <c r="R45" i="58"/>
  <c r="H53" i="58"/>
  <c r="U44" i="58"/>
  <c r="H54" i="58"/>
  <c r="J53" i="58"/>
  <c r="L53" i="58"/>
  <c r="I53" i="58"/>
  <c r="W51" i="58" s="1"/>
  <c r="L54" i="58"/>
  <c r="K54" i="58"/>
  <c r="I54" i="58"/>
  <c r="W52" i="58" s="1"/>
  <c r="J54" i="58"/>
  <c r="G54" i="58"/>
  <c r="F53" i="58"/>
  <c r="V51" i="58" s="1"/>
  <c r="F54" i="58"/>
  <c r="V52" i="58" s="1"/>
  <c r="L49" i="58"/>
  <c r="H11" i="72"/>
  <c r="G11" i="72"/>
  <c r="H49" i="58"/>
  <c r="I49" i="58"/>
  <c r="W49" i="58" s="1"/>
  <c r="F49" i="58"/>
  <c r="V49" i="58" s="1"/>
  <c r="G53" i="58"/>
  <c r="G49" i="58"/>
  <c r="U38" i="58"/>
  <c r="W38" i="58"/>
  <c r="K11" i="72"/>
  <c r="B18" i="71"/>
  <c r="J49" i="58"/>
  <c r="E21" i="84"/>
  <c r="O21" i="84" s="1"/>
  <c r="L57" i="81"/>
  <c r="R28" i="67"/>
  <c r="C38" i="67"/>
  <c r="F38" i="67"/>
  <c r="P28" i="67"/>
  <c r="Q28" i="67"/>
  <c r="D38" i="67"/>
  <c r="S28" i="67"/>
  <c r="N28" i="67"/>
  <c r="G38" i="67"/>
  <c r="L46" i="67"/>
  <c r="L55" i="67" s="1"/>
  <c r="L58" i="67" s="1"/>
  <c r="L45" i="67"/>
  <c r="L54" i="67" s="1"/>
  <c r="L57" i="67" s="1"/>
  <c r="F37" i="67"/>
  <c r="R27" i="67"/>
  <c r="P27" i="67"/>
  <c r="C37" i="67"/>
  <c r="G37" i="67"/>
  <c r="S27" i="67"/>
  <c r="N27" i="67"/>
  <c r="Q27" i="67"/>
  <c r="D37" i="67"/>
  <c r="L57" i="56"/>
  <c r="M57" i="56"/>
  <c r="AY42" i="12"/>
  <c r="AY60" i="12"/>
  <c r="AY71" i="12"/>
  <c r="AY67" i="12"/>
  <c r="AW41" i="12"/>
  <c r="AX41" i="12" s="1"/>
  <c r="AY41" i="12" s="1"/>
  <c r="AY61" i="12"/>
  <c r="AY70" i="12"/>
  <c r="AY69" i="12"/>
  <c r="AY68" i="12"/>
  <c r="AY66" i="12"/>
  <c r="AY72" i="12"/>
  <c r="AY64" i="12"/>
  <c r="AY63" i="12"/>
  <c r="AY62" i="12"/>
  <c r="AY65" i="12"/>
  <c r="AW57" i="12"/>
  <c r="AX57" i="12" s="1"/>
  <c r="AY57" i="12" s="1"/>
  <c r="AW49" i="12"/>
  <c r="AX49" i="12" s="1"/>
  <c r="AY49" i="12" s="1"/>
  <c r="AW47" i="12"/>
  <c r="AX47" i="12" s="1"/>
  <c r="AY47" i="12" s="1"/>
  <c r="AW40" i="12"/>
  <c r="AX40" i="12" s="1"/>
  <c r="AY40" i="12" s="1"/>
  <c r="AW55" i="12"/>
  <c r="AX55" i="12" s="1"/>
  <c r="AY55" i="12" s="1"/>
  <c r="AW54" i="12"/>
  <c r="AX54" i="12" s="1"/>
  <c r="AY54" i="12" s="1"/>
  <c r="AW46" i="12"/>
  <c r="AX46" i="12" s="1"/>
  <c r="AY46" i="12" s="1"/>
  <c r="AW52" i="12"/>
  <c r="AX52" i="12" s="1"/>
  <c r="AY52" i="12" s="1"/>
  <c r="AW44" i="12"/>
  <c r="AX44" i="12" s="1"/>
  <c r="AY44" i="12" s="1"/>
  <c r="AW48" i="12"/>
  <c r="AX48" i="12" s="1"/>
  <c r="AY48" i="12" s="1"/>
  <c r="AW45" i="12"/>
  <c r="AX45" i="12" s="1"/>
  <c r="AY45" i="12" s="1"/>
  <c r="AW59" i="12"/>
  <c r="AW51" i="12"/>
  <c r="AX51" i="12" s="1"/>
  <c r="AY51" i="12" s="1"/>
  <c r="AW43" i="12"/>
  <c r="AX43" i="12" s="1"/>
  <c r="AY43" i="12" s="1"/>
  <c r="AW56" i="12"/>
  <c r="AX56" i="12" s="1"/>
  <c r="AY56" i="12" s="1"/>
  <c r="AW53" i="12"/>
  <c r="AX53" i="12" s="1"/>
  <c r="AY53" i="12" s="1"/>
  <c r="AW58" i="12"/>
  <c r="AX58" i="12" s="1"/>
  <c r="AY58" i="12" s="1"/>
  <c r="AW50" i="12"/>
  <c r="AX50" i="12" s="1"/>
  <c r="AY50" i="12" s="1"/>
  <c r="Q60" i="1"/>
  <c r="B7" i="55"/>
  <c r="C7" i="55"/>
  <c r="C15" i="55" s="1"/>
  <c r="D7" i="55"/>
  <c r="D15" i="55" s="1"/>
  <c r="E7" i="55"/>
  <c r="F7" i="55"/>
  <c r="F15" i="55" s="1"/>
  <c r="M28" i="55"/>
  <c r="M12" i="55"/>
  <c r="Q23" i="55"/>
  <c r="Q7" i="55"/>
  <c r="P7" i="55"/>
  <c r="P30" i="55"/>
  <c r="R30" i="55"/>
  <c r="B23" i="55"/>
  <c r="C23" i="55"/>
  <c r="D23" i="55"/>
  <c r="E23" i="55"/>
  <c r="B24" i="55"/>
  <c r="C24" i="55"/>
  <c r="D24" i="55"/>
  <c r="E24" i="55"/>
  <c r="F24" i="55"/>
  <c r="B25" i="55"/>
  <c r="C25" i="55"/>
  <c r="D25" i="55"/>
  <c r="E25" i="55"/>
  <c r="F25" i="55"/>
  <c r="B26" i="55"/>
  <c r="C26" i="55"/>
  <c r="D26" i="55"/>
  <c r="E26" i="55"/>
  <c r="F26" i="55"/>
  <c r="B28" i="55"/>
  <c r="B29" i="55"/>
  <c r="C29" i="55"/>
  <c r="D29" i="55"/>
  <c r="E29" i="55"/>
  <c r="F29" i="55"/>
  <c r="B12" i="55"/>
  <c r="C12" i="55"/>
  <c r="C28" i="55" s="1"/>
  <c r="D12" i="55"/>
  <c r="D28" i="55" s="1"/>
  <c r="E12" i="55"/>
  <c r="E28" i="55" s="1"/>
  <c r="F12" i="55"/>
  <c r="F28" i="55" s="1"/>
  <c r="B11" i="55"/>
  <c r="B27" i="55" s="1"/>
  <c r="C11" i="55"/>
  <c r="C27" i="55" s="1"/>
  <c r="D11" i="55"/>
  <c r="D27" i="55" s="1"/>
  <c r="E11" i="55"/>
  <c r="E27" i="55" s="1"/>
  <c r="F11" i="55"/>
  <c r="F42" i="55" s="1"/>
  <c r="B15" i="55"/>
  <c r="E15" i="55"/>
  <c r="P8" i="55"/>
  <c r="Q8" i="55"/>
  <c r="R8" i="55"/>
  <c r="S8" i="55"/>
  <c r="P9" i="55"/>
  <c r="Q9" i="55"/>
  <c r="R9" i="55"/>
  <c r="S9" i="55"/>
  <c r="P10" i="55"/>
  <c r="Q10" i="55"/>
  <c r="R10" i="55"/>
  <c r="S10" i="55"/>
  <c r="P13" i="55"/>
  <c r="Q13" i="55"/>
  <c r="R13" i="55"/>
  <c r="S13" i="55"/>
  <c r="N13" i="62" a="1"/>
  <c r="N17" i="62" a="1"/>
  <c r="N10" i="62" a="1"/>
  <c r="N9" i="62" a="1"/>
  <c r="N7" i="62" a="1"/>
  <c r="N11" i="62" a="1"/>
  <c r="N16" i="62" a="1"/>
  <c r="N14" i="62" a="1"/>
  <c r="N15" i="62" a="1"/>
  <c r="N8" i="62" a="1"/>
  <c r="N6" i="62" a="1"/>
  <c r="U20" i="58" l="1"/>
  <c r="R19" i="58"/>
  <c r="S36" i="88"/>
  <c r="U57" i="88"/>
  <c r="W6" i="88"/>
  <c r="X21" i="88" s="1"/>
  <c r="Z59" i="88" s="1"/>
  <c r="U6" i="88"/>
  <c r="V21" i="88" s="1"/>
  <c r="X59" i="88" s="1"/>
  <c r="N14" i="62"/>
  <c r="N7" i="62"/>
  <c r="N15" i="62"/>
  <c r="N9" i="62"/>
  <c r="N13" i="62"/>
  <c r="N17" i="62"/>
  <c r="N8" i="62"/>
  <c r="N16" i="62"/>
  <c r="N10" i="62"/>
  <c r="N11" i="62"/>
  <c r="N6" i="62"/>
  <c r="Q6" i="62" s="1"/>
  <c r="R71" i="58"/>
  <c r="R72" i="58"/>
  <c r="S35" i="88"/>
  <c r="S37" i="88"/>
  <c r="P21" i="88"/>
  <c r="N15" i="72"/>
  <c r="E18" i="71"/>
  <c r="E20" i="71"/>
  <c r="G51" i="78"/>
  <c r="E54" i="78"/>
  <c r="G52" i="78"/>
  <c r="E51" i="78"/>
  <c r="D54" i="78"/>
  <c r="C51" i="78"/>
  <c r="C54" i="78"/>
  <c r="D51" i="78"/>
  <c r="E52" i="78"/>
  <c r="F54" i="78"/>
  <c r="F51" i="78"/>
  <c r="F52" i="78"/>
  <c r="I54" i="78"/>
  <c r="I52" i="78"/>
  <c r="M52" i="78" s="1"/>
  <c r="M31" i="78" s="1"/>
  <c r="D52" i="78"/>
  <c r="C52" i="78"/>
  <c r="H51" i="78"/>
  <c r="H54" i="78"/>
  <c r="H52" i="78"/>
  <c r="I51" i="78"/>
  <c r="N11" i="72"/>
  <c r="O31" i="78"/>
  <c r="O26" i="78"/>
  <c r="O27" i="78"/>
  <c r="O30" i="78"/>
  <c r="M33" i="78"/>
  <c r="O33" i="78"/>
  <c r="E23" i="71"/>
  <c r="J50" i="78"/>
  <c r="J48" i="78"/>
  <c r="J55" i="78"/>
  <c r="J49" i="78"/>
  <c r="J47" i="78"/>
  <c r="E23" i="84"/>
  <c r="O23" i="84" s="1"/>
  <c r="E22" i="84"/>
  <c r="O22" i="84" s="1"/>
  <c r="M48" i="78"/>
  <c r="M30" i="78"/>
  <c r="W10" i="62"/>
  <c r="AC10" i="62" s="1"/>
  <c r="B14" i="74" s="1"/>
  <c r="M57" i="67"/>
  <c r="H45" i="18"/>
  <c r="H43" i="18"/>
  <c r="H44" i="18"/>
  <c r="I46" i="18"/>
  <c r="D61" i="18" s="1"/>
  <c r="AX59" i="12"/>
  <c r="AY59" i="12" s="1"/>
  <c r="BA64" i="12"/>
  <c r="F23" i="55"/>
  <c r="E42" i="55"/>
  <c r="F27" i="55"/>
  <c r="D42" i="55"/>
  <c r="B42" i="55"/>
  <c r="C42" i="55"/>
  <c r="N18" i="62" a="1"/>
  <c r="P6" i="62" l="1"/>
  <c r="S33" i="88"/>
  <c r="U59" i="88"/>
  <c r="N28" i="62"/>
  <c r="N24" i="62"/>
  <c r="N22" i="62"/>
  <c r="N25" i="62"/>
  <c r="N26" i="62"/>
  <c r="N18" i="62"/>
  <c r="R73" i="58"/>
  <c r="R74" i="58" s="1"/>
  <c r="C14" i="73"/>
  <c r="V69" i="18"/>
  <c r="M49" i="78"/>
  <c r="M28" i="78" s="1"/>
  <c r="J52" i="78"/>
  <c r="J51" i="78"/>
  <c r="J54" i="78"/>
  <c r="V71" i="18"/>
  <c r="M47" i="78"/>
  <c r="M26" i="78" s="1"/>
  <c r="M27" i="78"/>
  <c r="BA63" i="12"/>
  <c r="V74" i="18"/>
  <c r="V70" i="18"/>
  <c r="V76" i="18"/>
  <c r="V75" i="18"/>
  <c r="V73" i="18"/>
  <c r="V72" i="18"/>
  <c r="W8" i="62"/>
  <c r="AC8" i="62" s="1"/>
  <c r="B12" i="74" s="1"/>
  <c r="W15" i="62"/>
  <c r="AC15" i="62" s="1"/>
  <c r="B19" i="74" s="1"/>
  <c r="W16" i="62"/>
  <c r="AC16" i="62" s="1"/>
  <c r="B20" i="74" s="1"/>
  <c r="W14" i="62"/>
  <c r="AC14" i="62" s="1"/>
  <c r="B18" i="74" s="1"/>
  <c r="W13" i="62"/>
  <c r="AC13" i="62" s="1"/>
  <c r="B17" i="74" s="1"/>
  <c r="W9" i="62"/>
  <c r="AC9" i="62" s="1"/>
  <c r="B13" i="74" s="1"/>
  <c r="W12" i="62"/>
  <c r="AC12" i="62" s="1"/>
  <c r="B16" i="74" s="1"/>
  <c r="W11" i="62"/>
  <c r="AC11" i="62" s="1"/>
  <c r="B15" i="74" s="1"/>
  <c r="W7" i="62"/>
  <c r="AC7" i="62" s="1"/>
  <c r="B11" i="74" s="1"/>
  <c r="B10" i="74"/>
  <c r="B23" i="74"/>
  <c r="W17" i="62"/>
  <c r="AC17" i="62" s="1"/>
  <c r="B21" i="74" s="1"/>
  <c r="M45" i="18"/>
  <c r="Q45" i="18"/>
  <c r="Q43" i="18"/>
  <c r="M43" i="18"/>
  <c r="M46" i="18"/>
  <c r="Q44" i="18"/>
  <c r="M44" i="18"/>
  <c r="BA62" i="12"/>
  <c r="BA61" i="12"/>
  <c r="G43" i="55"/>
  <c r="G44" i="55" s="1"/>
  <c r="K44" i="55"/>
  <c r="L44" i="55"/>
  <c r="M44" i="55"/>
  <c r="H43" i="55"/>
  <c r="H44" i="55" s="1"/>
  <c r="I43" i="55"/>
  <c r="I44" i="55" s="1"/>
  <c r="J43" i="55"/>
  <c r="J44" i="55" s="1"/>
  <c r="C46" i="55"/>
  <c r="C55" i="55" s="1"/>
  <c r="D46" i="55"/>
  <c r="D55" i="55" s="1"/>
  <c r="E46" i="55"/>
  <c r="E55" i="55" s="1"/>
  <c r="F46" i="55"/>
  <c r="F55" i="55" s="1"/>
  <c r="B46" i="55"/>
  <c r="B55" i="55" s="1"/>
  <c r="N27" i="62" l="1"/>
  <c r="N23" i="62"/>
  <c r="Q18" i="62"/>
  <c r="X18" i="62"/>
  <c r="AD18" i="62" s="1"/>
  <c r="C22" i="74" s="1"/>
  <c r="P18" i="62"/>
  <c r="F44" i="55"/>
  <c r="F45" i="55" s="1"/>
  <c r="H24" i="55"/>
  <c r="I24" i="55"/>
  <c r="J24" i="55"/>
  <c r="K24" i="55"/>
  <c r="L24" i="55"/>
  <c r="M24" i="55"/>
  <c r="H25" i="55"/>
  <c r="I25" i="55"/>
  <c r="J25" i="55"/>
  <c r="K25" i="55"/>
  <c r="L25" i="55"/>
  <c r="M25" i="55"/>
  <c r="H26" i="55"/>
  <c r="I26" i="55"/>
  <c r="J26" i="55"/>
  <c r="K26" i="55"/>
  <c r="L26" i="55"/>
  <c r="M26" i="55"/>
  <c r="H29" i="55"/>
  <c r="I29" i="55"/>
  <c r="J29" i="55"/>
  <c r="K29" i="55"/>
  <c r="L29" i="55"/>
  <c r="M29" i="55"/>
  <c r="G24" i="55"/>
  <c r="G25" i="55"/>
  <c r="G26" i="55"/>
  <c r="G29" i="55"/>
  <c r="F7" i="18"/>
  <c r="H7" i="18" s="1"/>
  <c r="F8" i="18"/>
  <c r="H8" i="18" s="1"/>
  <c r="F9" i="18"/>
  <c r="H9" i="18" s="1"/>
  <c r="F10" i="18"/>
  <c r="H10" i="18" s="1"/>
  <c r="F11" i="18"/>
  <c r="H11" i="18" s="1"/>
  <c r="F12" i="18"/>
  <c r="H12" i="18" s="1"/>
  <c r="F13" i="18"/>
  <c r="H13" i="18" s="1"/>
  <c r="F14" i="18"/>
  <c r="H14" i="18" s="1"/>
  <c r="F15" i="18"/>
  <c r="H15" i="18" s="1"/>
  <c r="F16" i="18"/>
  <c r="H16" i="18" s="1"/>
  <c r="F17" i="18"/>
  <c r="H17" i="18" s="1"/>
  <c r="F18" i="18"/>
  <c r="H18" i="18" s="1"/>
  <c r="F19" i="18"/>
  <c r="H19" i="18" s="1"/>
  <c r="F20" i="18"/>
  <c r="H20" i="18" s="1"/>
  <c r="F21" i="18"/>
  <c r="H21" i="18" s="1"/>
  <c r="F22" i="18"/>
  <c r="H22" i="18" s="1"/>
  <c r="F23" i="18"/>
  <c r="H23" i="18" s="1"/>
  <c r="F24" i="18"/>
  <c r="H24" i="18" s="1"/>
  <c r="F25" i="18"/>
  <c r="H25" i="18" s="1"/>
  <c r="F26" i="18"/>
  <c r="H26" i="18" s="1"/>
  <c r="F27" i="18"/>
  <c r="H27" i="18" s="1"/>
  <c r="F28" i="18"/>
  <c r="H28" i="18" s="1"/>
  <c r="F29" i="18"/>
  <c r="H29" i="18" s="1"/>
  <c r="F30" i="18"/>
  <c r="H30" i="18" s="1"/>
  <c r="F31" i="18"/>
  <c r="H31" i="18" s="1"/>
  <c r="F32" i="18"/>
  <c r="H32" i="18" s="1"/>
  <c r="F33" i="18"/>
  <c r="H33" i="18" s="1"/>
  <c r="F34" i="18"/>
  <c r="H34" i="18" s="1"/>
  <c r="H35" i="18"/>
  <c r="H36" i="18"/>
  <c r="H38" i="18"/>
  <c r="H39" i="18"/>
  <c r="H40" i="18"/>
  <c r="H41" i="18"/>
  <c r="H42" i="18"/>
  <c r="H6" i="18"/>
  <c r="C6" i="1"/>
  <c r="D6" i="1"/>
  <c r="E6" i="1"/>
  <c r="F6" i="1"/>
  <c r="G6" i="1"/>
  <c r="H6" i="1"/>
  <c r="I6" i="1"/>
  <c r="J6" i="1"/>
  <c r="K6" i="1"/>
  <c r="L6" i="1"/>
  <c r="M6" i="1"/>
  <c r="N6" i="1"/>
  <c r="O6" i="1"/>
  <c r="P6" i="1"/>
  <c r="Q6" i="1"/>
  <c r="B6" i="1"/>
  <c r="G80" i="1"/>
  <c r="H80" i="1"/>
  <c r="I80" i="1"/>
  <c r="J80" i="1"/>
  <c r="K80" i="1"/>
  <c r="L80" i="1"/>
  <c r="M80" i="1"/>
  <c r="N80" i="1"/>
  <c r="O80" i="1"/>
  <c r="P80" i="1"/>
  <c r="Q80" i="1"/>
  <c r="M81" i="1"/>
  <c r="N81" i="1"/>
  <c r="O81" i="1"/>
  <c r="P81" i="1"/>
  <c r="Q81" i="1"/>
  <c r="G82" i="1"/>
  <c r="I82" i="1"/>
  <c r="J82" i="1"/>
  <c r="K82" i="1"/>
  <c r="L82" i="1"/>
  <c r="M82" i="1"/>
  <c r="N82" i="1"/>
  <c r="O82" i="1"/>
  <c r="P82" i="1"/>
  <c r="Q82" i="1"/>
  <c r="F80" i="1"/>
  <c r="F82" i="1"/>
  <c r="C85" i="1"/>
  <c r="D85" i="1"/>
  <c r="E85" i="1"/>
  <c r="F85" i="1"/>
  <c r="G85" i="1"/>
  <c r="H85" i="1"/>
  <c r="I85" i="1"/>
  <c r="J85" i="1"/>
  <c r="K87" i="1"/>
  <c r="L87" i="1"/>
  <c r="M87" i="1"/>
  <c r="N87" i="1"/>
  <c r="O87" i="1"/>
  <c r="P87" i="1"/>
  <c r="Q87" i="1"/>
  <c r="B85" i="1"/>
  <c r="G69" i="1"/>
  <c r="H69" i="1"/>
  <c r="I69" i="1"/>
  <c r="J69" i="1"/>
  <c r="L69" i="1"/>
  <c r="M69" i="1"/>
  <c r="N69" i="1"/>
  <c r="G70" i="1"/>
  <c r="H70" i="1"/>
  <c r="I70" i="1"/>
  <c r="J70" i="1"/>
  <c r="K70" i="1"/>
  <c r="L70" i="1"/>
  <c r="M70" i="1"/>
  <c r="N70" i="1"/>
  <c r="O70" i="1"/>
  <c r="P70" i="1"/>
  <c r="Q70" i="1"/>
  <c r="G71" i="1"/>
  <c r="H71" i="1"/>
  <c r="I71" i="1"/>
  <c r="J71" i="1"/>
  <c r="K71" i="1"/>
  <c r="L71" i="1"/>
  <c r="M71" i="1"/>
  <c r="N71" i="1"/>
  <c r="O71" i="1"/>
  <c r="P71" i="1"/>
  <c r="Q71" i="1"/>
  <c r="G72" i="1"/>
  <c r="H72" i="1"/>
  <c r="I72" i="1"/>
  <c r="J72" i="1"/>
  <c r="G73" i="1"/>
  <c r="H73" i="1"/>
  <c r="I73" i="1"/>
  <c r="J73" i="1"/>
  <c r="K73" i="1"/>
  <c r="L73" i="1"/>
  <c r="M73" i="1"/>
  <c r="N73" i="1"/>
  <c r="O73" i="1"/>
  <c r="P73" i="1"/>
  <c r="Q73" i="1"/>
  <c r="G74" i="1"/>
  <c r="H74" i="1"/>
  <c r="I74" i="1"/>
  <c r="J74" i="1"/>
  <c r="K74" i="1"/>
  <c r="L74" i="1"/>
  <c r="M74" i="1"/>
  <c r="N74" i="1"/>
  <c r="O74" i="1"/>
  <c r="P74" i="1"/>
  <c r="Q74" i="1"/>
  <c r="G75" i="1"/>
  <c r="H75" i="1"/>
  <c r="I75" i="1"/>
  <c r="J75" i="1"/>
  <c r="K75" i="1"/>
  <c r="L75" i="1"/>
  <c r="M75" i="1"/>
  <c r="N75" i="1"/>
  <c r="O75" i="1"/>
  <c r="P75" i="1"/>
  <c r="Q75" i="1"/>
  <c r="G76" i="1"/>
  <c r="H76" i="1"/>
  <c r="I76" i="1"/>
  <c r="J76" i="1"/>
  <c r="K76" i="1"/>
  <c r="L76" i="1"/>
  <c r="M76" i="1"/>
  <c r="N76" i="1"/>
  <c r="O76" i="1"/>
  <c r="P76" i="1"/>
  <c r="Q76" i="1"/>
  <c r="G77" i="1"/>
  <c r="H77" i="1"/>
  <c r="I77" i="1"/>
  <c r="J77" i="1"/>
  <c r="K77" i="1"/>
  <c r="L77" i="1"/>
  <c r="M77" i="1"/>
  <c r="N77" i="1"/>
  <c r="O77" i="1"/>
  <c r="P77" i="1"/>
  <c r="Q77" i="1"/>
  <c r="F70" i="1"/>
  <c r="F71" i="1"/>
  <c r="F72" i="1"/>
  <c r="F73" i="1"/>
  <c r="F74" i="1"/>
  <c r="F75" i="1"/>
  <c r="F76" i="1"/>
  <c r="F77" i="1"/>
  <c r="C63" i="1"/>
  <c r="D63" i="1"/>
  <c r="E63" i="1"/>
  <c r="F63" i="1"/>
  <c r="G63" i="1"/>
  <c r="H63" i="1"/>
  <c r="I63" i="1"/>
  <c r="J63" i="1"/>
  <c r="K65" i="1"/>
  <c r="L65" i="1"/>
  <c r="M65" i="1"/>
  <c r="N65" i="1"/>
  <c r="O65" i="1"/>
  <c r="P65" i="1"/>
  <c r="Q65" i="1"/>
  <c r="B63" i="1"/>
  <c r="B59" i="1"/>
  <c r="C59" i="1"/>
  <c r="D59" i="1"/>
  <c r="E59" i="1"/>
  <c r="F59" i="1"/>
  <c r="G59" i="1"/>
  <c r="H59" i="1"/>
  <c r="I59" i="1"/>
  <c r="J59" i="1"/>
  <c r="K59" i="1"/>
  <c r="L59" i="1"/>
  <c r="C58" i="1"/>
  <c r="D58" i="1"/>
  <c r="E58" i="1"/>
  <c r="F58" i="1"/>
  <c r="G58" i="1"/>
  <c r="H58" i="1"/>
  <c r="I58" i="1"/>
  <c r="J58" i="1"/>
  <c r="B58" i="1"/>
  <c r="H7" i="55"/>
  <c r="H15" i="55" s="1"/>
  <c r="I7" i="55"/>
  <c r="I15" i="55" s="1"/>
  <c r="J7" i="55"/>
  <c r="K7" i="55"/>
  <c r="L7" i="55"/>
  <c r="L15" i="55" s="1"/>
  <c r="M7" i="55"/>
  <c r="G7" i="55"/>
  <c r="G15" i="55" s="1"/>
  <c r="H11" i="55"/>
  <c r="H42" i="55" s="1"/>
  <c r="I11" i="55"/>
  <c r="I42" i="55" s="1"/>
  <c r="J11" i="55"/>
  <c r="K11" i="55"/>
  <c r="L11" i="55"/>
  <c r="L42" i="55" s="1"/>
  <c r="M11" i="55"/>
  <c r="M42" i="55" s="1"/>
  <c r="G11" i="55"/>
  <c r="G42" i="55" s="1"/>
  <c r="G45" i="55" s="1"/>
  <c r="G54" i="55" s="1"/>
  <c r="H12" i="55"/>
  <c r="I12" i="55"/>
  <c r="J12" i="55"/>
  <c r="K12" i="55"/>
  <c r="K28" i="55" s="1"/>
  <c r="L12" i="55"/>
  <c r="G12" i="55"/>
  <c r="Z18" i="62" l="1"/>
  <c r="V59" i="18"/>
  <c r="V47" i="18"/>
  <c r="V35" i="18"/>
  <c r="V57" i="18"/>
  <c r="V65" i="18"/>
  <c r="V55" i="18"/>
  <c r="V43" i="18"/>
  <c r="V45" i="18"/>
  <c r="D63" i="18"/>
  <c r="C16" i="73" s="1"/>
  <c r="V39" i="18"/>
  <c r="V61" i="18"/>
  <c r="V49" i="18"/>
  <c r="V37" i="18"/>
  <c r="V58" i="18"/>
  <c r="D59" i="18"/>
  <c r="C12" i="73" s="1"/>
  <c r="V56" i="18"/>
  <c r="V64" i="18"/>
  <c r="V54" i="18"/>
  <c r="V42" i="18"/>
  <c r="V33" i="18"/>
  <c r="D58" i="18"/>
  <c r="V51" i="18"/>
  <c r="D65" i="18"/>
  <c r="D57" i="18"/>
  <c r="C10" i="73" s="1"/>
  <c r="V62" i="18"/>
  <c r="V52" i="18"/>
  <c r="V40" i="18"/>
  <c r="V44" i="18"/>
  <c r="V46" i="18"/>
  <c r="P29" i="55"/>
  <c r="P25" i="55"/>
  <c r="Q25" i="55"/>
  <c r="V50" i="18"/>
  <c r="V38" i="18"/>
  <c r="V60" i="18"/>
  <c r="V48" i="18"/>
  <c r="V36" i="18"/>
  <c r="V66" i="18"/>
  <c r="D60" i="18"/>
  <c r="C13" i="73" s="1"/>
  <c r="V34" i="18"/>
  <c r="V67" i="18"/>
  <c r="V68" i="18"/>
  <c r="V63" i="18"/>
  <c r="V53" i="18"/>
  <c r="V41" i="18"/>
  <c r="Q12" i="18"/>
  <c r="M12" i="18"/>
  <c r="S12" i="18"/>
  <c r="M35" i="18"/>
  <c r="S45" i="18"/>
  <c r="S35" i="18"/>
  <c r="Q35" i="18"/>
  <c r="Q10" i="18"/>
  <c r="S10" i="18"/>
  <c r="M10" i="18"/>
  <c r="M9" i="18"/>
  <c r="S9" i="18"/>
  <c r="Q9" i="18"/>
  <c r="Q20" i="18"/>
  <c r="M20" i="18"/>
  <c r="S20" i="18"/>
  <c r="M6" i="18"/>
  <c r="Q6" i="18"/>
  <c r="S6" i="18"/>
  <c r="S31" i="18"/>
  <c r="Q31" i="18"/>
  <c r="M31" i="18"/>
  <c r="S7" i="18"/>
  <c r="M7" i="18"/>
  <c r="Q7" i="18"/>
  <c r="M30" i="18"/>
  <c r="S30" i="18"/>
  <c r="Q30" i="18"/>
  <c r="M41" i="18"/>
  <c r="Q41" i="18"/>
  <c r="S41" i="18"/>
  <c r="S17" i="18"/>
  <c r="Q17" i="18"/>
  <c r="M17" i="18"/>
  <c r="Q40" i="18"/>
  <c r="S40" i="18"/>
  <c r="M40" i="18"/>
  <c r="S28" i="18"/>
  <c r="M28" i="18"/>
  <c r="Q28" i="18"/>
  <c r="S16" i="18"/>
  <c r="M16" i="18"/>
  <c r="Q16" i="18"/>
  <c r="S36" i="18"/>
  <c r="M36" i="18"/>
  <c r="Q36" i="18"/>
  <c r="Q11" i="18"/>
  <c r="M11" i="18"/>
  <c r="S11" i="18"/>
  <c r="S34" i="18"/>
  <c r="M34" i="18"/>
  <c r="S44" i="18"/>
  <c r="Q34" i="18"/>
  <c r="Q21" i="18"/>
  <c r="M21" i="18"/>
  <c r="S21" i="18"/>
  <c r="S8" i="18"/>
  <c r="Q8" i="18"/>
  <c r="M8" i="18"/>
  <c r="S19" i="18"/>
  <c r="M19" i="18"/>
  <c r="Q19" i="18"/>
  <c r="S42" i="18"/>
  <c r="Q42" i="18"/>
  <c r="M42" i="18"/>
  <c r="Q18" i="18"/>
  <c r="M18" i="18"/>
  <c r="S18" i="18"/>
  <c r="S29" i="18"/>
  <c r="Q29" i="18"/>
  <c r="M29" i="18"/>
  <c r="M39" i="18"/>
  <c r="Q39" i="18"/>
  <c r="S39" i="18"/>
  <c r="Q27" i="18"/>
  <c r="S27" i="18"/>
  <c r="M27" i="18"/>
  <c r="S15" i="18"/>
  <c r="M15" i="18"/>
  <c r="Q15" i="18"/>
  <c r="S24" i="18"/>
  <c r="M24" i="18"/>
  <c r="Q24" i="18"/>
  <c r="M23" i="18"/>
  <c r="Q23" i="18"/>
  <c r="R24" i="18" s="1"/>
  <c r="R25" i="18" s="1"/>
  <c r="R26" i="18" s="1"/>
  <c r="R27" i="18" s="1"/>
  <c r="R28" i="18" s="1"/>
  <c r="R29" i="18" s="1"/>
  <c r="R30" i="18" s="1"/>
  <c r="R31" i="18" s="1"/>
  <c r="R32" i="18" s="1"/>
  <c r="R33" i="18" s="1"/>
  <c r="R34" i="18" s="1"/>
  <c r="R35" i="18" s="1"/>
  <c r="R36" i="18" s="1"/>
  <c r="R37" i="18" s="1"/>
  <c r="S23" i="18"/>
  <c r="Q22" i="18"/>
  <c r="S22" i="18"/>
  <c r="M22" i="18"/>
  <c r="Q33" i="18"/>
  <c r="S43" i="18"/>
  <c r="S33" i="18"/>
  <c r="M33" i="18"/>
  <c r="M32" i="18"/>
  <c r="Q32" i="18"/>
  <c r="S32" i="18"/>
  <c r="S38" i="18"/>
  <c r="Q38" i="18"/>
  <c r="M38" i="18"/>
  <c r="S26" i="18"/>
  <c r="M26" i="18"/>
  <c r="Q26" i="18"/>
  <c r="S14" i="18"/>
  <c r="M14" i="18"/>
  <c r="Q14" i="18"/>
  <c r="S37" i="18"/>
  <c r="Q37" i="18"/>
  <c r="M37" i="18"/>
  <c r="S25" i="18"/>
  <c r="M25" i="18"/>
  <c r="Q25" i="18"/>
  <c r="S13" i="18"/>
  <c r="M13" i="18"/>
  <c r="Q13" i="18"/>
  <c r="E35" i="55"/>
  <c r="G46" i="55"/>
  <c r="G55" i="55" s="1"/>
  <c r="L45" i="55"/>
  <c r="L54" i="55" s="1"/>
  <c r="L46" i="55"/>
  <c r="L55" i="55" s="1"/>
  <c r="K27" i="55"/>
  <c r="K42" i="55"/>
  <c r="H45" i="55"/>
  <c r="H54" i="55" s="1"/>
  <c r="H46" i="55"/>
  <c r="H55" i="55" s="1"/>
  <c r="J27" i="55"/>
  <c r="J42" i="55"/>
  <c r="I45" i="55"/>
  <c r="I54" i="55" s="1"/>
  <c r="I46" i="55"/>
  <c r="I55" i="55" s="1"/>
  <c r="E39" i="55"/>
  <c r="M46" i="55"/>
  <c r="M55" i="55" s="1"/>
  <c r="M45" i="55"/>
  <c r="M54" i="55" s="1"/>
  <c r="E34" i="55"/>
  <c r="K23" i="55"/>
  <c r="K15" i="55"/>
  <c r="J23" i="55"/>
  <c r="J15" i="55"/>
  <c r="S7" i="55"/>
  <c r="M15" i="55"/>
  <c r="R25" i="55"/>
  <c r="S26" i="55"/>
  <c r="Q26" i="55"/>
  <c r="S29" i="55"/>
  <c r="Q29" i="55"/>
  <c r="R29" i="55"/>
  <c r="R26" i="55"/>
  <c r="P26" i="55"/>
  <c r="Q24" i="55"/>
  <c r="S24" i="55"/>
  <c r="P24" i="55"/>
  <c r="R24" i="55"/>
  <c r="S25" i="55"/>
  <c r="B39" i="55"/>
  <c r="D34" i="55"/>
  <c r="L28" i="55"/>
  <c r="P28" i="55" s="1"/>
  <c r="P12" i="55"/>
  <c r="R12" i="55"/>
  <c r="Q11" i="55"/>
  <c r="S11" i="55"/>
  <c r="R7" i="55"/>
  <c r="D39" i="55"/>
  <c r="Q12" i="55"/>
  <c r="S12" i="55"/>
  <c r="L27" i="55"/>
  <c r="R11" i="55"/>
  <c r="P11" i="55"/>
  <c r="B34" i="55"/>
  <c r="E44" i="55"/>
  <c r="E45" i="55" s="1"/>
  <c r="F54" i="55"/>
  <c r="I27" i="55"/>
  <c r="I23" i="55"/>
  <c r="G23" i="55"/>
  <c r="J28" i="55"/>
  <c r="H27" i="55"/>
  <c r="H23" i="55"/>
  <c r="I28" i="55"/>
  <c r="G28" i="55"/>
  <c r="H28" i="55"/>
  <c r="G27" i="55"/>
  <c r="M27" i="55"/>
  <c r="F34" i="55"/>
  <c r="F39" i="55"/>
  <c r="G39" i="55"/>
  <c r="G34" i="55"/>
  <c r="C39" i="55"/>
  <c r="G33" i="55" l="1"/>
  <c r="E33" i="55"/>
  <c r="C37" i="55"/>
  <c r="R38" i="18"/>
  <c r="R39" i="18" s="1"/>
  <c r="R40" i="18" s="1"/>
  <c r="R41" i="18" s="1"/>
  <c r="R42" i="18" s="1"/>
  <c r="R43" i="18" s="1"/>
  <c r="R44" i="18" s="1"/>
  <c r="R45" i="18" s="1"/>
  <c r="L63" i="18"/>
  <c r="E38" i="55"/>
  <c r="J45" i="55"/>
  <c r="J54" i="55" s="1"/>
  <c r="J46" i="55"/>
  <c r="J55" i="55" s="1"/>
  <c r="K45" i="55"/>
  <c r="K54" i="55" s="1"/>
  <c r="K46" i="55"/>
  <c r="K55" i="55" s="1"/>
  <c r="E37" i="55"/>
  <c r="B37" i="55"/>
  <c r="B38" i="55"/>
  <c r="R23" i="55"/>
  <c r="P23" i="55"/>
  <c r="S23" i="55"/>
  <c r="B33" i="55"/>
  <c r="R27" i="55"/>
  <c r="P27" i="55"/>
  <c r="S27" i="55"/>
  <c r="Q27" i="55"/>
  <c r="S28" i="55"/>
  <c r="Q28" i="55"/>
  <c r="R28" i="55"/>
  <c r="D37" i="55"/>
  <c r="D38" i="55"/>
  <c r="D33" i="55"/>
  <c r="D44" i="55"/>
  <c r="D45" i="55" s="1"/>
  <c r="E54" i="55"/>
  <c r="C34" i="55"/>
  <c r="F37" i="55"/>
  <c r="C38" i="55"/>
  <c r="G35" i="55"/>
  <c r="F35" i="55"/>
  <c r="G37" i="55"/>
  <c r="G38" i="55"/>
  <c r="F38" i="55"/>
  <c r="K26" i="1"/>
  <c r="K72" i="1" s="1"/>
  <c r="M26" i="1"/>
  <c r="N26" i="1"/>
  <c r="O26" i="1"/>
  <c r="O72" i="1" s="1"/>
  <c r="P26" i="1"/>
  <c r="P72" i="1" s="1"/>
  <c r="Q26" i="1"/>
  <c r="Q72" i="1" s="1"/>
  <c r="L26" i="1"/>
  <c r="P23" i="1"/>
  <c r="Q23" i="1"/>
  <c r="O23" i="1"/>
  <c r="F69" i="1"/>
  <c r="C44" i="55" l="1"/>
  <c r="C45" i="55" s="1"/>
  <c r="D54" i="55"/>
  <c r="C33" i="55"/>
  <c r="F33" i="55"/>
  <c r="N72" i="1"/>
  <c r="O69" i="1"/>
  <c r="Q69" i="1"/>
  <c r="L72" i="1"/>
  <c r="M72" i="1"/>
  <c r="P69" i="1"/>
  <c r="S70" i="1"/>
  <c r="R70" i="1"/>
  <c r="L5" i="51"/>
  <c r="M5" i="51"/>
  <c r="N5" i="51"/>
  <c r="O5" i="51"/>
  <c r="P5" i="51"/>
  <c r="K5" i="51"/>
  <c r="AP18" i="50"/>
  <c r="AP19" i="50"/>
  <c r="AP20" i="50"/>
  <c r="AP23" i="50"/>
  <c r="AX23" i="50" s="1"/>
  <c r="AP24" i="50"/>
  <c r="AP25" i="50"/>
  <c r="AP26" i="50"/>
  <c r="AP27" i="50"/>
  <c r="AP28" i="50"/>
  <c r="AP29" i="50"/>
  <c r="AP30" i="50"/>
  <c r="AP31" i="50"/>
  <c r="AX31" i="50" s="1"/>
  <c r="AP32" i="50"/>
  <c r="AP33" i="50"/>
  <c r="AP34" i="50"/>
  <c r="AP17" i="50"/>
  <c r="AQ19" i="50"/>
  <c r="AQ20" i="50" s="1"/>
  <c r="AY20" i="50" s="1"/>
  <c r="AO19" i="50"/>
  <c r="AO20" i="50"/>
  <c r="AW20" i="50" s="1"/>
  <c r="BH17" i="50"/>
  <c r="BH23" i="50"/>
  <c r="BH24" i="50"/>
  <c r="BH25" i="50"/>
  <c r="BH26" i="50"/>
  <c r="BH27" i="50"/>
  <c r="BH28" i="50"/>
  <c r="BH29" i="50"/>
  <c r="BH30" i="50"/>
  <c r="BH31" i="50"/>
  <c r="BH32" i="50"/>
  <c r="BH33" i="50"/>
  <c r="BH34" i="50"/>
  <c r="BC34" i="50"/>
  <c r="BC30" i="50"/>
  <c r="BC31" i="50" s="1"/>
  <c r="BC32" i="50" s="1"/>
  <c r="BC27" i="50"/>
  <c r="BC28" i="50" s="1"/>
  <c r="BC29" i="50" s="1"/>
  <c r="BC22" i="50"/>
  <c r="BC23" i="50" s="1"/>
  <c r="BC24" i="50" s="1"/>
  <c r="BC33" i="50"/>
  <c r="BC25" i="50"/>
  <c r="BC21" i="50"/>
  <c r="BC19" i="50"/>
  <c r="BC20" i="50" s="1"/>
  <c r="BC18" i="50"/>
  <c r="BC17" i="50"/>
  <c r="BC26" i="50"/>
  <c r="BB18" i="50"/>
  <c r="BB19" i="50"/>
  <c r="BB20" i="50"/>
  <c r="BB21" i="50"/>
  <c r="BB22" i="50"/>
  <c r="BB23" i="50"/>
  <c r="BB24" i="50"/>
  <c r="BB25" i="50"/>
  <c r="BB26" i="50"/>
  <c r="BB27" i="50"/>
  <c r="BB28" i="50"/>
  <c r="BB29" i="50"/>
  <c r="BB30" i="50"/>
  <c r="BB31" i="50"/>
  <c r="BB32" i="50"/>
  <c r="BB33" i="50"/>
  <c r="BB34" i="50"/>
  <c r="BB17" i="50"/>
  <c r="BA18" i="50"/>
  <c r="BA19" i="50"/>
  <c r="BA20" i="50"/>
  <c r="BA21" i="50"/>
  <c r="BA22" i="50"/>
  <c r="BA23" i="50"/>
  <c r="BA24" i="50"/>
  <c r="BA25" i="50"/>
  <c r="BA26" i="50"/>
  <c r="BA27" i="50"/>
  <c r="BA28" i="50"/>
  <c r="BA29" i="50"/>
  <c r="BA30" i="50"/>
  <c r="BA31" i="50"/>
  <c r="BA32" i="50"/>
  <c r="BA33" i="50"/>
  <c r="BA34" i="50"/>
  <c r="BA17" i="50"/>
  <c r="AZ18" i="50"/>
  <c r="AZ19" i="50"/>
  <c r="AZ20" i="50"/>
  <c r="AZ21" i="50"/>
  <c r="AZ22" i="50"/>
  <c r="AZ23" i="50"/>
  <c r="AZ24" i="50"/>
  <c r="AZ25" i="50"/>
  <c r="AZ26" i="50"/>
  <c r="AZ27" i="50"/>
  <c r="AZ28" i="50"/>
  <c r="AZ29" i="50"/>
  <c r="AZ30" i="50"/>
  <c r="AZ31" i="50"/>
  <c r="AZ32" i="50"/>
  <c r="AZ33" i="50"/>
  <c r="AZ34" i="50"/>
  <c r="AZ17" i="50"/>
  <c r="AY18" i="50"/>
  <c r="BH18" i="50" s="1"/>
  <c r="AY19" i="50"/>
  <c r="BH19" i="50" s="1"/>
  <c r="AY23" i="50"/>
  <c r="AY24" i="50"/>
  <c r="AY25" i="50"/>
  <c r="AY26" i="50"/>
  <c r="AY27" i="50"/>
  <c r="AY28" i="50"/>
  <c r="AY29" i="50"/>
  <c r="AY30" i="50"/>
  <c r="AY31" i="50"/>
  <c r="AY32" i="50"/>
  <c r="AY33" i="50"/>
  <c r="AY34" i="50"/>
  <c r="AX17" i="50"/>
  <c r="AY17" i="50"/>
  <c r="AX18" i="50"/>
  <c r="AX19" i="50"/>
  <c r="AX24" i="50"/>
  <c r="AX25" i="50"/>
  <c r="AX26" i="50"/>
  <c r="AX27" i="50"/>
  <c r="AX28" i="50"/>
  <c r="AX29" i="50"/>
  <c r="AX30" i="50"/>
  <c r="AX32" i="50"/>
  <c r="AX33" i="50"/>
  <c r="AX34" i="50"/>
  <c r="AW18" i="50"/>
  <c r="AW19" i="50"/>
  <c r="AW23" i="50"/>
  <c r="AW24" i="50"/>
  <c r="AW25" i="50"/>
  <c r="AW26" i="50"/>
  <c r="AW27" i="50"/>
  <c r="AW28" i="50"/>
  <c r="AW29" i="50"/>
  <c r="AW30" i="50"/>
  <c r="AW31" i="50"/>
  <c r="AW32" i="50"/>
  <c r="AW33" i="50"/>
  <c r="AW34" i="50"/>
  <c r="AW17" i="50"/>
  <c r="B44" i="55" l="1"/>
  <c r="B45" i="55" s="1"/>
  <c r="B54" i="55" s="1"/>
  <c r="C54" i="55"/>
  <c r="S75" i="1"/>
  <c r="BH20" i="50"/>
  <c r="AX20" i="50"/>
  <c r="X105" i="1" l="1"/>
  <c r="X106" i="1"/>
  <c r="X107" i="1"/>
  <c r="X108" i="1"/>
  <c r="X109" i="1"/>
  <c r="X104" i="1"/>
  <c r="M23" i="51"/>
  <c r="F9" i="53"/>
  <c r="E9" i="53"/>
  <c r="D9" i="53"/>
  <c r="C9" i="53"/>
  <c r="F10" i="52"/>
  <c r="F9" i="52"/>
  <c r="F8" i="52"/>
  <c r="F7" i="52"/>
  <c r="F8" i="53"/>
  <c r="E8" i="53"/>
  <c r="D8" i="53"/>
  <c r="C8" i="53"/>
  <c r="P8" i="24"/>
  <c r="R5" i="26"/>
  <c r="E10" i="52"/>
  <c r="E9" i="52" l="1"/>
  <c r="E8" i="52"/>
  <c r="E7" i="52"/>
  <c r="E6" i="52"/>
  <c r="E5" i="52"/>
  <c r="E4" i="52"/>
  <c r="E3" i="52"/>
  <c r="D7" i="52"/>
  <c r="D8" i="52"/>
  <c r="C8" i="52"/>
  <c r="C7" i="52"/>
  <c r="T20" i="50" l="1"/>
  <c r="T21" i="50"/>
  <c r="T22" i="50"/>
  <c r="T23" i="50"/>
  <c r="T24" i="50"/>
  <c r="T25" i="50"/>
  <c r="T26" i="50"/>
  <c r="T27" i="50"/>
  <c r="T28" i="50"/>
  <c r="T29" i="50"/>
  <c r="T30" i="50"/>
  <c r="T31" i="50"/>
  <c r="T32" i="50"/>
  <c r="T33" i="50"/>
  <c r="T34" i="50"/>
  <c r="T19" i="50"/>
  <c r="R20" i="50"/>
  <c r="R21" i="50"/>
  <c r="R22" i="50"/>
  <c r="R23" i="50"/>
  <c r="R24" i="50"/>
  <c r="R25" i="50"/>
  <c r="R26" i="50"/>
  <c r="R27" i="50"/>
  <c r="R28" i="50"/>
  <c r="R29" i="50"/>
  <c r="R30" i="50"/>
  <c r="R31" i="50"/>
  <c r="R32" i="50"/>
  <c r="R33" i="50"/>
  <c r="R34" i="50"/>
  <c r="R19" i="50"/>
  <c r="AC33" i="50" l="1"/>
  <c r="AC29" i="50"/>
  <c r="AC21" i="50"/>
  <c r="AB17" i="50"/>
  <c r="AC17" i="50" s="1"/>
  <c r="AB25" i="50"/>
  <c r="AC25" i="50" s="1"/>
  <c r="AB29" i="50"/>
  <c r="AB33" i="50"/>
  <c r="AB21" i="50"/>
  <c r="F23" i="51"/>
  <c r="G23" i="51"/>
  <c r="E23" i="51"/>
  <c r="AC4" i="51"/>
  <c r="AA50" i="51"/>
  <c r="Z50" i="51"/>
  <c r="Y50" i="51"/>
  <c r="X50" i="51"/>
  <c r="W50" i="51"/>
  <c r="AA31" i="51"/>
  <c r="AA35" i="51" s="1"/>
  <c r="AA36" i="51" s="1"/>
  <c r="Z31" i="51"/>
  <c r="Z35" i="51" s="1"/>
  <c r="AD8" i="51" s="1"/>
  <c r="AD9" i="51" s="1"/>
  <c r="Y31" i="51"/>
  <c r="Y35" i="51" s="1"/>
  <c r="X31" i="51"/>
  <c r="X35" i="51" s="1"/>
  <c r="X39" i="51" s="1"/>
  <c r="AA25" i="51"/>
  <c r="Z25" i="51"/>
  <c r="Y25" i="51"/>
  <c r="X25" i="51"/>
  <c r="AA23" i="51"/>
  <c r="Z23" i="51"/>
  <c r="Y23" i="51"/>
  <c r="X23" i="51"/>
  <c r="W23" i="51"/>
  <c r="AA18" i="51"/>
  <c r="Z18" i="51"/>
  <c r="X18" i="51"/>
  <c r="AA16" i="51"/>
  <c r="Z16" i="51"/>
  <c r="Y16" i="51"/>
  <c r="Y13" i="51" s="1"/>
  <c r="Y18" i="51" s="1"/>
  <c r="X16" i="51"/>
  <c r="W11" i="51"/>
  <c r="W16" i="51" s="1"/>
  <c r="AA6" i="51"/>
  <c r="AA8" i="51" s="1"/>
  <c r="Z6" i="51"/>
  <c r="Z8" i="51" s="1"/>
  <c r="AD5" i="51" s="1"/>
  <c r="Y6" i="51"/>
  <c r="Y8" i="51" s="1"/>
  <c r="X6" i="51"/>
  <c r="X8" i="51" s="1"/>
  <c r="W5" i="51"/>
  <c r="H12" i="51"/>
  <c r="C12" i="51"/>
  <c r="D12" i="51"/>
  <c r="E12" i="51"/>
  <c r="F12" i="51"/>
  <c r="G12" i="51"/>
  <c r="D13" i="51"/>
  <c r="E13" i="51"/>
  <c r="A15" i="51"/>
  <c r="B12" i="51"/>
  <c r="A14" i="51"/>
  <c r="A13" i="51"/>
  <c r="K14" i="51"/>
  <c r="L14" i="51"/>
  <c r="M14" i="51"/>
  <c r="N14" i="51"/>
  <c r="O14" i="51"/>
  <c r="P14" i="51"/>
  <c r="J7" i="26"/>
  <c r="K7" i="26"/>
  <c r="L7" i="26"/>
  <c r="M7" i="26"/>
  <c r="N7" i="26"/>
  <c r="O7" i="26"/>
  <c r="P7" i="26"/>
  <c r="Q7" i="26"/>
  <c r="I7" i="26"/>
  <c r="W18" i="51" l="1"/>
  <c r="AD6" i="51"/>
  <c r="AC6" i="51" s="1"/>
  <c r="AC5" i="51"/>
  <c r="Q14" i="51"/>
  <c r="C13" i="51"/>
  <c r="AC8" i="51"/>
  <c r="G13" i="51"/>
  <c r="F13" i="51"/>
  <c r="W6" i="51"/>
  <c r="W8" i="51" s="1"/>
  <c r="B13" i="51"/>
  <c r="S5" i="51"/>
  <c r="Y36" i="51"/>
  <c r="Y39" i="51"/>
  <c r="Z36" i="51"/>
  <c r="Z39" i="51"/>
  <c r="AA39" i="51"/>
  <c r="R5" i="51"/>
  <c r="Q5" i="51" l="1"/>
  <c r="H13" i="51" s="1"/>
  <c r="D37" i="50"/>
  <c r="D36" i="50"/>
  <c r="AK34" i="50"/>
  <c r="AJ34" i="50"/>
  <c r="AI34" i="50"/>
  <c r="AH34" i="50"/>
  <c r="AG34" i="50"/>
  <c r="Q34" i="50"/>
  <c r="P34" i="50"/>
  <c r="D34" i="50"/>
  <c r="AL33" i="50"/>
  <c r="AK33" i="50"/>
  <c r="AJ33" i="50"/>
  <c r="AI33" i="50"/>
  <c r="AH33" i="50"/>
  <c r="AG33" i="50"/>
  <c r="Q33" i="50"/>
  <c r="P33" i="50"/>
  <c r="D33" i="50"/>
  <c r="AK32" i="50"/>
  <c r="AJ32" i="50"/>
  <c r="AI32" i="50"/>
  <c r="AH32" i="50"/>
  <c r="AG32" i="50"/>
  <c r="Q32" i="50"/>
  <c r="P32" i="50"/>
  <c r="D32" i="50"/>
  <c r="AK31" i="50"/>
  <c r="AJ31" i="50"/>
  <c r="AI31" i="50"/>
  <c r="AH31" i="50"/>
  <c r="AG31" i="50"/>
  <c r="Q31" i="50"/>
  <c r="P31" i="50"/>
  <c r="D31" i="50"/>
  <c r="AK30" i="50"/>
  <c r="AJ30" i="50"/>
  <c r="AI30" i="50"/>
  <c r="AH30" i="50"/>
  <c r="AG30" i="50"/>
  <c r="Q30" i="50"/>
  <c r="P30" i="50"/>
  <c r="D30" i="50"/>
  <c r="AL29" i="50"/>
  <c r="AK29" i="50"/>
  <c r="AJ29" i="50"/>
  <c r="AI29" i="50"/>
  <c r="AH29" i="50"/>
  <c r="AG29" i="50"/>
  <c r="Q29" i="50"/>
  <c r="P29" i="50"/>
  <c r="D29" i="50"/>
  <c r="AK28" i="50"/>
  <c r="AJ28" i="50"/>
  <c r="AI28" i="50"/>
  <c r="AH28" i="50"/>
  <c r="AG28" i="50"/>
  <c r="Q28" i="50"/>
  <c r="P28" i="50"/>
  <c r="D28" i="50"/>
  <c r="O31" i="50" s="1"/>
  <c r="AK27" i="50"/>
  <c r="AJ27" i="50"/>
  <c r="AI27" i="50"/>
  <c r="AH27" i="50"/>
  <c r="AG27" i="50"/>
  <c r="Q27" i="50"/>
  <c r="P27" i="50"/>
  <c r="D27" i="50"/>
  <c r="O30" i="50" s="1"/>
  <c r="AK26" i="50"/>
  <c r="AJ26" i="50"/>
  <c r="AI26" i="50"/>
  <c r="AH26" i="50"/>
  <c r="AG26" i="50"/>
  <c r="Q26" i="50"/>
  <c r="P26" i="50"/>
  <c r="D26" i="50"/>
  <c r="BI25" i="50"/>
  <c r="AL25" i="50"/>
  <c r="AK25" i="50"/>
  <c r="AJ25" i="50"/>
  <c r="AI25" i="50"/>
  <c r="AH25" i="50"/>
  <c r="AG25" i="50"/>
  <c r="Q25" i="50"/>
  <c r="P25" i="50"/>
  <c r="D25" i="50"/>
  <c r="O28" i="50" s="1"/>
  <c r="AK24" i="50"/>
  <c r="AJ24" i="50"/>
  <c r="AI24" i="50"/>
  <c r="AH24" i="50"/>
  <c r="AG24" i="50"/>
  <c r="Q24" i="50"/>
  <c r="P24" i="50"/>
  <c r="D24" i="50"/>
  <c r="AK23" i="50"/>
  <c r="AJ23" i="50"/>
  <c r="AI23" i="50"/>
  <c r="AH23" i="50"/>
  <c r="AG23" i="50"/>
  <c r="Q23" i="50"/>
  <c r="P23" i="50"/>
  <c r="D23" i="50"/>
  <c r="AK22" i="50"/>
  <c r="AJ22" i="50"/>
  <c r="AI22" i="50"/>
  <c r="AH22" i="50"/>
  <c r="AG22" i="50"/>
  <c r="Q22" i="50"/>
  <c r="P22" i="50"/>
  <c r="D22" i="50"/>
  <c r="AL21" i="50"/>
  <c r="AK21" i="50"/>
  <c r="AJ21" i="50"/>
  <c r="AI21" i="50"/>
  <c r="AH21" i="50"/>
  <c r="AG21" i="50"/>
  <c r="Q21" i="50"/>
  <c r="P21" i="50"/>
  <c r="D21" i="50"/>
  <c r="O24" i="50" s="1"/>
  <c r="AK20" i="50"/>
  <c r="AJ20" i="50"/>
  <c r="AI20" i="50"/>
  <c r="AH20" i="50"/>
  <c r="AG20" i="50"/>
  <c r="Q20" i="50"/>
  <c r="P20" i="50"/>
  <c r="D20" i="50"/>
  <c r="AK19" i="50"/>
  <c r="AJ19" i="50"/>
  <c r="AI19" i="50"/>
  <c r="AH19" i="50"/>
  <c r="AG19" i="50"/>
  <c r="Q19" i="50"/>
  <c r="P19" i="50"/>
  <c r="D19" i="50"/>
  <c r="AK18" i="50"/>
  <c r="AJ18" i="50"/>
  <c r="AI18" i="50"/>
  <c r="AH18" i="50"/>
  <c r="AG18" i="50"/>
  <c r="Q18" i="50"/>
  <c r="P18" i="50"/>
  <c r="D18" i="50"/>
  <c r="AL17" i="50"/>
  <c r="AK17" i="50"/>
  <c r="AJ17" i="50"/>
  <c r="AI17" i="50"/>
  <c r="AH17" i="50"/>
  <c r="AG17" i="50"/>
  <c r="Q17" i="50"/>
  <c r="AF26" i="50" s="1"/>
  <c r="P17" i="50"/>
  <c r="D17" i="50"/>
  <c r="O20" i="50" s="1"/>
  <c r="D16" i="50"/>
  <c r="O19" i="50" s="1"/>
  <c r="D15" i="50"/>
  <c r="D14" i="50"/>
  <c r="O17" i="50" s="1"/>
  <c r="AD17" i="50" s="1"/>
  <c r="D13" i="50"/>
  <c r="D12" i="50"/>
  <c r="D11" i="50"/>
  <c r="D10" i="50"/>
  <c r="D9" i="50"/>
  <c r="D8" i="50"/>
  <c r="D7" i="50"/>
  <c r="D6" i="50"/>
  <c r="D5" i="50"/>
  <c r="D4" i="50"/>
  <c r="D3" i="50"/>
  <c r="D2" i="50"/>
  <c r="T9" i="48"/>
  <c r="T4" i="48"/>
  <c r="O18" i="50" l="1"/>
  <c r="O21" i="50"/>
  <c r="O33" i="50"/>
  <c r="AE34" i="50"/>
  <c r="O22" i="50"/>
  <c r="AD22" i="50" s="1"/>
  <c r="O27" i="50"/>
  <c r="O29" i="50"/>
  <c r="O26" i="50"/>
  <c r="O32" i="50"/>
  <c r="O34" i="50"/>
  <c r="O23" i="50"/>
  <c r="O25" i="50"/>
  <c r="AE19" i="50"/>
  <c r="AF31" i="50"/>
  <c r="BI34" i="50"/>
  <c r="AE30" i="50"/>
  <c r="BI30" i="50"/>
  <c r="AF20" i="50"/>
  <c r="AE31" i="50"/>
  <c r="AE29" i="50"/>
  <c r="AE17" i="50"/>
  <c r="BI21" i="50"/>
  <c r="AE27" i="50"/>
  <c r="AE32" i="50"/>
  <c r="AE28" i="50"/>
  <c r="AE24" i="50"/>
  <c r="AE21" i="50"/>
  <c r="AF21" i="50"/>
  <c r="AE23" i="50"/>
  <c r="AE25" i="50"/>
  <c r="BI26" i="50"/>
  <c r="AD32" i="50"/>
  <c r="AE18" i="50"/>
  <c r="AE22" i="50"/>
  <c r="AE26" i="50"/>
  <c r="AD24" i="50"/>
  <c r="BI19" i="50"/>
  <c r="BI27" i="50"/>
  <c r="BI28" i="50"/>
  <c r="AD20" i="50"/>
  <c r="AD19" i="50"/>
  <c r="BI22" i="50"/>
  <c r="BI18" i="50"/>
  <c r="BI20" i="50"/>
  <c r="AD34" i="50"/>
  <c r="BI31" i="50"/>
  <c r="BI32" i="50"/>
  <c r="AD18" i="50"/>
  <c r="AD33" i="50"/>
  <c r="AF17" i="50"/>
  <c r="AF19" i="50"/>
  <c r="AF29" i="50"/>
  <c r="AF30" i="50"/>
  <c r="AE33" i="50"/>
  <c r="BM17" i="50"/>
  <c r="BQ17" i="50" s="1"/>
  <c r="AF18" i="50"/>
  <c r="AF23" i="50"/>
  <c r="BI29" i="50"/>
  <c r="AF33" i="50"/>
  <c r="AF34" i="50"/>
  <c r="BI17" i="50"/>
  <c r="BN17" i="50" s="1"/>
  <c r="BR17" i="50" s="1"/>
  <c r="AF27" i="50"/>
  <c r="BI33" i="50"/>
  <c r="AF24" i="50"/>
  <c r="AF28" i="50"/>
  <c r="AE20" i="50"/>
  <c r="AF22" i="50"/>
  <c r="AD30" i="50"/>
  <c r="AF32" i="50"/>
  <c r="AF25" i="50"/>
  <c r="I3" i="48"/>
  <c r="I4" i="48"/>
  <c r="K4" i="48"/>
  <c r="K5" i="48"/>
  <c r="K6" i="48"/>
  <c r="I5" i="48"/>
  <c r="J5" i="48" s="1"/>
  <c r="I6" i="48"/>
  <c r="J6" i="48" s="1"/>
  <c r="E6" i="48"/>
  <c r="E7" i="48"/>
  <c r="E8" i="48"/>
  <c r="E9" i="48"/>
  <c r="E10" i="48"/>
  <c r="E11" i="48"/>
  <c r="E5" i="48"/>
  <c r="C5" i="48"/>
  <c r="C6" i="48"/>
  <c r="I8" i="48"/>
  <c r="I9" i="48"/>
  <c r="N9" i="48" s="1"/>
  <c r="I10" i="48"/>
  <c r="J10" i="48" s="1"/>
  <c r="I11" i="48"/>
  <c r="I12" i="48"/>
  <c r="I13" i="48"/>
  <c r="I14" i="48"/>
  <c r="I7" i="48"/>
  <c r="N7" i="48" s="1"/>
  <c r="S7" i="48" s="1"/>
  <c r="K7" i="48"/>
  <c r="K8" i="48"/>
  <c r="K9" i="48"/>
  <c r="C7" i="48"/>
  <c r="C8" i="48"/>
  <c r="C9" i="48"/>
  <c r="C11" i="48"/>
  <c r="C10" i="48"/>
  <c r="M14" i="48"/>
  <c r="O4" i="48"/>
  <c r="O10" i="48"/>
  <c r="S10" i="48" s="1"/>
  <c r="O11" i="48"/>
  <c r="S11" i="48" s="1"/>
  <c r="K11" i="48"/>
  <c r="K10" i="48"/>
  <c r="G75" i="12"/>
  <c r="K5" i="15"/>
  <c r="K4" i="15"/>
  <c r="G9" i="15"/>
  <c r="F9" i="15"/>
  <c r="E9" i="15"/>
  <c r="D9" i="15"/>
  <c r="C9" i="15"/>
  <c r="K3" i="15"/>
  <c r="D8" i="15"/>
  <c r="E8" i="15" s="1"/>
  <c r="F8" i="15" s="1"/>
  <c r="G8" i="15" s="1"/>
  <c r="H8" i="15" s="1"/>
  <c r="C8" i="15"/>
  <c r="B13" i="15" a="1"/>
  <c r="B13" i="15" s="1"/>
  <c r="B17" i="15" s="1"/>
  <c r="B3" i="15"/>
  <c r="C15" i="15"/>
  <c r="D15" i="15"/>
  <c r="E15" i="15"/>
  <c r="F15" i="15"/>
  <c r="B15" i="15"/>
  <c r="C21" i="15"/>
  <c r="D21" i="15"/>
  <c r="E21" i="15"/>
  <c r="F21" i="15"/>
  <c r="I29" i="40"/>
  <c r="I30" i="40"/>
  <c r="I31" i="40"/>
  <c r="I32" i="40"/>
  <c r="I33" i="40"/>
  <c r="I34" i="40"/>
  <c r="I28" i="40"/>
  <c r="L29" i="40"/>
  <c r="L30" i="40" s="1"/>
  <c r="L31" i="40" s="1"/>
  <c r="L32" i="40" s="1"/>
  <c r="L33" i="40" s="1"/>
  <c r="J29" i="40"/>
  <c r="J30" i="40" s="1"/>
  <c r="F31" i="40"/>
  <c r="F32" i="40"/>
  <c r="F33" i="40"/>
  <c r="F34" i="40"/>
  <c r="F25" i="40"/>
  <c r="F26" i="40"/>
  <c r="F27" i="40"/>
  <c r="F29" i="40"/>
  <c r="K29" i="40" s="1"/>
  <c r="K30" i="40" s="1"/>
  <c r="K31" i="40" s="1"/>
  <c r="F30" i="40"/>
  <c r="F28" i="40"/>
  <c r="P38" i="1"/>
  <c r="M45" i="27"/>
  <c r="M48" i="27"/>
  <c r="M49" i="27"/>
  <c r="M50" i="27"/>
  <c r="M51" i="27"/>
  <c r="M54" i="27"/>
  <c r="M55" i="27"/>
  <c r="M56" i="27"/>
  <c r="M57" i="27"/>
  <c r="M60" i="27"/>
  <c r="M61" i="27"/>
  <c r="M62" i="27"/>
  <c r="M63" i="27"/>
  <c r="M66" i="27"/>
  <c r="M67" i="27"/>
  <c r="M68" i="27"/>
  <c r="M69" i="27"/>
  <c r="M44" i="27"/>
  <c r="L69" i="27"/>
  <c r="L68" i="27"/>
  <c r="L63" i="27"/>
  <c r="L62" i="27"/>
  <c r="L57" i="27"/>
  <c r="L56" i="27"/>
  <c r="L51" i="27"/>
  <c r="L50" i="27"/>
  <c r="L45" i="27"/>
  <c r="L44" i="27"/>
  <c r="R62" i="28"/>
  <c r="S62" i="28"/>
  <c r="M50" i="28"/>
  <c r="N62" i="28"/>
  <c r="O62" i="28"/>
  <c r="P62" i="28"/>
  <c r="Q62" i="28"/>
  <c r="Q59" i="28"/>
  <c r="P59" i="28"/>
  <c r="O59" i="28"/>
  <c r="N59" i="28"/>
  <c r="N50" i="28"/>
  <c r="L55" i="28"/>
  <c r="L62" i="28"/>
  <c r="K62" i="28"/>
  <c r="K55" i="28"/>
  <c r="N55" i="28"/>
  <c r="O55" i="28"/>
  <c r="P55" i="28"/>
  <c r="Q55" i="28"/>
  <c r="K54" i="28"/>
  <c r="K59" i="28"/>
  <c r="L50" i="28"/>
  <c r="L54" i="28" s="1"/>
  <c r="J75" i="12"/>
  <c r="J76" i="12"/>
  <c r="J77" i="12"/>
  <c r="J78" i="12"/>
  <c r="J79"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H7" i="12"/>
  <c r="H6" i="12" s="1"/>
  <c r="H5" i="12" s="1"/>
  <c r="H4" i="12" s="1"/>
  <c r="H3" i="12" s="1"/>
  <c r="H2" i="12" s="1"/>
  <c r="AE12" i="22"/>
  <c r="AE13" i="22"/>
  <c r="AE14" i="22"/>
  <c r="AE15" i="22"/>
  <c r="AE16" i="22"/>
  <c r="AE17" i="22"/>
  <c r="AE18" i="22"/>
  <c r="AE19" i="22"/>
  <c r="AE20" i="22"/>
  <c r="AE21" i="22"/>
  <c r="AE22" i="22"/>
  <c r="AE23" i="22"/>
  <c r="AE24" i="22"/>
  <c r="AE25" i="22"/>
  <c r="AE26" i="22"/>
  <c r="AE27" i="22"/>
  <c r="AF11" i="22"/>
  <c r="AG11" i="22"/>
  <c r="AH11" i="22"/>
  <c r="AE11" i="22"/>
  <c r="AA12" i="22"/>
  <c r="AF12" i="22" s="1"/>
  <c r="AB12" i="22"/>
  <c r="AB13" i="22" s="1"/>
  <c r="AC12" i="22"/>
  <c r="AH12" i="22" s="1"/>
  <c r="Z12" i="22"/>
  <c r="Z13" i="22"/>
  <c r="Z14" i="22" s="1"/>
  <c r="Z15" i="22" s="1"/>
  <c r="Z16" i="22" s="1"/>
  <c r="Z17" i="22" s="1"/>
  <c r="Z18" i="22" s="1"/>
  <c r="Z19" i="22" s="1"/>
  <c r="Z20" i="22" s="1"/>
  <c r="Z21" i="22" s="1"/>
  <c r="Z22" i="22" s="1"/>
  <c r="Z23" i="22" s="1"/>
  <c r="Z24" i="22" s="1"/>
  <c r="Z25" i="22" s="1"/>
  <c r="Z26" i="22" s="1"/>
  <c r="Z27" i="22" s="1"/>
  <c r="K32" i="40" l="1"/>
  <c r="K33" i="40" s="1"/>
  <c r="K34" i="40" s="1"/>
  <c r="M33" i="40"/>
  <c r="P42" i="1"/>
  <c r="P79" i="1"/>
  <c r="Q3" i="51"/>
  <c r="G5" i="15"/>
  <c r="P3" i="51"/>
  <c r="H4" i="15"/>
  <c r="H5" i="15"/>
  <c r="G4" i="15"/>
  <c r="J7" i="48"/>
  <c r="N5" i="48"/>
  <c r="S5" i="48" s="1"/>
  <c r="J4" i="48"/>
  <c r="N6" i="48"/>
  <c r="S6" i="48" s="1"/>
  <c r="BM27" i="50"/>
  <c r="AD27" i="50"/>
  <c r="AD31" i="50"/>
  <c r="BG24" i="50"/>
  <c r="BM29" i="50"/>
  <c r="BQ29" i="50" s="1"/>
  <c r="BG29" i="50"/>
  <c r="AD29" i="50"/>
  <c r="AD28" i="50"/>
  <c r="BN22" i="50"/>
  <c r="BR22" i="50" s="1"/>
  <c r="BM28" i="50"/>
  <c r="BQ28" i="50" s="1"/>
  <c r="BN31" i="50"/>
  <c r="BR31" i="50" s="1"/>
  <c r="BN19" i="50"/>
  <c r="BR19" i="50" s="1"/>
  <c r="AD23" i="50"/>
  <c r="BM34" i="50"/>
  <c r="BQ34" i="50" s="1"/>
  <c r="BF29" i="50"/>
  <c r="BM32" i="50"/>
  <c r="BN30" i="50"/>
  <c r="BR30" i="50" s="1"/>
  <c r="BG23" i="50"/>
  <c r="BM18" i="50"/>
  <c r="BQ18" i="50" s="1"/>
  <c r="BM19" i="50"/>
  <c r="BQ19" i="50" s="1"/>
  <c r="BN20" i="50"/>
  <c r="BR20" i="50" s="1"/>
  <c r="BN34" i="50"/>
  <c r="BM23" i="50"/>
  <c r="BU27" i="50" s="1"/>
  <c r="BM25" i="50"/>
  <c r="AD25" i="50"/>
  <c r="AD21" i="50"/>
  <c r="BR34" i="50"/>
  <c r="BG30" i="50"/>
  <c r="BF30" i="50"/>
  <c r="BF33" i="50"/>
  <c r="BG33" i="50"/>
  <c r="BG20" i="50"/>
  <c r="BF20" i="50"/>
  <c r="BM33" i="50"/>
  <c r="BM24" i="50"/>
  <c r="BF27" i="50"/>
  <c r="BG27" i="50"/>
  <c r="BM20" i="50"/>
  <c r="BQ20" i="50" s="1"/>
  <c r="BM30" i="50"/>
  <c r="BM26" i="50"/>
  <c r="AD26" i="50"/>
  <c r="BG34" i="50"/>
  <c r="BF34" i="50"/>
  <c r="BN33" i="50"/>
  <c r="BN28" i="50"/>
  <c r="BN18" i="50"/>
  <c r="BR18" i="50" s="1"/>
  <c r="BN21" i="50"/>
  <c r="BG32" i="50"/>
  <c r="BF32" i="50"/>
  <c r="BF17" i="50"/>
  <c r="BK17" i="50" s="1"/>
  <c r="BO17" i="50" s="1"/>
  <c r="BG17" i="50"/>
  <c r="BL17" i="50" s="1"/>
  <c r="BP17" i="50" s="1"/>
  <c r="BQ27" i="50"/>
  <c r="BN29" i="50"/>
  <c r="BF18" i="50"/>
  <c r="BG18" i="50"/>
  <c r="BG31" i="50"/>
  <c r="BF31" i="50"/>
  <c r="BN25" i="50"/>
  <c r="BG28" i="50"/>
  <c r="BF28" i="50"/>
  <c r="BN32" i="50"/>
  <c r="BM31" i="50"/>
  <c r="BI23" i="50"/>
  <c r="BN23" i="50" s="1"/>
  <c r="BI24" i="50"/>
  <c r="BN24" i="50" s="1"/>
  <c r="BG19" i="50"/>
  <c r="BF19" i="50"/>
  <c r="BN27" i="50"/>
  <c r="BN26" i="50"/>
  <c r="J11" i="48"/>
  <c r="N8" i="48"/>
  <c r="S8" i="48" s="1"/>
  <c r="J9" i="48"/>
  <c r="J8" i="48"/>
  <c r="B33" i="15"/>
  <c r="H13" i="15"/>
  <c r="G13" i="15"/>
  <c r="F13" i="15"/>
  <c r="F17" i="15" s="1"/>
  <c r="E13" i="15"/>
  <c r="E17" i="15" s="1"/>
  <c r="E33" i="15" s="1"/>
  <c r="D13" i="15"/>
  <c r="D17" i="15" s="1"/>
  <c r="D33" i="15" s="1"/>
  <c r="C13" i="15"/>
  <c r="C17" i="15" s="1"/>
  <c r="C33" i="15" s="1"/>
  <c r="J3" i="15"/>
  <c r="B21" i="15"/>
  <c r="M38" i="1"/>
  <c r="O38" i="1"/>
  <c r="N38" i="1"/>
  <c r="L38" i="1"/>
  <c r="L79" i="1" s="1"/>
  <c r="Q38" i="1"/>
  <c r="C53" i="1"/>
  <c r="J6" i="51"/>
  <c r="F6" i="51"/>
  <c r="I6" i="51"/>
  <c r="H6" i="51"/>
  <c r="G6" i="51"/>
  <c r="D53" i="1"/>
  <c r="L59" i="28"/>
  <c r="AC13" i="22"/>
  <c r="AG13" i="22"/>
  <c r="AB14" i="22"/>
  <c r="AG12" i="22"/>
  <c r="AA13" i="22"/>
  <c r="N2" i="24"/>
  <c r="O2" i="24"/>
  <c r="J2" i="24"/>
  <c r="K2" i="24"/>
  <c r="L2" i="24"/>
  <c r="M2" i="24"/>
  <c r="I2" i="24"/>
  <c r="AE82" i="12"/>
  <c r="AD82" i="12"/>
  <c r="AC82" i="12"/>
  <c r="X82" i="12"/>
  <c r="Y3" i="12"/>
  <c r="Y4" i="12"/>
  <c r="Y5" i="12"/>
  <c r="Y6" i="12"/>
  <c r="Y7" i="12"/>
  <c r="Y8"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2" i="12"/>
  <c r="O21" i="5"/>
  <c r="P21" i="5"/>
  <c r="N21" i="5"/>
  <c r="Q21" i="5"/>
  <c r="Q24" i="5" s="1"/>
  <c r="Q26" i="5" s="1"/>
  <c r="L13" i="5"/>
  <c r="L21" i="5" s="1"/>
  <c r="M13" i="5"/>
  <c r="M21" i="5" s="1"/>
  <c r="K13" i="5"/>
  <c r="K21" i="5" s="1"/>
  <c r="M53" i="11"/>
  <c r="L21" i="11"/>
  <c r="Q39" i="24"/>
  <c r="Y8" i="24"/>
  <c r="Y7" i="24"/>
  <c r="Y6" i="24"/>
  <c r="C140" i="36"/>
  <c r="D140" i="36"/>
  <c r="E140" i="36"/>
  <c r="F140" i="36"/>
  <c r="G140" i="36"/>
  <c r="H140" i="36"/>
  <c r="I140" i="36"/>
  <c r="J140" i="36"/>
  <c r="K140" i="36"/>
  <c r="L140" i="36"/>
  <c r="M140" i="36"/>
  <c r="N140" i="36"/>
  <c r="O140" i="36"/>
  <c r="P140" i="36"/>
  <c r="Q140" i="36"/>
  <c r="R140" i="36"/>
  <c r="S140" i="36"/>
  <c r="T140" i="36"/>
  <c r="B140" i="36"/>
  <c r="T138" i="36"/>
  <c r="S138" i="36"/>
  <c r="R138" i="36"/>
  <c r="Q138" i="36"/>
  <c r="P138" i="36"/>
  <c r="O138" i="36"/>
  <c r="N138" i="36"/>
  <c r="M138" i="36"/>
  <c r="L138" i="36"/>
  <c r="K138" i="36"/>
  <c r="J138" i="36"/>
  <c r="I138" i="36"/>
  <c r="H138" i="36"/>
  <c r="G138" i="36"/>
  <c r="F138" i="36"/>
  <c r="E138" i="36"/>
  <c r="D138" i="36"/>
  <c r="C138" i="36"/>
  <c r="B138" i="36"/>
  <c r="T137" i="36"/>
  <c r="S137" i="36"/>
  <c r="R137" i="36"/>
  <c r="Q137" i="36"/>
  <c r="P137" i="36"/>
  <c r="O137" i="36"/>
  <c r="N137" i="36"/>
  <c r="M137" i="36"/>
  <c r="L137" i="36"/>
  <c r="K137" i="36"/>
  <c r="J137" i="36"/>
  <c r="I137" i="36"/>
  <c r="H137" i="36"/>
  <c r="G137" i="36"/>
  <c r="F137" i="36"/>
  <c r="E137" i="36"/>
  <c r="D137" i="36"/>
  <c r="C137" i="36"/>
  <c r="B137" i="36"/>
  <c r="T136" i="36"/>
  <c r="S136" i="36"/>
  <c r="R136" i="36"/>
  <c r="Q136" i="36"/>
  <c r="P136" i="36"/>
  <c r="O136" i="36"/>
  <c r="N136" i="36"/>
  <c r="M136" i="36"/>
  <c r="L136" i="36"/>
  <c r="K136" i="36"/>
  <c r="J136" i="36"/>
  <c r="I136" i="36"/>
  <c r="H136" i="36"/>
  <c r="G136" i="36"/>
  <c r="F136" i="36"/>
  <c r="E136" i="36"/>
  <c r="D136" i="36"/>
  <c r="C136" i="36"/>
  <c r="B136" i="36"/>
  <c r="T135" i="36"/>
  <c r="S135" i="36"/>
  <c r="R135" i="36"/>
  <c r="Q135" i="36"/>
  <c r="P135" i="36"/>
  <c r="O135" i="36"/>
  <c r="N135" i="36"/>
  <c r="M135" i="36"/>
  <c r="L135" i="36"/>
  <c r="K135" i="36"/>
  <c r="J135" i="36"/>
  <c r="I135" i="36"/>
  <c r="H135" i="36"/>
  <c r="G135" i="36"/>
  <c r="F135" i="36"/>
  <c r="E135" i="36"/>
  <c r="D135" i="36"/>
  <c r="C135" i="36"/>
  <c r="B135" i="36"/>
  <c r="T134" i="36"/>
  <c r="S134" i="36"/>
  <c r="R134" i="36"/>
  <c r="Q134" i="36"/>
  <c r="P134" i="36"/>
  <c r="O134" i="36"/>
  <c r="N134" i="36"/>
  <c r="M134" i="36"/>
  <c r="L134" i="36"/>
  <c r="K134" i="36"/>
  <c r="J134" i="36"/>
  <c r="I134" i="36"/>
  <c r="H134" i="36"/>
  <c r="G134" i="36"/>
  <c r="F134" i="36"/>
  <c r="E134" i="36"/>
  <c r="D134" i="36"/>
  <c r="C134" i="36"/>
  <c r="B134" i="36"/>
  <c r="T133" i="36"/>
  <c r="S133" i="36"/>
  <c r="R133" i="36"/>
  <c r="Q133" i="36"/>
  <c r="P133" i="36"/>
  <c r="O133" i="36"/>
  <c r="N133" i="36"/>
  <c r="M133" i="36"/>
  <c r="L133" i="36"/>
  <c r="K133" i="36"/>
  <c r="J133" i="36"/>
  <c r="I133" i="36"/>
  <c r="H133" i="36"/>
  <c r="G133" i="36"/>
  <c r="F133" i="36"/>
  <c r="E133" i="36"/>
  <c r="D133" i="36"/>
  <c r="C133" i="36"/>
  <c r="B133" i="36"/>
  <c r="T132" i="36"/>
  <c r="S132" i="36"/>
  <c r="R132" i="36"/>
  <c r="Q132" i="36"/>
  <c r="P132" i="36"/>
  <c r="O132" i="36"/>
  <c r="N132" i="36"/>
  <c r="M132" i="36"/>
  <c r="L132" i="36"/>
  <c r="K132" i="36"/>
  <c r="J132" i="36"/>
  <c r="I132" i="36"/>
  <c r="H132" i="36"/>
  <c r="G132" i="36"/>
  <c r="F132" i="36"/>
  <c r="E132" i="36"/>
  <c r="D132" i="36"/>
  <c r="C132" i="36"/>
  <c r="B132" i="36"/>
  <c r="T131" i="36"/>
  <c r="S131" i="36"/>
  <c r="R131" i="36"/>
  <c r="Q131" i="36"/>
  <c r="P131" i="36"/>
  <c r="O131" i="36"/>
  <c r="N131" i="36"/>
  <c r="M131" i="36"/>
  <c r="L131" i="36"/>
  <c r="K131" i="36"/>
  <c r="J131" i="36"/>
  <c r="I131" i="36"/>
  <c r="H131" i="36"/>
  <c r="G131" i="36"/>
  <c r="F131" i="36"/>
  <c r="E131" i="36"/>
  <c r="D131" i="36"/>
  <c r="C131" i="36"/>
  <c r="B131" i="36"/>
  <c r="T130" i="36"/>
  <c r="S130" i="36"/>
  <c r="R130" i="36"/>
  <c r="Q130" i="36"/>
  <c r="P130" i="36"/>
  <c r="O130" i="36"/>
  <c r="N130" i="36"/>
  <c r="M130" i="36"/>
  <c r="L130" i="36"/>
  <c r="K130" i="36"/>
  <c r="J130" i="36"/>
  <c r="I130" i="36"/>
  <c r="H130" i="36"/>
  <c r="G130" i="36"/>
  <c r="F130" i="36"/>
  <c r="E130" i="36"/>
  <c r="D130" i="36"/>
  <c r="C130" i="36"/>
  <c r="B130" i="36"/>
  <c r="T129" i="36"/>
  <c r="S129" i="36"/>
  <c r="R129" i="36"/>
  <c r="Q129" i="36"/>
  <c r="P129" i="36"/>
  <c r="O129" i="36"/>
  <c r="N129" i="36"/>
  <c r="M129" i="36"/>
  <c r="L129" i="36"/>
  <c r="K129" i="36"/>
  <c r="J129" i="36"/>
  <c r="I129" i="36"/>
  <c r="H129" i="36"/>
  <c r="G129" i="36"/>
  <c r="F129" i="36"/>
  <c r="E129" i="36"/>
  <c r="D129" i="36"/>
  <c r="C129" i="36"/>
  <c r="B129" i="36"/>
  <c r="T128" i="36"/>
  <c r="S128" i="36"/>
  <c r="R128" i="36"/>
  <c r="Q128" i="36"/>
  <c r="P128" i="36"/>
  <c r="O128" i="36"/>
  <c r="N128" i="36"/>
  <c r="M128" i="36"/>
  <c r="L128" i="36"/>
  <c r="K128" i="36"/>
  <c r="J128" i="36"/>
  <c r="I128" i="36"/>
  <c r="H128" i="36"/>
  <c r="G128" i="36"/>
  <c r="F128" i="36"/>
  <c r="E128" i="36"/>
  <c r="D128" i="36"/>
  <c r="C128" i="36"/>
  <c r="B128" i="36"/>
  <c r="T127" i="36"/>
  <c r="S127" i="36"/>
  <c r="R127" i="36"/>
  <c r="Q127" i="36"/>
  <c r="P127" i="36"/>
  <c r="O127" i="36"/>
  <c r="N127" i="36"/>
  <c r="M127" i="36"/>
  <c r="L127" i="36"/>
  <c r="K127" i="36"/>
  <c r="J127" i="36"/>
  <c r="I127" i="36"/>
  <c r="H127" i="36"/>
  <c r="G127" i="36"/>
  <c r="F127" i="36"/>
  <c r="E127" i="36"/>
  <c r="D127" i="36"/>
  <c r="C127" i="36"/>
  <c r="B127" i="36"/>
  <c r="T126" i="36"/>
  <c r="S126" i="36"/>
  <c r="R126" i="36"/>
  <c r="Q126" i="36"/>
  <c r="P126" i="36"/>
  <c r="O126" i="36"/>
  <c r="N126" i="36"/>
  <c r="M126" i="36"/>
  <c r="L126" i="36"/>
  <c r="K126" i="36"/>
  <c r="J126" i="36"/>
  <c r="I126" i="36"/>
  <c r="H126" i="36"/>
  <c r="G126" i="36"/>
  <c r="F126" i="36"/>
  <c r="E126" i="36"/>
  <c r="D126" i="36"/>
  <c r="C126" i="36"/>
  <c r="B126" i="36"/>
  <c r="T125" i="36"/>
  <c r="S125" i="36"/>
  <c r="R125" i="36"/>
  <c r="Q125" i="36"/>
  <c r="P125" i="36"/>
  <c r="O125" i="36"/>
  <c r="N125" i="36"/>
  <c r="M125" i="36"/>
  <c r="L125" i="36"/>
  <c r="K125" i="36"/>
  <c r="J125" i="36"/>
  <c r="I125" i="36"/>
  <c r="H125" i="36"/>
  <c r="G125" i="36"/>
  <c r="F125" i="36"/>
  <c r="E125" i="36"/>
  <c r="D125" i="36"/>
  <c r="C125" i="36"/>
  <c r="B125" i="36"/>
  <c r="T124" i="36"/>
  <c r="S124" i="36"/>
  <c r="R124" i="36"/>
  <c r="Q124" i="36"/>
  <c r="P124" i="36"/>
  <c r="O124" i="36"/>
  <c r="N124" i="36"/>
  <c r="M124" i="36"/>
  <c r="L124" i="36"/>
  <c r="K124" i="36"/>
  <c r="J124" i="36"/>
  <c r="I124" i="36"/>
  <c r="H124" i="36"/>
  <c r="G124" i="36"/>
  <c r="F124" i="36"/>
  <c r="E124" i="36"/>
  <c r="D124" i="36"/>
  <c r="C124" i="36"/>
  <c r="B124" i="36"/>
  <c r="T123" i="36"/>
  <c r="S123" i="36"/>
  <c r="R123" i="36"/>
  <c r="Q123" i="36"/>
  <c r="P123" i="36"/>
  <c r="O123" i="36"/>
  <c r="N123" i="36"/>
  <c r="M123" i="36"/>
  <c r="L123" i="36"/>
  <c r="K123" i="36"/>
  <c r="J123" i="36"/>
  <c r="I123" i="36"/>
  <c r="H123" i="36"/>
  <c r="G123" i="36"/>
  <c r="F123" i="36"/>
  <c r="E123" i="36"/>
  <c r="D123" i="36"/>
  <c r="C123" i="36"/>
  <c r="B123" i="36"/>
  <c r="T122" i="36"/>
  <c r="S122" i="36"/>
  <c r="R122" i="36"/>
  <c r="Q122" i="36"/>
  <c r="P122" i="36"/>
  <c r="O122" i="36"/>
  <c r="N122" i="36"/>
  <c r="M122" i="36"/>
  <c r="L122" i="36"/>
  <c r="K122" i="36"/>
  <c r="J122" i="36"/>
  <c r="I122" i="36"/>
  <c r="H122" i="36"/>
  <c r="G122" i="36"/>
  <c r="F122" i="36"/>
  <c r="E122" i="36"/>
  <c r="D122" i="36"/>
  <c r="C122" i="36"/>
  <c r="B122" i="36"/>
  <c r="T121" i="36"/>
  <c r="S121" i="36"/>
  <c r="R121" i="36"/>
  <c r="Q121" i="36"/>
  <c r="P121" i="36"/>
  <c r="O121" i="36"/>
  <c r="N121" i="36"/>
  <c r="M121" i="36"/>
  <c r="L121" i="36"/>
  <c r="K121" i="36"/>
  <c r="J121" i="36"/>
  <c r="I121" i="36"/>
  <c r="H121" i="36"/>
  <c r="G121" i="36"/>
  <c r="F121" i="36"/>
  <c r="E121" i="36"/>
  <c r="D121" i="36"/>
  <c r="C121" i="36"/>
  <c r="B121" i="36"/>
  <c r="T117" i="36"/>
  <c r="S117" i="36"/>
  <c r="R117" i="36"/>
  <c r="Q117" i="36"/>
  <c r="P117" i="36"/>
  <c r="O117" i="36"/>
  <c r="N117" i="36"/>
  <c r="M117" i="36"/>
  <c r="L117" i="36"/>
  <c r="K117" i="36"/>
  <c r="J117" i="36"/>
  <c r="I117" i="36"/>
  <c r="H117" i="36"/>
  <c r="G117" i="36"/>
  <c r="F117" i="36"/>
  <c r="E117" i="36"/>
  <c r="D117" i="36"/>
  <c r="C117" i="36"/>
  <c r="B117" i="36"/>
  <c r="T116" i="36"/>
  <c r="S116" i="36"/>
  <c r="R116" i="36"/>
  <c r="Q116" i="36"/>
  <c r="P116" i="36"/>
  <c r="O116" i="36"/>
  <c r="N116" i="36"/>
  <c r="M116" i="36"/>
  <c r="L116" i="36"/>
  <c r="K116" i="36"/>
  <c r="J116" i="36"/>
  <c r="I116" i="36"/>
  <c r="H116" i="36"/>
  <c r="G116" i="36"/>
  <c r="F116" i="36"/>
  <c r="E116" i="36"/>
  <c r="D116" i="36"/>
  <c r="C116" i="36"/>
  <c r="B116" i="36"/>
  <c r="T115" i="36"/>
  <c r="S115" i="36"/>
  <c r="R115" i="36"/>
  <c r="Q115" i="36"/>
  <c r="P115" i="36"/>
  <c r="O115" i="36"/>
  <c r="N115" i="36"/>
  <c r="M115" i="36"/>
  <c r="L115" i="36"/>
  <c r="K115" i="36"/>
  <c r="J115" i="36"/>
  <c r="I115" i="36"/>
  <c r="H115" i="36"/>
  <c r="G115" i="36"/>
  <c r="F115" i="36"/>
  <c r="E115" i="36"/>
  <c r="D115" i="36"/>
  <c r="C115" i="36"/>
  <c r="B115" i="36"/>
  <c r="T114" i="36"/>
  <c r="S114" i="36"/>
  <c r="R114" i="36"/>
  <c r="Q114" i="36"/>
  <c r="P114" i="36"/>
  <c r="O114" i="36"/>
  <c r="N114" i="36"/>
  <c r="M114" i="36"/>
  <c r="L114" i="36"/>
  <c r="K114" i="36"/>
  <c r="J114" i="36"/>
  <c r="I114" i="36"/>
  <c r="H114" i="36"/>
  <c r="G114" i="36"/>
  <c r="F114" i="36"/>
  <c r="E114" i="36"/>
  <c r="D114" i="36"/>
  <c r="C114" i="36"/>
  <c r="B114" i="36"/>
  <c r="T113" i="36"/>
  <c r="S113" i="36"/>
  <c r="R113" i="36"/>
  <c r="Q113" i="36"/>
  <c r="P113" i="36"/>
  <c r="O113" i="36"/>
  <c r="N113" i="36"/>
  <c r="M113" i="36"/>
  <c r="L113" i="36"/>
  <c r="K113" i="36"/>
  <c r="J113" i="36"/>
  <c r="I113" i="36"/>
  <c r="H113" i="36"/>
  <c r="G113" i="36"/>
  <c r="F113" i="36"/>
  <c r="E113" i="36"/>
  <c r="D113" i="36"/>
  <c r="C113" i="36"/>
  <c r="B113" i="36"/>
  <c r="T112" i="36"/>
  <c r="S112" i="36"/>
  <c r="R112" i="36"/>
  <c r="Q112" i="36"/>
  <c r="P112" i="36"/>
  <c r="O112" i="36"/>
  <c r="N112" i="36"/>
  <c r="M112" i="36"/>
  <c r="L112" i="36"/>
  <c r="K112" i="36"/>
  <c r="J112" i="36"/>
  <c r="I112" i="36"/>
  <c r="H112" i="36"/>
  <c r="G112" i="36"/>
  <c r="F112" i="36"/>
  <c r="E112" i="36"/>
  <c r="D112" i="36"/>
  <c r="C112" i="36"/>
  <c r="B112" i="36"/>
  <c r="T111" i="36"/>
  <c r="S111" i="36"/>
  <c r="R111" i="36"/>
  <c r="Q111" i="36"/>
  <c r="P111" i="36"/>
  <c r="O111" i="36"/>
  <c r="N111" i="36"/>
  <c r="M111" i="36"/>
  <c r="L111" i="36"/>
  <c r="K111" i="36"/>
  <c r="J111" i="36"/>
  <c r="I111" i="36"/>
  <c r="H111" i="36"/>
  <c r="G111" i="36"/>
  <c r="F111" i="36"/>
  <c r="E111" i="36"/>
  <c r="D111" i="36"/>
  <c r="C111" i="36"/>
  <c r="B111" i="36"/>
  <c r="T110" i="36"/>
  <c r="S110" i="36"/>
  <c r="R110" i="36"/>
  <c r="Q110" i="36"/>
  <c r="P110" i="36"/>
  <c r="O110" i="36"/>
  <c r="N110" i="36"/>
  <c r="M110" i="36"/>
  <c r="L110" i="36"/>
  <c r="K110" i="36"/>
  <c r="J110" i="36"/>
  <c r="I110" i="36"/>
  <c r="H110" i="36"/>
  <c r="G110" i="36"/>
  <c r="F110" i="36"/>
  <c r="E110" i="36"/>
  <c r="D110" i="36"/>
  <c r="C110" i="36"/>
  <c r="B110" i="36"/>
  <c r="T109" i="36"/>
  <c r="S109" i="36"/>
  <c r="R109" i="36"/>
  <c r="Q109" i="36"/>
  <c r="P109" i="36"/>
  <c r="O109" i="36"/>
  <c r="N109" i="36"/>
  <c r="M109" i="36"/>
  <c r="L109" i="36"/>
  <c r="K109" i="36"/>
  <c r="J109" i="36"/>
  <c r="I109" i="36"/>
  <c r="H109" i="36"/>
  <c r="G109" i="36"/>
  <c r="F109" i="36"/>
  <c r="E109" i="36"/>
  <c r="D109" i="36"/>
  <c r="C109" i="36"/>
  <c r="B109" i="36"/>
  <c r="T108" i="36"/>
  <c r="S108" i="36"/>
  <c r="R108" i="36"/>
  <c r="Q108" i="36"/>
  <c r="P108" i="36"/>
  <c r="O108" i="36"/>
  <c r="N108" i="36"/>
  <c r="M108" i="36"/>
  <c r="L108" i="36"/>
  <c r="K108" i="36"/>
  <c r="J108" i="36"/>
  <c r="I108" i="36"/>
  <c r="H108" i="36"/>
  <c r="G108" i="36"/>
  <c r="F108" i="36"/>
  <c r="E108" i="36"/>
  <c r="D108" i="36"/>
  <c r="C108" i="36"/>
  <c r="B108" i="36"/>
  <c r="T107" i="36"/>
  <c r="S107" i="36"/>
  <c r="R107" i="36"/>
  <c r="Q107" i="36"/>
  <c r="P107" i="36"/>
  <c r="O107" i="36"/>
  <c r="N107" i="36"/>
  <c r="M107" i="36"/>
  <c r="L107" i="36"/>
  <c r="K107" i="36"/>
  <c r="J107" i="36"/>
  <c r="I107" i="36"/>
  <c r="H107" i="36"/>
  <c r="G107" i="36"/>
  <c r="F107" i="36"/>
  <c r="E107" i="36"/>
  <c r="D107" i="36"/>
  <c r="C107" i="36"/>
  <c r="B107" i="36"/>
  <c r="T106" i="36"/>
  <c r="S106" i="36"/>
  <c r="R106" i="36"/>
  <c r="Q106" i="36"/>
  <c r="P106" i="36"/>
  <c r="O106" i="36"/>
  <c r="N106" i="36"/>
  <c r="M106" i="36"/>
  <c r="L106" i="36"/>
  <c r="K106" i="36"/>
  <c r="J106" i="36"/>
  <c r="I106" i="36"/>
  <c r="H106" i="36"/>
  <c r="G106" i="36"/>
  <c r="F106" i="36"/>
  <c r="E106" i="36"/>
  <c r="D106" i="36"/>
  <c r="C106" i="36"/>
  <c r="B106" i="36"/>
  <c r="T105" i="36"/>
  <c r="S105" i="36"/>
  <c r="R105" i="36"/>
  <c r="Q105" i="36"/>
  <c r="P105" i="36"/>
  <c r="O105" i="36"/>
  <c r="N105" i="36"/>
  <c r="M105" i="36"/>
  <c r="L105" i="36"/>
  <c r="K105" i="36"/>
  <c r="J105" i="36"/>
  <c r="I105" i="36"/>
  <c r="H105" i="36"/>
  <c r="G105" i="36"/>
  <c r="F105" i="36"/>
  <c r="E105" i="36"/>
  <c r="D105" i="36"/>
  <c r="C105" i="36"/>
  <c r="B105" i="36"/>
  <c r="T104" i="36"/>
  <c r="S104" i="36"/>
  <c r="R104" i="36"/>
  <c r="Q104" i="36"/>
  <c r="P104" i="36"/>
  <c r="O104" i="36"/>
  <c r="N104" i="36"/>
  <c r="M104" i="36"/>
  <c r="L104" i="36"/>
  <c r="K104" i="36"/>
  <c r="J104" i="36"/>
  <c r="I104" i="36"/>
  <c r="H104" i="36"/>
  <c r="G104" i="36"/>
  <c r="F104" i="36"/>
  <c r="E104" i="36"/>
  <c r="D104" i="36"/>
  <c r="C104" i="36"/>
  <c r="B104" i="36"/>
  <c r="T103" i="36"/>
  <c r="S103" i="36"/>
  <c r="R103" i="36"/>
  <c r="Q103" i="36"/>
  <c r="P103" i="36"/>
  <c r="O103" i="36"/>
  <c r="N103" i="36"/>
  <c r="M103" i="36"/>
  <c r="L103" i="36"/>
  <c r="K103" i="36"/>
  <c r="J103" i="36"/>
  <c r="I103" i="36"/>
  <c r="H103" i="36"/>
  <c r="G103" i="36"/>
  <c r="F103" i="36"/>
  <c r="E103" i="36"/>
  <c r="D103" i="36"/>
  <c r="C103" i="36"/>
  <c r="B103" i="36"/>
  <c r="T102" i="36"/>
  <c r="S102" i="36"/>
  <c r="R102" i="36"/>
  <c r="Q102" i="36"/>
  <c r="P102" i="36"/>
  <c r="O102" i="36"/>
  <c r="N102" i="36"/>
  <c r="M102" i="36"/>
  <c r="L102" i="36"/>
  <c r="K102" i="36"/>
  <c r="J102" i="36"/>
  <c r="I102" i="36"/>
  <c r="H102" i="36"/>
  <c r="G102" i="36"/>
  <c r="F102" i="36"/>
  <c r="E102" i="36"/>
  <c r="D102" i="36"/>
  <c r="C102" i="36"/>
  <c r="B102" i="36"/>
  <c r="T101" i="36"/>
  <c r="S101" i="36"/>
  <c r="R101" i="36"/>
  <c r="Q101" i="36"/>
  <c r="P101" i="36"/>
  <c r="O101" i="36"/>
  <c r="N101" i="36"/>
  <c r="M101" i="36"/>
  <c r="L101" i="36"/>
  <c r="K101" i="36"/>
  <c r="J101" i="36"/>
  <c r="I101" i="36"/>
  <c r="H101" i="36"/>
  <c r="G101" i="36"/>
  <c r="F101" i="36"/>
  <c r="E101" i="36"/>
  <c r="D101" i="36"/>
  <c r="C101" i="36"/>
  <c r="B101" i="36"/>
  <c r="T100" i="36"/>
  <c r="S100" i="36"/>
  <c r="R100" i="36"/>
  <c r="Q100" i="36"/>
  <c r="P100" i="36"/>
  <c r="O100" i="36"/>
  <c r="N100" i="36"/>
  <c r="M100" i="36"/>
  <c r="L100" i="36"/>
  <c r="K100" i="36"/>
  <c r="J100" i="36"/>
  <c r="I100" i="36"/>
  <c r="H100" i="36"/>
  <c r="G100" i="36"/>
  <c r="F100" i="36"/>
  <c r="E100" i="36"/>
  <c r="D100" i="36"/>
  <c r="C100" i="36"/>
  <c r="B100" i="36"/>
  <c r="C79" i="36"/>
  <c r="D79" i="36"/>
  <c r="E79" i="36"/>
  <c r="F79" i="36"/>
  <c r="G79" i="36"/>
  <c r="H79" i="36"/>
  <c r="I79" i="36"/>
  <c r="J79" i="36"/>
  <c r="K79" i="36"/>
  <c r="L79" i="36"/>
  <c r="M79" i="36"/>
  <c r="N79" i="36"/>
  <c r="O79" i="36"/>
  <c r="P79" i="36"/>
  <c r="Q79" i="36"/>
  <c r="R79" i="36"/>
  <c r="S79" i="36"/>
  <c r="T79" i="36"/>
  <c r="C80" i="36"/>
  <c r="D80" i="36"/>
  <c r="E80" i="36"/>
  <c r="F80" i="36"/>
  <c r="G80" i="36"/>
  <c r="H80" i="36"/>
  <c r="I80" i="36"/>
  <c r="J80" i="36"/>
  <c r="K80" i="36"/>
  <c r="L80" i="36"/>
  <c r="M80" i="36"/>
  <c r="N80" i="36"/>
  <c r="O80" i="36"/>
  <c r="P80" i="36"/>
  <c r="Q80" i="36"/>
  <c r="R80" i="36"/>
  <c r="S80" i="36"/>
  <c r="T80" i="36"/>
  <c r="C81" i="36"/>
  <c r="D81" i="36"/>
  <c r="E81" i="36"/>
  <c r="F81" i="36"/>
  <c r="G81" i="36"/>
  <c r="H81" i="36"/>
  <c r="I81" i="36"/>
  <c r="J81" i="36"/>
  <c r="K81" i="36"/>
  <c r="L81" i="36"/>
  <c r="M81" i="36"/>
  <c r="N81" i="36"/>
  <c r="O81" i="36"/>
  <c r="P81" i="36"/>
  <c r="Q81" i="36"/>
  <c r="R81" i="36"/>
  <c r="S81" i="36"/>
  <c r="T81" i="36"/>
  <c r="C82" i="36"/>
  <c r="D82" i="36"/>
  <c r="E82" i="36"/>
  <c r="F82" i="36"/>
  <c r="G82" i="36"/>
  <c r="H82" i="36"/>
  <c r="I82" i="36"/>
  <c r="J82" i="36"/>
  <c r="K82" i="36"/>
  <c r="L82" i="36"/>
  <c r="M82" i="36"/>
  <c r="N82" i="36"/>
  <c r="O82" i="36"/>
  <c r="P82" i="36"/>
  <c r="Q82" i="36"/>
  <c r="R82" i="36"/>
  <c r="S82" i="36"/>
  <c r="T82" i="36"/>
  <c r="C83" i="36"/>
  <c r="D83" i="36"/>
  <c r="E83" i="36"/>
  <c r="F83" i="36"/>
  <c r="G83" i="36"/>
  <c r="H83" i="36"/>
  <c r="I83" i="36"/>
  <c r="J83" i="36"/>
  <c r="K83" i="36"/>
  <c r="L83" i="36"/>
  <c r="M83" i="36"/>
  <c r="N83" i="36"/>
  <c r="O83" i="36"/>
  <c r="P83" i="36"/>
  <c r="Q83" i="36"/>
  <c r="R83" i="36"/>
  <c r="S83" i="36"/>
  <c r="T83" i="36"/>
  <c r="C84" i="36"/>
  <c r="D84" i="36"/>
  <c r="E84" i="36"/>
  <c r="F84" i="36"/>
  <c r="G84" i="36"/>
  <c r="H84" i="36"/>
  <c r="I84" i="36"/>
  <c r="J84" i="36"/>
  <c r="K84" i="36"/>
  <c r="L84" i="36"/>
  <c r="M84" i="36"/>
  <c r="N84" i="36"/>
  <c r="O84" i="36"/>
  <c r="P84" i="36"/>
  <c r="Q84" i="36"/>
  <c r="R84" i="36"/>
  <c r="S84" i="36"/>
  <c r="T84" i="36"/>
  <c r="C85" i="36"/>
  <c r="D85" i="36"/>
  <c r="E85" i="36"/>
  <c r="F85" i="36"/>
  <c r="G85" i="36"/>
  <c r="H85" i="36"/>
  <c r="I85" i="36"/>
  <c r="J85" i="36"/>
  <c r="K85" i="36"/>
  <c r="L85" i="36"/>
  <c r="M85" i="36"/>
  <c r="N85" i="36"/>
  <c r="O85" i="36"/>
  <c r="P85" i="36"/>
  <c r="Q85" i="36"/>
  <c r="R85" i="36"/>
  <c r="S85" i="36"/>
  <c r="T85" i="36"/>
  <c r="C86" i="36"/>
  <c r="D86" i="36"/>
  <c r="E86" i="36"/>
  <c r="F86" i="36"/>
  <c r="G86" i="36"/>
  <c r="H86" i="36"/>
  <c r="I86" i="36"/>
  <c r="J86" i="36"/>
  <c r="K86" i="36"/>
  <c r="L86" i="36"/>
  <c r="M86" i="36"/>
  <c r="N86" i="36"/>
  <c r="O86" i="36"/>
  <c r="P86" i="36"/>
  <c r="Q86" i="36"/>
  <c r="R86" i="36"/>
  <c r="S86" i="36"/>
  <c r="T86" i="36"/>
  <c r="C87" i="36"/>
  <c r="D87" i="36"/>
  <c r="E87" i="36"/>
  <c r="F87" i="36"/>
  <c r="G87" i="36"/>
  <c r="H87" i="36"/>
  <c r="I87" i="36"/>
  <c r="J87" i="36"/>
  <c r="K87" i="36"/>
  <c r="L87" i="36"/>
  <c r="M87" i="36"/>
  <c r="N87" i="36"/>
  <c r="O87" i="36"/>
  <c r="P87" i="36"/>
  <c r="Q87" i="36"/>
  <c r="R87" i="36"/>
  <c r="S87" i="36"/>
  <c r="T87" i="36"/>
  <c r="C88" i="36"/>
  <c r="D88" i="36"/>
  <c r="E88" i="36"/>
  <c r="F88" i="36"/>
  <c r="G88" i="36"/>
  <c r="H88" i="36"/>
  <c r="I88" i="36"/>
  <c r="J88" i="36"/>
  <c r="K88" i="36"/>
  <c r="L88" i="36"/>
  <c r="M88" i="36"/>
  <c r="N88" i="36"/>
  <c r="O88" i="36"/>
  <c r="P88" i="36"/>
  <c r="Q88" i="36"/>
  <c r="R88" i="36"/>
  <c r="S88" i="36"/>
  <c r="T88" i="36"/>
  <c r="C89" i="36"/>
  <c r="D89" i="36"/>
  <c r="E89" i="36"/>
  <c r="F89" i="36"/>
  <c r="G89" i="36"/>
  <c r="H89" i="36"/>
  <c r="I89" i="36"/>
  <c r="J89" i="36"/>
  <c r="K89" i="36"/>
  <c r="L89" i="36"/>
  <c r="M89" i="36"/>
  <c r="N89" i="36"/>
  <c r="O89" i="36"/>
  <c r="P89" i="36"/>
  <c r="Q89" i="36"/>
  <c r="R89" i="36"/>
  <c r="S89" i="36"/>
  <c r="T89" i="36"/>
  <c r="C90" i="36"/>
  <c r="D90" i="36"/>
  <c r="E90" i="36"/>
  <c r="F90" i="36"/>
  <c r="G90" i="36"/>
  <c r="H90" i="36"/>
  <c r="I90" i="36"/>
  <c r="J90" i="36"/>
  <c r="K90" i="36"/>
  <c r="L90" i="36"/>
  <c r="M90" i="36"/>
  <c r="N90" i="36"/>
  <c r="O90" i="36"/>
  <c r="P90" i="36"/>
  <c r="Q90" i="36"/>
  <c r="R90" i="36"/>
  <c r="S90" i="36"/>
  <c r="T90" i="36"/>
  <c r="C91" i="36"/>
  <c r="D91" i="36"/>
  <c r="E91" i="36"/>
  <c r="F91" i="36"/>
  <c r="G91" i="36"/>
  <c r="H91" i="36"/>
  <c r="I91" i="36"/>
  <c r="J91" i="36"/>
  <c r="K91" i="36"/>
  <c r="L91" i="36"/>
  <c r="M91" i="36"/>
  <c r="N91" i="36"/>
  <c r="O91" i="36"/>
  <c r="P91" i="36"/>
  <c r="Q91" i="36"/>
  <c r="R91" i="36"/>
  <c r="S91" i="36"/>
  <c r="T91" i="36"/>
  <c r="C92" i="36"/>
  <c r="D92" i="36"/>
  <c r="E92" i="36"/>
  <c r="F92" i="36"/>
  <c r="G92" i="36"/>
  <c r="H92" i="36"/>
  <c r="I92" i="36"/>
  <c r="J92" i="36"/>
  <c r="K92" i="36"/>
  <c r="L92" i="36"/>
  <c r="M92" i="36"/>
  <c r="N92" i="36"/>
  <c r="O92" i="36"/>
  <c r="P92" i="36"/>
  <c r="Q92" i="36"/>
  <c r="R92" i="36"/>
  <c r="S92" i="36"/>
  <c r="T92" i="36"/>
  <c r="C93" i="36"/>
  <c r="D93" i="36"/>
  <c r="E93" i="36"/>
  <c r="F93" i="36"/>
  <c r="G93" i="36"/>
  <c r="H93" i="36"/>
  <c r="I93" i="36"/>
  <c r="J93" i="36"/>
  <c r="K93" i="36"/>
  <c r="L93" i="36"/>
  <c r="M93" i="36"/>
  <c r="N93" i="36"/>
  <c r="O93" i="36"/>
  <c r="P93" i="36"/>
  <c r="Q93" i="36"/>
  <c r="R93" i="36"/>
  <c r="S93" i="36"/>
  <c r="T93" i="36"/>
  <c r="C94" i="36"/>
  <c r="D94" i="36"/>
  <c r="E94" i="36"/>
  <c r="F94" i="36"/>
  <c r="G94" i="36"/>
  <c r="H94" i="36"/>
  <c r="I94" i="36"/>
  <c r="J94" i="36"/>
  <c r="K94" i="36"/>
  <c r="L94" i="36"/>
  <c r="M94" i="36"/>
  <c r="N94" i="36"/>
  <c r="O94" i="36"/>
  <c r="P94" i="36"/>
  <c r="Q94" i="36"/>
  <c r="R94" i="36"/>
  <c r="S94" i="36"/>
  <c r="T94" i="36"/>
  <c r="C95" i="36"/>
  <c r="D95" i="36"/>
  <c r="E95" i="36"/>
  <c r="F95" i="36"/>
  <c r="G95" i="36"/>
  <c r="H95" i="36"/>
  <c r="I95" i="36"/>
  <c r="J95" i="36"/>
  <c r="K95" i="36"/>
  <c r="L95" i="36"/>
  <c r="M95" i="36"/>
  <c r="N95" i="36"/>
  <c r="O95" i="36"/>
  <c r="P95" i="36"/>
  <c r="Q95" i="36"/>
  <c r="R95" i="36"/>
  <c r="S95" i="36"/>
  <c r="T95" i="36"/>
  <c r="C96" i="36"/>
  <c r="D96" i="36"/>
  <c r="E96" i="36"/>
  <c r="F96" i="36"/>
  <c r="G96" i="36"/>
  <c r="H96" i="36"/>
  <c r="I96" i="36"/>
  <c r="J96" i="36"/>
  <c r="K96" i="36"/>
  <c r="L96" i="36"/>
  <c r="M96" i="36"/>
  <c r="N96" i="36"/>
  <c r="O96" i="36"/>
  <c r="P96" i="36"/>
  <c r="Q96" i="36"/>
  <c r="R96" i="36"/>
  <c r="S96" i="36"/>
  <c r="T96" i="36"/>
  <c r="B80" i="36"/>
  <c r="B81" i="36"/>
  <c r="B82" i="36"/>
  <c r="B83" i="36"/>
  <c r="B84" i="36"/>
  <c r="B85" i="36"/>
  <c r="B86" i="36"/>
  <c r="B87" i="36"/>
  <c r="B88" i="36"/>
  <c r="B89" i="36"/>
  <c r="B90" i="36"/>
  <c r="B91" i="36"/>
  <c r="B92" i="36"/>
  <c r="B93" i="36"/>
  <c r="B94" i="36"/>
  <c r="B95" i="36"/>
  <c r="B96" i="36"/>
  <c r="B79" i="36"/>
  <c r="C8" i="36"/>
  <c r="C9" i="36"/>
  <c r="C10" i="36"/>
  <c r="C11" i="36"/>
  <c r="C12" i="36"/>
  <c r="C13" i="36"/>
  <c r="C14" i="36"/>
  <c r="C15" i="36"/>
  <c r="C16" i="36"/>
  <c r="C17" i="36"/>
  <c r="C18" i="36"/>
  <c r="C19" i="36"/>
  <c r="C20" i="36"/>
  <c r="C21" i="36"/>
  <c r="C22" i="36"/>
  <c r="C23" i="36"/>
  <c r="C24" i="36"/>
  <c r="C25" i="36"/>
  <c r="B9" i="36"/>
  <c r="B10" i="36"/>
  <c r="B11" i="36"/>
  <c r="B12" i="36"/>
  <c r="B13" i="36"/>
  <c r="B14" i="36"/>
  <c r="B15" i="36"/>
  <c r="B16" i="36"/>
  <c r="B17" i="36"/>
  <c r="B18" i="36"/>
  <c r="B19" i="36"/>
  <c r="B20" i="36"/>
  <c r="B21" i="36"/>
  <c r="B22" i="36"/>
  <c r="B23" i="36"/>
  <c r="B24" i="36"/>
  <c r="B25" i="36"/>
  <c r="B8" i="36"/>
  <c r="N9" i="11"/>
  <c r="N10" i="11"/>
  <c r="O10" i="11" s="1"/>
  <c r="N11" i="11"/>
  <c r="O11" i="11" s="1"/>
  <c r="N12" i="11"/>
  <c r="O12" i="11" s="1"/>
  <c r="N13" i="11"/>
  <c r="N14" i="11"/>
  <c r="O14" i="11" s="1"/>
  <c r="N15" i="11"/>
  <c r="O15" i="11" s="1"/>
  <c r="N16" i="11"/>
  <c r="O16" i="11" s="1"/>
  <c r="N17" i="11"/>
  <c r="O17" i="11" s="1"/>
  <c r="N18" i="11"/>
  <c r="N19" i="11"/>
  <c r="O19" i="11" s="1"/>
  <c r="O8" i="11"/>
  <c r="N8" i="11"/>
  <c r="G15" i="27"/>
  <c r="G8" i="27"/>
  <c r="D24" i="33"/>
  <c r="D12" i="33"/>
  <c r="K28" i="27"/>
  <c r="K5" i="27"/>
  <c r="C44" i="27"/>
  <c r="C16" i="27"/>
  <c r="F35" i="27"/>
  <c r="E21" i="27"/>
  <c r="S19" i="24"/>
  <c r="R25" i="24"/>
  <c r="G35" i="27"/>
  <c r="O42" i="1" l="1"/>
  <c r="O79" i="1"/>
  <c r="M42" i="1"/>
  <c r="M79" i="1"/>
  <c r="Q42" i="1"/>
  <c r="Q79" i="1"/>
  <c r="N42" i="1"/>
  <c r="N79" i="1"/>
  <c r="H3" i="51"/>
  <c r="E5" i="15"/>
  <c r="E23" i="15" s="1"/>
  <c r="G3" i="51"/>
  <c r="D5" i="15"/>
  <c r="D23" i="15" s="1"/>
  <c r="J3" i="51"/>
  <c r="I3" i="51"/>
  <c r="F3" i="51"/>
  <c r="C5" i="15"/>
  <c r="C23" i="15" s="1"/>
  <c r="F5" i="15"/>
  <c r="F23" i="15" s="1"/>
  <c r="P102" i="1"/>
  <c r="O102" i="1"/>
  <c r="N3" i="51"/>
  <c r="N15" i="51" s="1"/>
  <c r="E4" i="15"/>
  <c r="E22" i="15" s="1"/>
  <c r="F4" i="15"/>
  <c r="F22" i="15" s="1"/>
  <c r="L3" i="51"/>
  <c r="O3" i="51"/>
  <c r="C4" i="15"/>
  <c r="C22" i="15" s="1"/>
  <c r="M3" i="51"/>
  <c r="D4" i="15"/>
  <c r="D22" i="15" s="1"/>
  <c r="AQ38" i="50"/>
  <c r="AQ21" i="50" s="1"/>
  <c r="AO38" i="50"/>
  <c r="AO21" i="50" s="1"/>
  <c r="Q6" i="51"/>
  <c r="G12" i="15"/>
  <c r="P6" i="51"/>
  <c r="E12" i="15"/>
  <c r="N6" i="51"/>
  <c r="F12" i="15"/>
  <c r="O6" i="51"/>
  <c r="X40" i="51"/>
  <c r="Y40" i="51"/>
  <c r="AA40" i="51"/>
  <c r="Z40" i="51"/>
  <c r="B12" i="15"/>
  <c r="K6" i="51"/>
  <c r="D12" i="15"/>
  <c r="M6" i="51"/>
  <c r="C12" i="15"/>
  <c r="L6" i="51"/>
  <c r="AD11" i="51"/>
  <c r="P15" i="51"/>
  <c r="BL34" i="50"/>
  <c r="BP34" i="50" s="1"/>
  <c r="BK31" i="50"/>
  <c r="BO31" i="50" s="1"/>
  <c r="BL31" i="50"/>
  <c r="BP31" i="50" s="1"/>
  <c r="BL27" i="50"/>
  <c r="BU34" i="50"/>
  <c r="BY29" i="50"/>
  <c r="BF23" i="50"/>
  <c r="BK23" i="50" s="1"/>
  <c r="BO23" i="50" s="1"/>
  <c r="BU29" i="50"/>
  <c r="BL24" i="50"/>
  <c r="BP24" i="50" s="1"/>
  <c r="BL29" i="50"/>
  <c r="BP29" i="50" s="1"/>
  <c r="BV31" i="50"/>
  <c r="BL28" i="50"/>
  <c r="BP28" i="50" s="1"/>
  <c r="BV34" i="50"/>
  <c r="BU28" i="50"/>
  <c r="BK28" i="50"/>
  <c r="BO28" i="50" s="1"/>
  <c r="BK34" i="50"/>
  <c r="BO34" i="50" s="1"/>
  <c r="BK19" i="50"/>
  <c r="BO19" i="50" s="1"/>
  <c r="BL19" i="50"/>
  <c r="BP19" i="50" s="1"/>
  <c r="BV22" i="50"/>
  <c r="BL18" i="50"/>
  <c r="BP18" i="50" s="1"/>
  <c r="BL32" i="50"/>
  <c r="BK27" i="50"/>
  <c r="BO27" i="50" s="1"/>
  <c r="BK30" i="50"/>
  <c r="BO30" i="50" s="1"/>
  <c r="BK29" i="50"/>
  <c r="BO29" i="50" s="1"/>
  <c r="BK32" i="50"/>
  <c r="BK18" i="50"/>
  <c r="BO18" i="50" s="1"/>
  <c r="BL23" i="50"/>
  <c r="BT27" i="50" s="1"/>
  <c r="BL30" i="50"/>
  <c r="BT31" i="50"/>
  <c r="BP27" i="50"/>
  <c r="BR24" i="50"/>
  <c r="BV24" i="50"/>
  <c r="BZ21" i="50"/>
  <c r="BR21" i="50"/>
  <c r="BV21" i="50"/>
  <c r="BV23" i="50"/>
  <c r="BR23" i="50"/>
  <c r="BV29" i="50"/>
  <c r="BZ29" i="50"/>
  <c r="BR29" i="50"/>
  <c r="BG25" i="50"/>
  <c r="BL25" i="50" s="1"/>
  <c r="BF25" i="50"/>
  <c r="BK25" i="50" s="1"/>
  <c r="BU31" i="50"/>
  <c r="BQ31" i="50"/>
  <c r="BR28" i="50"/>
  <c r="BV28" i="50"/>
  <c r="BU24" i="50"/>
  <c r="BQ24" i="50"/>
  <c r="BF24" i="50"/>
  <c r="BK24" i="50" s="1"/>
  <c r="BQ25" i="50"/>
  <c r="BR32" i="50"/>
  <c r="BV32" i="50"/>
  <c r="BG26" i="50"/>
  <c r="BL26" i="50" s="1"/>
  <c r="BT30" i="50" s="1"/>
  <c r="BF26" i="50"/>
  <c r="BK26" i="50" s="1"/>
  <c r="BU33" i="50"/>
  <c r="BY33" i="50"/>
  <c r="BQ33" i="50"/>
  <c r="BR26" i="50"/>
  <c r="BV26" i="50"/>
  <c r="BV25" i="50"/>
  <c r="BZ25" i="50"/>
  <c r="BR25" i="50"/>
  <c r="BQ26" i="50"/>
  <c r="BK20" i="50"/>
  <c r="BO20" i="50" s="1"/>
  <c r="BL33" i="50"/>
  <c r="BQ32" i="50"/>
  <c r="BU32" i="50"/>
  <c r="BV33" i="50"/>
  <c r="BZ33" i="50"/>
  <c r="BR33" i="50"/>
  <c r="BV27" i="50"/>
  <c r="BR27" i="50"/>
  <c r="BV30" i="50"/>
  <c r="BQ30" i="50"/>
  <c r="BU30" i="50"/>
  <c r="BL20" i="50"/>
  <c r="BP20" i="50" s="1"/>
  <c r="BK33" i="50"/>
  <c r="BU23" i="50"/>
  <c r="BQ23" i="50"/>
  <c r="F33" i="15"/>
  <c r="L5" i="15"/>
  <c r="L4" i="15"/>
  <c r="G17" i="15"/>
  <c r="H12" i="15"/>
  <c r="K53" i="1"/>
  <c r="E53" i="1"/>
  <c r="J53" i="1"/>
  <c r="L53" i="1"/>
  <c r="F53" i="1"/>
  <c r="G53" i="1"/>
  <c r="H53" i="1"/>
  <c r="M53" i="1"/>
  <c r="P53" i="1"/>
  <c r="N53" i="1"/>
  <c r="I53" i="1"/>
  <c r="O53" i="1"/>
  <c r="Q53" i="1"/>
  <c r="Y82" i="12"/>
  <c r="O18" i="11"/>
  <c r="O9" i="11"/>
  <c r="O13" i="11"/>
  <c r="AC14" i="22"/>
  <c r="AH13" i="22"/>
  <c r="AG14" i="22"/>
  <c r="AB15" i="22"/>
  <c r="AA14" i="22"/>
  <c r="AF13" i="22"/>
  <c r="N24" i="24"/>
  <c r="M24" i="24"/>
  <c r="D35" i="32"/>
  <c r="E35" i="32"/>
  <c r="F35" i="32"/>
  <c r="G35" i="32"/>
  <c r="C35" i="32"/>
  <c r="K60" i="27"/>
  <c r="K61" i="27"/>
  <c r="K30" i="27"/>
  <c r="K27" i="27"/>
  <c r="G37" i="27"/>
  <c r="G16" i="27"/>
  <c r="D16" i="27"/>
  <c r="E16" i="27"/>
  <c r="F16" i="27"/>
  <c r="E29" i="15" l="1"/>
  <c r="E35" i="15"/>
  <c r="D35" i="15"/>
  <c r="F35" i="15"/>
  <c r="C35" i="15"/>
  <c r="S77" i="1"/>
  <c r="E34" i="15"/>
  <c r="Q102" i="1"/>
  <c r="F34" i="15"/>
  <c r="G16" i="15"/>
  <c r="C34" i="15"/>
  <c r="P8" i="51"/>
  <c r="P9" i="51"/>
  <c r="L8" i="51"/>
  <c r="C14" i="51" s="1"/>
  <c r="M15" i="51"/>
  <c r="M9" i="51"/>
  <c r="D15" i="51" s="1"/>
  <c r="O8" i="51"/>
  <c r="F14" i="51" s="1"/>
  <c r="N8" i="51"/>
  <c r="E14" i="51" s="1"/>
  <c r="M8" i="51"/>
  <c r="D14" i="51" s="1"/>
  <c r="O15" i="51"/>
  <c r="O9" i="51"/>
  <c r="F15" i="51" s="1"/>
  <c r="L15" i="51"/>
  <c r="L9" i="51"/>
  <c r="C15" i="51" s="1"/>
  <c r="K8" i="51"/>
  <c r="N9" i="51"/>
  <c r="E15" i="51" s="1"/>
  <c r="M102" i="1"/>
  <c r="F16" i="15"/>
  <c r="E16" i="15"/>
  <c r="D34" i="15"/>
  <c r="AP21" i="50"/>
  <c r="AX21" i="50" s="1"/>
  <c r="AW21" i="50"/>
  <c r="AO22" i="50"/>
  <c r="AY21" i="50"/>
  <c r="AQ22" i="50"/>
  <c r="AY22" i="50" s="1"/>
  <c r="E28" i="15"/>
  <c r="N102" i="1"/>
  <c r="BT34" i="50"/>
  <c r="BS31" i="50"/>
  <c r="G27" i="15"/>
  <c r="D16" i="15"/>
  <c r="F27" i="15"/>
  <c r="G14" i="48"/>
  <c r="L14" i="48" s="1"/>
  <c r="F28" i="15"/>
  <c r="G28" i="15"/>
  <c r="B16" i="15"/>
  <c r="AA41" i="51"/>
  <c r="G29" i="15"/>
  <c r="C28" i="15"/>
  <c r="B27" i="15"/>
  <c r="C16" i="15"/>
  <c r="E27" i="15"/>
  <c r="F29" i="15"/>
  <c r="D27" i="15"/>
  <c r="D28" i="15"/>
  <c r="C27" i="15"/>
  <c r="Y41" i="51"/>
  <c r="D29" i="15"/>
  <c r="C29" i="15"/>
  <c r="AC11" i="51"/>
  <c r="AC12" i="51"/>
  <c r="Z41" i="51"/>
  <c r="Q9" i="51"/>
  <c r="H15" i="51" s="1"/>
  <c r="BP30" i="50"/>
  <c r="BT32" i="50"/>
  <c r="BP32" i="50"/>
  <c r="BS30" i="50"/>
  <c r="BS28" i="50"/>
  <c r="BT28" i="50"/>
  <c r="BS34" i="50"/>
  <c r="BS32" i="50"/>
  <c r="BS27" i="50"/>
  <c r="BS29" i="50"/>
  <c r="BT29" i="50"/>
  <c r="BO32" i="50"/>
  <c r="BP23" i="50"/>
  <c r="BT23" i="50"/>
  <c r="BW29" i="50"/>
  <c r="BS23" i="50"/>
  <c r="BO26" i="50"/>
  <c r="BP26" i="50"/>
  <c r="BS24" i="50"/>
  <c r="BO24" i="50"/>
  <c r="BT33" i="50"/>
  <c r="BX33" i="50"/>
  <c r="BP33" i="50"/>
  <c r="BT24" i="50"/>
  <c r="BW33" i="50"/>
  <c r="BO33" i="50"/>
  <c r="BS33" i="50"/>
  <c r="BO25" i="50"/>
  <c r="BP25" i="50"/>
  <c r="BX29" i="50"/>
  <c r="G33" i="15"/>
  <c r="G34" i="15"/>
  <c r="G35" i="15"/>
  <c r="H29" i="15"/>
  <c r="H16" i="15"/>
  <c r="H27" i="15"/>
  <c r="H28" i="15"/>
  <c r="AC15" i="22"/>
  <c r="AH14" i="22"/>
  <c r="AB16" i="22"/>
  <c r="AG15" i="22"/>
  <c r="AA15" i="22"/>
  <c r="AF14" i="22"/>
  <c r="D38" i="27"/>
  <c r="E38" i="27"/>
  <c r="F38" i="27"/>
  <c r="G38" i="27"/>
  <c r="H38" i="27"/>
  <c r="I38" i="27"/>
  <c r="C38" i="27"/>
  <c r="J27" i="15" l="1"/>
  <c r="B14" i="51"/>
  <c r="K7" i="51"/>
  <c r="L7" i="51" s="1"/>
  <c r="M7" i="51" s="1"/>
  <c r="N7" i="51" s="1"/>
  <c r="O7" i="51" s="1"/>
  <c r="P7" i="51" s="1"/>
  <c r="I27" i="15"/>
  <c r="AW22" i="50"/>
  <c r="AP22" i="50"/>
  <c r="AX22" i="50" s="1"/>
  <c r="BH21" i="50"/>
  <c r="BM21" i="50" s="1"/>
  <c r="BG21" i="50"/>
  <c r="BL21" i="50" s="1"/>
  <c r="BF21" i="50"/>
  <c r="BK21" i="50" s="1"/>
  <c r="R14" i="48"/>
  <c r="G15" i="51"/>
  <c r="S8" i="51"/>
  <c r="Q8" i="51" s="1"/>
  <c r="H14" i="51" s="1"/>
  <c r="R8" i="51"/>
  <c r="G14" i="51"/>
  <c r="J33" i="15"/>
  <c r="I33" i="15"/>
  <c r="C45" i="27"/>
  <c r="C63" i="27"/>
  <c r="AC16" i="22"/>
  <c r="AH15" i="22"/>
  <c r="AB17" i="22"/>
  <c r="AG16" i="22"/>
  <c r="AA16" i="22"/>
  <c r="AF15" i="22"/>
  <c r="N37" i="32"/>
  <c r="I15" i="27"/>
  <c r="Q17" i="28" s="1"/>
  <c r="H15" i="27"/>
  <c r="P17" i="28" s="1"/>
  <c r="D39" i="27"/>
  <c r="E39" i="27"/>
  <c r="F39" i="27"/>
  <c r="G39" i="27"/>
  <c r="H39" i="27"/>
  <c r="I39" i="27"/>
  <c r="C39" i="27"/>
  <c r="G69" i="27"/>
  <c r="D63" i="27"/>
  <c r="E63" i="27"/>
  <c r="F63" i="27"/>
  <c r="G63" i="27"/>
  <c r="H63" i="27"/>
  <c r="I63" i="27"/>
  <c r="E57" i="27"/>
  <c r="D51" i="27"/>
  <c r="E51" i="27"/>
  <c r="F51" i="27"/>
  <c r="J51" i="27" s="1"/>
  <c r="G51" i="27"/>
  <c r="G47" i="27" s="1"/>
  <c r="H51" i="27"/>
  <c r="I51" i="27"/>
  <c r="L75" i="27" s="1"/>
  <c r="C51" i="27"/>
  <c r="D45" i="27"/>
  <c r="E45" i="27"/>
  <c r="F45" i="27"/>
  <c r="G45" i="27"/>
  <c r="H45" i="27"/>
  <c r="I45" i="27"/>
  <c r="D68" i="27"/>
  <c r="E68" i="27"/>
  <c r="F68" i="27"/>
  <c r="G68" i="27"/>
  <c r="H68" i="27"/>
  <c r="I68" i="27"/>
  <c r="C68" i="27"/>
  <c r="D62" i="27"/>
  <c r="E62" i="27"/>
  <c r="F62" i="27"/>
  <c r="G62" i="27"/>
  <c r="H62" i="27"/>
  <c r="I62" i="27"/>
  <c r="C62" i="27"/>
  <c r="D56" i="27"/>
  <c r="E56" i="27"/>
  <c r="F56" i="27"/>
  <c r="G56" i="27"/>
  <c r="H56" i="27"/>
  <c r="I56" i="27"/>
  <c r="C56" i="27"/>
  <c r="D50" i="27"/>
  <c r="E50" i="27"/>
  <c r="F50" i="27"/>
  <c r="G50" i="27"/>
  <c r="H50" i="27"/>
  <c r="H52" i="27" s="1"/>
  <c r="I50" i="27"/>
  <c r="C50" i="27"/>
  <c r="E44" i="27"/>
  <c r="F44" i="27"/>
  <c r="G44" i="27"/>
  <c r="H44" i="27"/>
  <c r="I44" i="27"/>
  <c r="D44" i="27"/>
  <c r="D35" i="27"/>
  <c r="D69" i="27" s="1"/>
  <c r="E35" i="27"/>
  <c r="E69" i="27" s="1"/>
  <c r="F69" i="27"/>
  <c r="F72" i="27" s="1"/>
  <c r="H35" i="27"/>
  <c r="K35" i="27" s="1"/>
  <c r="I35" i="27"/>
  <c r="C35" i="27"/>
  <c r="C69" i="27" s="1"/>
  <c r="D21" i="27"/>
  <c r="D57" i="27" s="1"/>
  <c r="F21" i="27"/>
  <c r="F57" i="27" s="1"/>
  <c r="G21" i="27"/>
  <c r="G57" i="27" s="1"/>
  <c r="H21" i="27"/>
  <c r="I21" i="27"/>
  <c r="C21" i="27"/>
  <c r="C57" i="27" s="1"/>
  <c r="O17" i="28"/>
  <c r="J6" i="27"/>
  <c r="H8" i="27"/>
  <c r="I8" i="27"/>
  <c r="J5" i="27"/>
  <c r="D37" i="32"/>
  <c r="E37" i="32"/>
  <c r="F37" i="32"/>
  <c r="G37" i="32"/>
  <c r="C37" i="32"/>
  <c r="D34" i="32"/>
  <c r="E34" i="32"/>
  <c r="F34" i="32"/>
  <c r="G34" i="32"/>
  <c r="C34" i="32"/>
  <c r="C39" i="32"/>
  <c r="D39" i="32"/>
  <c r="E39" i="32"/>
  <c r="H39" i="32"/>
  <c r="J39" i="32"/>
  <c r="L39" i="32"/>
  <c r="M39" i="32"/>
  <c r="U36" i="33"/>
  <c r="T36" i="33"/>
  <c r="S36" i="33"/>
  <c r="R36" i="33"/>
  <c r="Q36" i="33"/>
  <c r="P36" i="33"/>
  <c r="O36" i="33"/>
  <c r="N36" i="33"/>
  <c r="M36" i="33"/>
  <c r="L36" i="33"/>
  <c r="K36" i="33"/>
  <c r="J36" i="33"/>
  <c r="I36" i="33"/>
  <c r="H36" i="33"/>
  <c r="G36" i="33"/>
  <c r="F36" i="33"/>
  <c r="E36" i="33"/>
  <c r="D36" i="33"/>
  <c r="U35" i="33"/>
  <c r="T35" i="33"/>
  <c r="S35" i="33"/>
  <c r="R35" i="33"/>
  <c r="Q35" i="33"/>
  <c r="P35" i="33"/>
  <c r="O35" i="33"/>
  <c r="N35" i="33"/>
  <c r="M35" i="33"/>
  <c r="L35" i="33"/>
  <c r="K35" i="33"/>
  <c r="J35" i="33"/>
  <c r="I35" i="33"/>
  <c r="H35" i="33"/>
  <c r="G35" i="33"/>
  <c r="F35" i="33"/>
  <c r="E35" i="33"/>
  <c r="D35" i="33"/>
  <c r="U34" i="33"/>
  <c r="T34" i="33"/>
  <c r="S34" i="33"/>
  <c r="R34" i="33"/>
  <c r="Q34" i="33"/>
  <c r="P34" i="33"/>
  <c r="O34" i="33"/>
  <c r="N34" i="33"/>
  <c r="M34" i="33"/>
  <c r="L34" i="33"/>
  <c r="K34" i="33"/>
  <c r="J34" i="33"/>
  <c r="I34" i="33"/>
  <c r="H34" i="33"/>
  <c r="G34" i="33"/>
  <c r="F34" i="33"/>
  <c r="E34" i="33"/>
  <c r="D34" i="33"/>
  <c r="U33" i="33"/>
  <c r="T33" i="33"/>
  <c r="S33" i="33"/>
  <c r="R33" i="33"/>
  <c r="Q33" i="33"/>
  <c r="P33" i="33"/>
  <c r="O33" i="33"/>
  <c r="N33" i="33"/>
  <c r="M33" i="33"/>
  <c r="L33" i="33"/>
  <c r="K33" i="33"/>
  <c r="J33" i="33"/>
  <c r="I33" i="33"/>
  <c r="H33" i="33"/>
  <c r="G33" i="33"/>
  <c r="F33" i="33"/>
  <c r="E33" i="33"/>
  <c r="D33" i="33"/>
  <c r="U24" i="33"/>
  <c r="T24" i="33"/>
  <c r="S24" i="33"/>
  <c r="R24" i="33"/>
  <c r="Q24" i="33"/>
  <c r="P24" i="33"/>
  <c r="O24" i="33"/>
  <c r="N24" i="33"/>
  <c r="M24" i="33"/>
  <c r="L24" i="33"/>
  <c r="K24" i="33"/>
  <c r="J24" i="33"/>
  <c r="I24" i="33"/>
  <c r="H24" i="33"/>
  <c r="G24" i="33"/>
  <c r="F24" i="33"/>
  <c r="E24" i="33"/>
  <c r="U23" i="33"/>
  <c r="T23" i="33"/>
  <c r="S23" i="33"/>
  <c r="R23" i="33"/>
  <c r="Q23" i="33"/>
  <c r="P23" i="33"/>
  <c r="O23" i="33"/>
  <c r="N23" i="33"/>
  <c r="M23" i="33"/>
  <c r="L23" i="33"/>
  <c r="K23" i="33"/>
  <c r="J23" i="33"/>
  <c r="I23" i="33"/>
  <c r="H23" i="33"/>
  <c r="G23" i="33"/>
  <c r="F23" i="33"/>
  <c r="E23" i="33"/>
  <c r="D23" i="33"/>
  <c r="U22" i="33"/>
  <c r="T22" i="33"/>
  <c r="S22" i="33"/>
  <c r="R22" i="33"/>
  <c r="Q22" i="33"/>
  <c r="P22" i="33"/>
  <c r="O22" i="33"/>
  <c r="N22" i="33"/>
  <c r="M22" i="33"/>
  <c r="L22" i="33"/>
  <c r="K22" i="33"/>
  <c r="J22" i="33"/>
  <c r="I22" i="33"/>
  <c r="H22" i="33"/>
  <c r="G22" i="33"/>
  <c r="F22" i="33"/>
  <c r="E22" i="33"/>
  <c r="D22" i="33"/>
  <c r="U21" i="33"/>
  <c r="T21" i="33"/>
  <c r="S21" i="33"/>
  <c r="R21" i="33"/>
  <c r="Q21" i="33"/>
  <c r="P21" i="33"/>
  <c r="O21" i="33"/>
  <c r="N21" i="33"/>
  <c r="M21" i="33"/>
  <c r="L21" i="33"/>
  <c r="K21" i="33"/>
  <c r="J21" i="33"/>
  <c r="I21" i="33"/>
  <c r="H21" i="33"/>
  <c r="G21" i="33"/>
  <c r="F21" i="33"/>
  <c r="E21" i="33"/>
  <c r="D21" i="33"/>
  <c r="U12" i="33"/>
  <c r="T12" i="33"/>
  <c r="S12" i="33"/>
  <c r="R12" i="33"/>
  <c r="Q12" i="33"/>
  <c r="P12" i="33"/>
  <c r="O12" i="33"/>
  <c r="N12" i="33"/>
  <c r="M12" i="33"/>
  <c r="L12" i="33"/>
  <c r="K12" i="33"/>
  <c r="J12" i="33"/>
  <c r="I12" i="33"/>
  <c r="H12" i="33"/>
  <c r="G12" i="33"/>
  <c r="F12" i="33"/>
  <c r="E12" i="33"/>
  <c r="U11" i="33"/>
  <c r="T11" i="33"/>
  <c r="S11" i="33"/>
  <c r="R11" i="33"/>
  <c r="Q11" i="33"/>
  <c r="P11" i="33"/>
  <c r="O11" i="33"/>
  <c r="N11" i="33"/>
  <c r="M11" i="33"/>
  <c r="L11" i="33"/>
  <c r="K11" i="33"/>
  <c r="J11" i="33"/>
  <c r="I11" i="33"/>
  <c r="H11" i="33"/>
  <c r="G11" i="33"/>
  <c r="F11" i="33"/>
  <c r="E11" i="33"/>
  <c r="D11" i="33"/>
  <c r="U10" i="33"/>
  <c r="T10" i="33"/>
  <c r="S10" i="33"/>
  <c r="R10" i="33"/>
  <c r="Q10" i="33"/>
  <c r="P10" i="33"/>
  <c r="O10" i="33"/>
  <c r="N10" i="33"/>
  <c r="M10" i="33"/>
  <c r="L10" i="33"/>
  <c r="K10" i="33"/>
  <c r="J10" i="33"/>
  <c r="I10" i="33"/>
  <c r="H10" i="33"/>
  <c r="G10" i="33"/>
  <c r="F10" i="33"/>
  <c r="E10" i="33"/>
  <c r="D10" i="33"/>
  <c r="U9" i="33"/>
  <c r="T9" i="33"/>
  <c r="S9" i="33"/>
  <c r="P9" i="33"/>
  <c r="O9" i="33"/>
  <c r="N9" i="33"/>
  <c r="M9" i="33"/>
  <c r="L9" i="33"/>
  <c r="K9" i="33"/>
  <c r="J9" i="33"/>
  <c r="I9" i="33"/>
  <c r="H9" i="33"/>
  <c r="G9" i="33"/>
  <c r="F9" i="33"/>
  <c r="E9" i="33"/>
  <c r="D9" i="33"/>
  <c r="Q4" i="33"/>
  <c r="Q9" i="33" s="1"/>
  <c r="N8" i="1"/>
  <c r="N58" i="1" s="1"/>
  <c r="L28" i="27"/>
  <c r="J28" i="27"/>
  <c r="L13" i="27"/>
  <c r="K13" i="27"/>
  <c r="J13" i="27"/>
  <c r="L6" i="27"/>
  <c r="K6" i="27"/>
  <c r="M24" i="28"/>
  <c r="C23" i="30"/>
  <c r="O16" i="25"/>
  <c r="N16" i="25"/>
  <c r="M16" i="25"/>
  <c r="K17" i="25"/>
  <c r="K16" i="25"/>
  <c r="L16" i="25"/>
  <c r="J16" i="25"/>
  <c r="H16" i="25"/>
  <c r="I16" i="25"/>
  <c r="G16" i="25"/>
  <c r="K11" i="25"/>
  <c r="K13" i="25" s="1"/>
  <c r="M11" i="25"/>
  <c r="M13" i="25" s="1"/>
  <c r="O11" i="25"/>
  <c r="N11" i="25"/>
  <c r="L11" i="25"/>
  <c r="J11" i="25"/>
  <c r="I11" i="25"/>
  <c r="H11" i="25"/>
  <c r="H13" i="25" s="1"/>
  <c r="O10" i="25"/>
  <c r="O24" i="28"/>
  <c r="P24" i="28"/>
  <c r="Q24" i="28"/>
  <c r="N24" i="28"/>
  <c r="S5" i="24"/>
  <c r="S6" i="24"/>
  <c r="S7" i="24"/>
  <c r="S8" i="24"/>
  <c r="S9" i="24"/>
  <c r="S10" i="24"/>
  <c r="S11" i="24"/>
  <c r="S12" i="24"/>
  <c r="S13" i="24"/>
  <c r="S14" i="24"/>
  <c r="S15" i="24"/>
  <c r="R13" i="24"/>
  <c r="R14" i="24"/>
  <c r="R15" i="24"/>
  <c r="Q12" i="24"/>
  <c r="Q13" i="24"/>
  <c r="Q14" i="24"/>
  <c r="Q15" i="24"/>
  <c r="R5" i="24"/>
  <c r="Q5" i="24"/>
  <c r="I18" i="24"/>
  <c r="I20" i="24" s="1"/>
  <c r="J18" i="24"/>
  <c r="J20" i="24" s="1"/>
  <c r="K18" i="24"/>
  <c r="K20" i="24" s="1"/>
  <c r="L18" i="24"/>
  <c r="L20" i="24" s="1"/>
  <c r="M18" i="24"/>
  <c r="M20" i="24" s="1"/>
  <c r="N18" i="24"/>
  <c r="N20" i="24" s="1"/>
  <c r="O18" i="24"/>
  <c r="O20" i="24" s="1"/>
  <c r="H18" i="24"/>
  <c r="H20" i="24" s="1"/>
  <c r="O16" i="24"/>
  <c r="S16" i="24" s="1"/>
  <c r="N16" i="24"/>
  <c r="R16" i="24" s="1"/>
  <c r="I16" i="24"/>
  <c r="J16" i="24"/>
  <c r="K16" i="24"/>
  <c r="L16" i="24"/>
  <c r="M16" i="24"/>
  <c r="Q16" i="24" s="1"/>
  <c r="H16" i="24"/>
  <c r="R12" i="24"/>
  <c r="G12" i="28"/>
  <c r="H12" i="28"/>
  <c r="I12" i="28"/>
  <c r="I15" i="28" s="1"/>
  <c r="J12" i="28"/>
  <c r="K12" i="28"/>
  <c r="F12" i="28"/>
  <c r="F15" i="28" s="1"/>
  <c r="F6" i="28"/>
  <c r="G6" i="28"/>
  <c r="H6" i="28"/>
  <c r="I6" i="28"/>
  <c r="J6" i="28"/>
  <c r="K6" i="28"/>
  <c r="M16" i="22"/>
  <c r="M15" i="22"/>
  <c r="M12" i="22"/>
  <c r="O16" i="22"/>
  <c r="P16" i="22"/>
  <c r="Q16" i="22"/>
  <c r="O15" i="22"/>
  <c r="P15" i="22"/>
  <c r="Q15" i="22"/>
  <c r="C15" i="22"/>
  <c r="D15" i="22"/>
  <c r="E15" i="22"/>
  <c r="F15" i="22"/>
  <c r="G15" i="22"/>
  <c r="H15" i="22"/>
  <c r="I15" i="22"/>
  <c r="J15" i="22"/>
  <c r="K15" i="22"/>
  <c r="L15" i="22"/>
  <c r="C16" i="22"/>
  <c r="D16" i="22"/>
  <c r="E16" i="22"/>
  <c r="F16" i="22"/>
  <c r="G16" i="22"/>
  <c r="H16" i="22"/>
  <c r="I16" i="22"/>
  <c r="J16" i="22"/>
  <c r="K16" i="22"/>
  <c r="L16" i="22"/>
  <c r="C17" i="22"/>
  <c r="C12" i="1" s="1"/>
  <c r="D17" i="22"/>
  <c r="D12" i="1" s="1"/>
  <c r="E17" i="22"/>
  <c r="F17" i="22"/>
  <c r="F18" i="22" s="1"/>
  <c r="G17" i="22"/>
  <c r="G18" i="22" s="1"/>
  <c r="H17" i="22"/>
  <c r="H18" i="22" s="1"/>
  <c r="I17" i="22"/>
  <c r="I18" i="22" s="1"/>
  <c r="J17" i="22"/>
  <c r="K17" i="22"/>
  <c r="L17" i="22"/>
  <c r="B16" i="22"/>
  <c r="B17" i="22"/>
  <c r="B12" i="1" s="1"/>
  <c r="B15" i="22"/>
  <c r="N16" i="22"/>
  <c r="N15" i="22"/>
  <c r="N12" i="22"/>
  <c r="O7" i="22"/>
  <c r="P7" i="22"/>
  <c r="Q7" i="22"/>
  <c r="Q17" i="22" s="1"/>
  <c r="E39" i="30"/>
  <c r="F39" i="30"/>
  <c r="G39" i="30"/>
  <c r="D39" i="30"/>
  <c r="F36" i="30"/>
  <c r="G36" i="30"/>
  <c r="E36" i="30"/>
  <c r="E35" i="30"/>
  <c r="F35" i="30"/>
  <c r="G35" i="30"/>
  <c r="D35" i="30"/>
  <c r="G31" i="30"/>
  <c r="F31" i="30"/>
  <c r="E31" i="30"/>
  <c r="D31" i="30"/>
  <c r="G23" i="30"/>
  <c r="D23" i="30"/>
  <c r="E23" i="30"/>
  <c r="F23" i="30"/>
  <c r="O132" i="30"/>
  <c r="G50" i="30"/>
  <c r="F50" i="30"/>
  <c r="E50" i="30"/>
  <c r="D50" i="30"/>
  <c r="C50" i="30"/>
  <c r="G18" i="30"/>
  <c r="F18" i="30"/>
  <c r="D18" i="30"/>
  <c r="G16" i="30"/>
  <c r="F16" i="30"/>
  <c r="E16" i="30"/>
  <c r="E13" i="30" s="1"/>
  <c r="E18" i="30" s="1"/>
  <c r="D16" i="30"/>
  <c r="C11" i="30"/>
  <c r="C16" i="30" s="1"/>
  <c r="E9" i="30"/>
  <c r="G8" i="30"/>
  <c r="G9" i="30" s="1"/>
  <c r="F8" i="30"/>
  <c r="F9" i="30" s="1"/>
  <c r="E8" i="30"/>
  <c r="D8" i="30"/>
  <c r="D9" i="30" s="1"/>
  <c r="C7" i="30"/>
  <c r="C49" i="1"/>
  <c r="D49" i="1"/>
  <c r="E49" i="1"/>
  <c r="F49" i="1"/>
  <c r="G49" i="1"/>
  <c r="H49" i="1"/>
  <c r="I49" i="1"/>
  <c r="J49" i="1"/>
  <c r="B49" i="1"/>
  <c r="G34" i="1"/>
  <c r="H34" i="1"/>
  <c r="I34" i="1"/>
  <c r="J34" i="1"/>
  <c r="F34" i="1"/>
  <c r="Q7" i="29"/>
  <c r="P7" i="29"/>
  <c r="O7" i="29"/>
  <c r="N7" i="29"/>
  <c r="C19" i="1"/>
  <c r="D19" i="1"/>
  <c r="E19" i="1"/>
  <c r="F19" i="1"/>
  <c r="G19" i="1"/>
  <c r="H19" i="1"/>
  <c r="I19" i="1"/>
  <c r="J19" i="1"/>
  <c r="B19" i="1"/>
  <c r="J48" i="1"/>
  <c r="J87" i="1" s="1"/>
  <c r="L46" i="1"/>
  <c r="L85" i="1" s="1"/>
  <c r="M46" i="1"/>
  <c r="M85" i="1" s="1"/>
  <c r="N46" i="1"/>
  <c r="N85" i="1" s="1"/>
  <c r="K46" i="1"/>
  <c r="K85" i="1" s="1"/>
  <c r="G38" i="1"/>
  <c r="G79" i="1" s="1"/>
  <c r="H38" i="1"/>
  <c r="H79" i="1" s="1"/>
  <c r="I38" i="1"/>
  <c r="I79" i="1" s="1"/>
  <c r="F38" i="1"/>
  <c r="F79" i="1" s="1"/>
  <c r="K23" i="1"/>
  <c r="M9" i="28"/>
  <c r="S6" i="28"/>
  <c r="M7" i="28"/>
  <c r="L8" i="28"/>
  <c r="J17" i="1"/>
  <c r="I17" i="1"/>
  <c r="I65" i="1" s="1"/>
  <c r="L15" i="1"/>
  <c r="L63" i="1" s="1"/>
  <c r="M15" i="1"/>
  <c r="M63" i="1" s="1"/>
  <c r="N15" i="1"/>
  <c r="N63" i="1" s="1"/>
  <c r="K15" i="1"/>
  <c r="K63" i="1" s="1"/>
  <c r="L34" i="27"/>
  <c r="L27" i="27"/>
  <c r="L20" i="27"/>
  <c r="L12" i="27"/>
  <c r="L5" i="27"/>
  <c r="K34" i="27"/>
  <c r="J34" i="27"/>
  <c r="J27" i="27"/>
  <c r="K20" i="27"/>
  <c r="J20" i="27"/>
  <c r="K69" i="1" l="1"/>
  <c r="J38" i="1"/>
  <c r="J79" i="1" s="1"/>
  <c r="J65" i="1"/>
  <c r="R75" i="1"/>
  <c r="BX25" i="50"/>
  <c r="BT25" i="50"/>
  <c r="BX21" i="50"/>
  <c r="BT21" i="50"/>
  <c r="BP21" i="50"/>
  <c r="BQ21" i="50"/>
  <c r="BU21" i="50"/>
  <c r="BY25" i="50"/>
  <c r="BU25" i="50"/>
  <c r="BY21" i="50"/>
  <c r="BO21" i="50"/>
  <c r="BS21" i="50"/>
  <c r="BW21" i="50"/>
  <c r="BW25" i="50"/>
  <c r="BS25" i="50"/>
  <c r="BG22" i="50"/>
  <c r="BL22" i="50" s="1"/>
  <c r="BF22" i="50"/>
  <c r="BK22" i="50" s="1"/>
  <c r="BH22" i="50"/>
  <c r="BM22" i="50" s="1"/>
  <c r="M35" i="32"/>
  <c r="M43" i="32" s="1"/>
  <c r="D40" i="30"/>
  <c r="F40" i="30"/>
  <c r="E40" i="30"/>
  <c r="K39" i="32"/>
  <c r="E72" i="27"/>
  <c r="D3" i="32" a="1"/>
  <c r="D6" i="32" s="1"/>
  <c r="L37" i="32"/>
  <c r="L45" i="32" s="1"/>
  <c r="H64" i="27"/>
  <c r="E3" i="32" a="1"/>
  <c r="E4" i="32" s="1"/>
  <c r="G3" i="32" a="1"/>
  <c r="G4" i="32" s="1"/>
  <c r="G12" i="32" a="1"/>
  <c r="G13" i="32" s="1"/>
  <c r="O34" i="1"/>
  <c r="K62" i="27"/>
  <c r="E12" i="32" a="1"/>
  <c r="E12" i="32" s="1"/>
  <c r="I64" i="27"/>
  <c r="I65" i="27"/>
  <c r="Q47" i="1"/>
  <c r="Q86" i="1" s="1"/>
  <c r="K44" i="27"/>
  <c r="K75" i="27"/>
  <c r="C71" i="27"/>
  <c r="AC17" i="22"/>
  <c r="AH16" i="22"/>
  <c r="AB18" i="22"/>
  <c r="AG17" i="22"/>
  <c r="AA17" i="22"/>
  <c r="AF16" i="22"/>
  <c r="H23" i="27"/>
  <c r="H57" i="27"/>
  <c r="G23" i="27"/>
  <c r="H69" i="27"/>
  <c r="I71" i="27"/>
  <c r="H71" i="27"/>
  <c r="G71" i="27"/>
  <c r="F71" i="27"/>
  <c r="E71" i="27"/>
  <c r="D71" i="27"/>
  <c r="I47" i="27"/>
  <c r="H47" i="27"/>
  <c r="H53" i="27"/>
  <c r="G53" i="27" s="1"/>
  <c r="K63" i="27"/>
  <c r="D72" i="27"/>
  <c r="G72" i="27"/>
  <c r="L35" i="32"/>
  <c r="L43" i="32" s="1"/>
  <c r="N35" i="32"/>
  <c r="K88" i="1"/>
  <c r="N43" i="1"/>
  <c r="N16" i="1"/>
  <c r="N64" i="1" s="1"/>
  <c r="M16" i="1"/>
  <c r="M64" i="1" s="1"/>
  <c r="H35" i="32"/>
  <c r="H43" i="32" s="1"/>
  <c r="K35" i="32"/>
  <c r="J35" i="32"/>
  <c r="J43" i="32" s="1"/>
  <c r="I35" i="32"/>
  <c r="C36" i="32"/>
  <c r="C44" i="32" s="1"/>
  <c r="F43" i="1"/>
  <c r="F36" i="32"/>
  <c r="F38" i="32" s="1"/>
  <c r="I43" i="1"/>
  <c r="E36" i="32"/>
  <c r="E38" i="32" s="1"/>
  <c r="H43" i="1"/>
  <c r="D36" i="32"/>
  <c r="D38" i="32" s="1"/>
  <c r="G43" i="1"/>
  <c r="K89" i="1"/>
  <c r="H37" i="32"/>
  <c r="H45" i="32" s="1"/>
  <c r="N47" i="1"/>
  <c r="N86" i="1" s="1"/>
  <c r="K37" i="32"/>
  <c r="M47" i="1"/>
  <c r="M86" i="1" s="1"/>
  <c r="J37" i="32"/>
  <c r="J45" i="32" s="1"/>
  <c r="I37" i="32"/>
  <c r="F16" i="28"/>
  <c r="K34" i="32"/>
  <c r="C42" i="32"/>
  <c r="R19" i="1"/>
  <c r="R20" i="1" s="1"/>
  <c r="L21" i="27"/>
  <c r="I23" i="27"/>
  <c r="I57" i="27"/>
  <c r="K57" i="27" s="1"/>
  <c r="J21" i="27"/>
  <c r="L35" i="27"/>
  <c r="I69" i="27"/>
  <c r="K69" i="27" s="1"/>
  <c r="J45" i="27"/>
  <c r="C72" i="27"/>
  <c r="J69" i="27"/>
  <c r="K45" i="27"/>
  <c r="J63" i="27"/>
  <c r="K51" i="27"/>
  <c r="M37" i="32"/>
  <c r="M45" i="32" s="1"/>
  <c r="D12" i="32" a="1"/>
  <c r="D12" i="32" s="1"/>
  <c r="J35" i="27"/>
  <c r="K21" i="27"/>
  <c r="E42" i="32"/>
  <c r="E45" i="32"/>
  <c r="E43" i="32"/>
  <c r="D42" i="32"/>
  <c r="D45" i="32"/>
  <c r="D43" i="32"/>
  <c r="C45" i="32"/>
  <c r="C43" i="32"/>
  <c r="I39" i="32"/>
  <c r="G39" i="32"/>
  <c r="N39" i="32"/>
  <c r="F39" i="32"/>
  <c r="N45" i="28"/>
  <c r="G40" i="30"/>
  <c r="K39" i="28"/>
  <c r="G32" i="28"/>
  <c r="Q45" i="28"/>
  <c r="I32" i="28"/>
  <c r="M45" i="28"/>
  <c r="H32" i="28"/>
  <c r="K38" i="28"/>
  <c r="Q36" i="28"/>
  <c r="O45" i="28"/>
  <c r="I45" i="28"/>
  <c r="F34" i="28"/>
  <c r="P45" i="28"/>
  <c r="J32" i="28"/>
  <c r="P36" i="28"/>
  <c r="R9" i="33"/>
  <c r="I13" i="25"/>
  <c r="J13" i="25"/>
  <c r="L13" i="25"/>
  <c r="N13" i="25"/>
  <c r="O13" i="25"/>
  <c r="L34" i="28"/>
  <c r="L12" i="28"/>
  <c r="L38" i="28" s="1"/>
  <c r="N7" i="28"/>
  <c r="O7" i="28" s="1"/>
  <c r="M8" i="28"/>
  <c r="M34" i="28" s="1"/>
  <c r="J38" i="28"/>
  <c r="J15" i="28"/>
  <c r="J16" i="28" s="1"/>
  <c r="H38" i="28"/>
  <c r="H15" i="28"/>
  <c r="H41" i="28" s="1"/>
  <c r="G38" i="28"/>
  <c r="G15" i="28"/>
  <c r="G16" i="28" s="1"/>
  <c r="N40" i="28"/>
  <c r="M37" i="28"/>
  <c r="L32" i="28"/>
  <c r="J39" i="28"/>
  <c r="I34" i="28"/>
  <c r="H34" i="28"/>
  <c r="G34" i="28"/>
  <c r="I19" i="28"/>
  <c r="I24" i="28" s="1"/>
  <c r="I41" i="28"/>
  <c r="I16" i="28"/>
  <c r="H19" i="28"/>
  <c r="H24" i="28" s="1"/>
  <c r="H45" i="28" s="1"/>
  <c r="P32" i="28"/>
  <c r="I38" i="28"/>
  <c r="M40" i="28"/>
  <c r="M39" i="28"/>
  <c r="F32" i="28"/>
  <c r="L15" i="28"/>
  <c r="H16" i="28"/>
  <c r="G19" i="28"/>
  <c r="G24" i="28" s="1"/>
  <c r="G45" i="28" s="1"/>
  <c r="O32" i="28"/>
  <c r="M33" i="28"/>
  <c r="L37" i="28"/>
  <c r="L40" i="28"/>
  <c r="K32" i="28"/>
  <c r="G41" i="28"/>
  <c r="F41" i="28"/>
  <c r="L39" i="28"/>
  <c r="K15" i="28"/>
  <c r="N32" i="28"/>
  <c r="L33" i="28"/>
  <c r="K34" i="28"/>
  <c r="O37" i="28"/>
  <c r="I40" i="28"/>
  <c r="K40" i="28"/>
  <c r="F19" i="28"/>
  <c r="F24" i="28" s="1"/>
  <c r="F45" i="28" s="1"/>
  <c r="J34" i="28"/>
  <c r="J40" i="28"/>
  <c r="M32" i="28"/>
  <c r="M35" i="28"/>
  <c r="N37" i="28"/>
  <c r="F38" i="28"/>
  <c r="I39" i="28"/>
  <c r="M12" i="28"/>
  <c r="N35" i="28"/>
  <c r="N39" i="28"/>
  <c r="O36" i="28"/>
  <c r="Q32" i="28"/>
  <c r="M34" i="1"/>
  <c r="Q18" i="22"/>
  <c r="I12" i="1"/>
  <c r="H12" i="1"/>
  <c r="E18" i="22"/>
  <c r="M17" i="22"/>
  <c r="J18" i="22"/>
  <c r="P17" i="22"/>
  <c r="J12" i="1"/>
  <c r="D18" i="22"/>
  <c r="C18" i="22"/>
  <c r="O17" i="22"/>
  <c r="B18" i="22"/>
  <c r="G12" i="1"/>
  <c r="F12" i="1"/>
  <c r="E12" i="1"/>
  <c r="L18" i="22"/>
  <c r="K18" i="22"/>
  <c r="E25" i="30"/>
  <c r="F25" i="30"/>
  <c r="C18" i="30"/>
  <c r="C8" i="30"/>
  <c r="C9" i="30" s="1"/>
  <c r="D25" i="30"/>
  <c r="P34" i="1"/>
  <c r="Q34" i="1"/>
  <c r="K34" i="1"/>
  <c r="N34" i="1"/>
  <c r="L34" i="1"/>
  <c r="J43" i="1" l="1"/>
  <c r="G36" i="32"/>
  <c r="G38" i="32" s="1"/>
  <c r="L89" i="1"/>
  <c r="R77" i="1"/>
  <c r="K79" i="1"/>
  <c r="Q89" i="1"/>
  <c r="S69" i="1"/>
  <c r="R69" i="1"/>
  <c r="M89" i="1"/>
  <c r="L88" i="1"/>
  <c r="P89" i="1"/>
  <c r="P111" i="1"/>
  <c r="Q111" i="1"/>
  <c r="Q88" i="1"/>
  <c r="BP22" i="50"/>
  <c r="BT22" i="50"/>
  <c r="BT26" i="50"/>
  <c r="BU26" i="50"/>
  <c r="BU22" i="50"/>
  <c r="BQ22" i="50"/>
  <c r="P88" i="1"/>
  <c r="BO22" i="50"/>
  <c r="BS26" i="50"/>
  <c r="BS22" i="50"/>
  <c r="G11" i="48"/>
  <c r="L11" i="48" s="1"/>
  <c r="M88" i="1"/>
  <c r="N88" i="1"/>
  <c r="G12" i="48"/>
  <c r="L12" i="48" s="1"/>
  <c r="G13" i="48"/>
  <c r="L13" i="48" s="1"/>
  <c r="O88" i="1"/>
  <c r="O89" i="1"/>
  <c r="N89" i="1"/>
  <c r="D7" i="32"/>
  <c r="R87" i="1"/>
  <c r="R65" i="1"/>
  <c r="G41" i="30"/>
  <c r="K43" i="32"/>
  <c r="K42" i="32"/>
  <c r="K45" i="32"/>
  <c r="D4" i="32"/>
  <c r="D3" i="32"/>
  <c r="D44" i="32"/>
  <c r="D46" i="32" s="1"/>
  <c r="E41" i="30"/>
  <c r="G12" i="32"/>
  <c r="F41" i="30"/>
  <c r="D8" i="32"/>
  <c r="D10" i="32"/>
  <c r="D11" i="32"/>
  <c r="E44" i="32"/>
  <c r="E46" i="32" s="1"/>
  <c r="D5" i="32"/>
  <c r="D9" i="32"/>
  <c r="C38" i="32"/>
  <c r="G14" i="32"/>
  <c r="D28" i="32" a="1"/>
  <c r="D28" i="32" s="1"/>
  <c r="J19" i="28"/>
  <c r="J24" i="28" s="1"/>
  <c r="J45" i="28" s="1"/>
  <c r="F43" i="28"/>
  <c r="J41" i="28"/>
  <c r="G7" i="32"/>
  <c r="G8" i="32"/>
  <c r="E11" i="32"/>
  <c r="E28" i="32" a="1"/>
  <c r="E28" i="32" s="1"/>
  <c r="G10" i="32"/>
  <c r="G3" i="32"/>
  <c r="G5" i="32"/>
  <c r="E5" i="32"/>
  <c r="G11" i="32"/>
  <c r="G6" i="32"/>
  <c r="E6" i="32"/>
  <c r="G9" i="32"/>
  <c r="E8" i="32"/>
  <c r="E9" i="32"/>
  <c r="E3" i="32"/>
  <c r="G19" i="32" a="1"/>
  <c r="G27" i="32" s="1"/>
  <c r="J57" i="27"/>
  <c r="E7" i="32"/>
  <c r="E10" i="32"/>
  <c r="E13" i="32"/>
  <c r="H72" i="27"/>
  <c r="H70" i="27"/>
  <c r="E14" i="32"/>
  <c r="D19" i="32" a="1"/>
  <c r="D27" i="32" s="1"/>
  <c r="I74" i="27"/>
  <c r="I70" i="27"/>
  <c r="E19" i="32" a="1"/>
  <c r="E20" i="32" s="1"/>
  <c r="AC18" i="22"/>
  <c r="AH17" i="22"/>
  <c r="AB19" i="22"/>
  <c r="AG18" i="22"/>
  <c r="AA18" i="22"/>
  <c r="AF17" i="22"/>
  <c r="G28" i="32" a="1"/>
  <c r="G29" i="32" s="1"/>
  <c r="M43" i="1"/>
  <c r="J36" i="32"/>
  <c r="J44" i="32" s="1"/>
  <c r="L43" i="1"/>
  <c r="I36" i="32"/>
  <c r="I44" i="32" s="1"/>
  <c r="C46" i="32"/>
  <c r="M9" i="1"/>
  <c r="M59" i="1" s="1"/>
  <c r="N9" i="1"/>
  <c r="K36" i="32"/>
  <c r="I72" i="27"/>
  <c r="Q43" i="1"/>
  <c r="N36" i="32"/>
  <c r="P43" i="1"/>
  <c r="M36" i="32"/>
  <c r="D13" i="32"/>
  <c r="D14" i="32"/>
  <c r="O43" i="1"/>
  <c r="L36" i="32"/>
  <c r="F44" i="32"/>
  <c r="F42" i="32"/>
  <c r="F45" i="32"/>
  <c r="F43" i="32"/>
  <c r="N45" i="32"/>
  <c r="N43" i="32"/>
  <c r="G43" i="32"/>
  <c r="G44" i="32"/>
  <c r="G42" i="32"/>
  <c r="G45" i="32"/>
  <c r="I45" i="32"/>
  <c r="I43" i="32"/>
  <c r="K68" i="27"/>
  <c r="S45" i="28"/>
  <c r="T45" i="28"/>
  <c r="K50" i="27"/>
  <c r="N33" i="28"/>
  <c r="N8" i="28"/>
  <c r="F20" i="28"/>
  <c r="J20" i="28"/>
  <c r="J21" i="28"/>
  <c r="J22" i="28" s="1"/>
  <c r="J43" i="28"/>
  <c r="H43" i="28"/>
  <c r="H20" i="28"/>
  <c r="I21" i="28"/>
  <c r="I22" i="28" s="1"/>
  <c r="I43" i="28"/>
  <c r="I20" i="28"/>
  <c r="L16" i="28"/>
  <c r="L41" i="28"/>
  <c r="L19" i="28"/>
  <c r="L24" i="28" s="1"/>
  <c r="L45" i="28" s="1"/>
  <c r="O33" i="28"/>
  <c r="O8" i="28"/>
  <c r="K16" i="28"/>
  <c r="K41" i="28"/>
  <c r="K19" i="28"/>
  <c r="K24" i="28" s="1"/>
  <c r="K45" i="28" s="1"/>
  <c r="M38" i="28"/>
  <c r="M19" i="28"/>
  <c r="M25" i="28" s="1"/>
  <c r="M22" i="28"/>
  <c r="M15" i="28"/>
  <c r="G43" i="28"/>
  <c r="G20" i="28"/>
  <c r="P18" i="22"/>
  <c r="O18" i="22"/>
  <c r="M18" i="22"/>
  <c r="G25" i="30"/>
  <c r="P7" i="28"/>
  <c r="N59" i="1" l="1"/>
  <c r="H36" i="32"/>
  <c r="H44" i="32" s="1"/>
  <c r="K3" i="51"/>
  <c r="K9" i="51" s="1"/>
  <c r="K43" i="1"/>
  <c r="F3" i="32" a="1"/>
  <c r="F13" i="32" s="1"/>
  <c r="J13" i="32" s="1"/>
  <c r="B4" i="15"/>
  <c r="J4" i="15" s="1"/>
  <c r="M4" i="15" s="1"/>
  <c r="B5" i="15"/>
  <c r="B35" i="15" s="1"/>
  <c r="P112" i="1"/>
  <c r="Q112" i="1"/>
  <c r="L102" i="1"/>
  <c r="F10" i="48" s="1"/>
  <c r="G10" i="48" s="1"/>
  <c r="R79" i="1"/>
  <c r="D30" i="32"/>
  <c r="G30" i="32"/>
  <c r="D29" i="32"/>
  <c r="E30" i="32"/>
  <c r="E29" i="32"/>
  <c r="M54" i="28"/>
  <c r="M55" i="28" s="1"/>
  <c r="M62" i="28" s="1"/>
  <c r="M59" i="28"/>
  <c r="G28" i="32"/>
  <c r="G22" i="32"/>
  <c r="E26" i="32"/>
  <c r="E25" i="32"/>
  <c r="G25" i="32"/>
  <c r="G23" i="32"/>
  <c r="E27" i="32"/>
  <c r="G19" i="32"/>
  <c r="G26" i="32"/>
  <c r="G24" i="32"/>
  <c r="E21" i="32"/>
  <c r="G20" i="32"/>
  <c r="G21" i="32"/>
  <c r="E24" i="32"/>
  <c r="D21" i="32"/>
  <c r="D19" i="32"/>
  <c r="D23" i="32"/>
  <c r="D26" i="32"/>
  <c r="D20" i="32"/>
  <c r="E23" i="32"/>
  <c r="D24" i="32"/>
  <c r="E19" i="32"/>
  <c r="D22" i="32"/>
  <c r="D25" i="32"/>
  <c r="E22" i="32"/>
  <c r="AC19" i="22"/>
  <c r="AH18" i="22"/>
  <c r="AB20" i="22"/>
  <c r="AG19" i="22"/>
  <c r="AA19" i="22"/>
  <c r="AF18" i="22"/>
  <c r="G46" i="32"/>
  <c r="F46" i="32"/>
  <c r="L44" i="32"/>
  <c r="M44" i="32"/>
  <c r="N44" i="32"/>
  <c r="K44" i="32"/>
  <c r="K46" i="32" s="1"/>
  <c r="K38" i="32"/>
  <c r="F19" i="32" a="1"/>
  <c r="F28" i="32" s="1"/>
  <c r="J28" i="32" s="1"/>
  <c r="N12" i="28"/>
  <c r="N34" i="28"/>
  <c r="M21" i="28"/>
  <c r="M20" i="28"/>
  <c r="M43" i="28"/>
  <c r="O34" i="28"/>
  <c r="O12" i="28"/>
  <c r="M16" i="28"/>
  <c r="M41" i="28"/>
  <c r="K20" i="28"/>
  <c r="K21" i="28"/>
  <c r="K22" i="28" s="1"/>
  <c r="K43" i="28"/>
  <c r="L43" i="28"/>
  <c r="L20" i="28"/>
  <c r="L21" i="28"/>
  <c r="L22" i="28" s="1"/>
  <c r="P33" i="28"/>
  <c r="P8" i="28"/>
  <c r="Q7" i="28"/>
  <c r="B23" i="15" l="1"/>
  <c r="K15" i="51"/>
  <c r="Q15" i="51" s="1"/>
  <c r="B29" i="15"/>
  <c r="J29" i="15" s="1"/>
  <c r="F11" i="32"/>
  <c r="J11" i="32" s="1"/>
  <c r="F10" i="32"/>
  <c r="J10" i="32" s="1"/>
  <c r="J5" i="15"/>
  <c r="M5" i="15" s="1"/>
  <c r="F4" i="32"/>
  <c r="J4" i="32" s="1"/>
  <c r="F14" i="32"/>
  <c r="J14" i="32" s="1"/>
  <c r="F9" i="32"/>
  <c r="J9" i="32" s="1"/>
  <c r="F3" i="32"/>
  <c r="J3" i="32" s="1"/>
  <c r="F5" i="32"/>
  <c r="J5" i="32" s="1"/>
  <c r="F12" i="32"/>
  <c r="J12" i="32" s="1"/>
  <c r="F6" i="32"/>
  <c r="J6" i="32" s="1"/>
  <c r="F8" i="32"/>
  <c r="J8" i="32" s="1"/>
  <c r="F7" i="32"/>
  <c r="J7" i="32" s="1"/>
  <c r="B28" i="15"/>
  <c r="I28" i="15" s="1"/>
  <c r="B34" i="15"/>
  <c r="I34" i="15" s="1"/>
  <c r="B22" i="15"/>
  <c r="H10" i="48"/>
  <c r="H11" i="48" s="1"/>
  <c r="H12" i="48" s="1"/>
  <c r="H13" i="48" s="1"/>
  <c r="H14" i="48" s="1"/>
  <c r="L10" i="48"/>
  <c r="P10" i="48" s="1"/>
  <c r="B15" i="51"/>
  <c r="S9" i="51"/>
  <c r="R9" i="51"/>
  <c r="I35" i="15"/>
  <c r="J35" i="15"/>
  <c r="AC20" i="22"/>
  <c r="AH19" i="22"/>
  <c r="AB21" i="22"/>
  <c r="AG20" i="22"/>
  <c r="AA20" i="22"/>
  <c r="AF19" i="22"/>
  <c r="F21" i="32"/>
  <c r="J21" i="32" s="1"/>
  <c r="F26" i="32"/>
  <c r="J26" i="32" s="1"/>
  <c r="F29" i="32"/>
  <c r="J29" i="32" s="1"/>
  <c r="F30" i="32"/>
  <c r="J30" i="32" s="1"/>
  <c r="F22" i="32"/>
  <c r="J22" i="32" s="1"/>
  <c r="F27" i="32"/>
  <c r="J27" i="32" s="1"/>
  <c r="F20" i="32"/>
  <c r="J20" i="32" s="1"/>
  <c r="F23" i="32"/>
  <c r="J23" i="32" s="1"/>
  <c r="F19" i="32"/>
  <c r="J19" i="32" s="1"/>
  <c r="F24" i="32"/>
  <c r="J24" i="32" s="1"/>
  <c r="F25" i="32"/>
  <c r="J25" i="32" s="1"/>
  <c r="N15" i="28"/>
  <c r="N22" i="28"/>
  <c r="N38" i="28"/>
  <c r="N19" i="28"/>
  <c r="N25" i="28" s="1"/>
  <c r="Q33" i="28"/>
  <c r="Q8" i="28"/>
  <c r="P34" i="28"/>
  <c r="P12" i="28"/>
  <c r="P19" i="28" s="1"/>
  <c r="O19" i="28"/>
  <c r="O25" i="28" s="1"/>
  <c r="O15" i="28"/>
  <c r="O38" i="28"/>
  <c r="S8" i="28"/>
  <c r="I29" i="15" l="1"/>
  <c r="J28" i="15"/>
  <c r="J34" i="15"/>
  <c r="T10" i="48"/>
  <c r="P11" i="48"/>
  <c r="AC21" i="22"/>
  <c r="AH20" i="22"/>
  <c r="AB22" i="22"/>
  <c r="AG21" i="22"/>
  <c r="AA21" i="22"/>
  <c r="AF20" i="22"/>
  <c r="N21" i="28"/>
  <c r="N43" i="28"/>
  <c r="N20" i="28"/>
  <c r="N16" i="28"/>
  <c r="N41" i="28"/>
  <c r="P38" i="28"/>
  <c r="P15" i="28"/>
  <c r="Q34" i="28"/>
  <c r="Q12" i="28"/>
  <c r="O16" i="28"/>
  <c r="O41" i="28"/>
  <c r="O43" i="28"/>
  <c r="O20" i="28"/>
  <c r="O21" i="28"/>
  <c r="O22" i="28" s="1"/>
  <c r="F60" i="1"/>
  <c r="G60" i="1"/>
  <c r="H60" i="1"/>
  <c r="I60" i="1"/>
  <c r="J60" i="1"/>
  <c r="N49" i="1"/>
  <c r="M8" i="1"/>
  <c r="J68" i="27"/>
  <c r="J62" i="27"/>
  <c r="K56" i="27"/>
  <c r="J56" i="27"/>
  <c r="J50" i="27"/>
  <c r="J44" i="27"/>
  <c r="K12" i="27"/>
  <c r="J12" i="27"/>
  <c r="K58" i="1" l="1"/>
  <c r="L58" i="1"/>
  <c r="L60" i="1"/>
  <c r="E11" i="1"/>
  <c r="E60" i="1"/>
  <c r="M58" i="1"/>
  <c r="D11" i="1"/>
  <c r="D60" i="1"/>
  <c r="C11" i="1"/>
  <c r="C60" i="1"/>
  <c r="B11" i="1"/>
  <c r="B60" i="1"/>
  <c r="T11" i="48"/>
  <c r="P12" i="48"/>
  <c r="AC22" i="22"/>
  <c r="AH21" i="22"/>
  <c r="AB23" i="22"/>
  <c r="AG22" i="22"/>
  <c r="AA22" i="22"/>
  <c r="AF21" i="22"/>
  <c r="J11" i="1"/>
  <c r="I11" i="1"/>
  <c r="H11" i="1"/>
  <c r="G11" i="1"/>
  <c r="F11" i="1"/>
  <c r="H34" i="32"/>
  <c r="C3" i="32" a="1"/>
  <c r="I34" i="32"/>
  <c r="J34" i="32"/>
  <c r="P21" i="28"/>
  <c r="P22" i="28" s="1"/>
  <c r="P43" i="28"/>
  <c r="P20" i="28"/>
  <c r="P16" i="28"/>
  <c r="P41" i="28"/>
  <c r="Q19" i="28"/>
  <c r="Q15" i="28"/>
  <c r="Q38" i="28"/>
  <c r="K49" i="1"/>
  <c r="K12" i="1"/>
  <c r="L49" i="1"/>
  <c r="L12" i="1"/>
  <c r="M49" i="1"/>
  <c r="M12" i="1"/>
  <c r="M19" i="1"/>
  <c r="N19" i="1"/>
  <c r="K60" i="1"/>
  <c r="K19" i="1"/>
  <c r="L19" i="1"/>
  <c r="P13" i="48" l="1"/>
  <c r="T12" i="48"/>
  <c r="AC23" i="22"/>
  <c r="AH22" i="22"/>
  <c r="AB24" i="22"/>
  <c r="AG23" i="22"/>
  <c r="AA23" i="22"/>
  <c r="AF22" i="22"/>
  <c r="J42" i="32"/>
  <c r="J46" i="32" s="1"/>
  <c r="J38" i="32"/>
  <c r="I42" i="32"/>
  <c r="I46" i="32" s="1"/>
  <c r="I38" i="32"/>
  <c r="H42" i="32"/>
  <c r="H46" i="32" s="1"/>
  <c r="H38" i="32"/>
  <c r="C3" i="32"/>
  <c r="I3" i="32" s="1"/>
  <c r="C6" i="32"/>
  <c r="I6" i="32" s="1"/>
  <c r="C9" i="32"/>
  <c r="I9" i="32" s="1"/>
  <c r="C10" i="32"/>
  <c r="I10" i="32" s="1"/>
  <c r="C5" i="32"/>
  <c r="I5" i="32" s="1"/>
  <c r="C11" i="32"/>
  <c r="I11" i="32" s="1"/>
  <c r="C4" i="32"/>
  <c r="I4" i="32" s="1"/>
  <c r="C8" i="32"/>
  <c r="I8" i="32" s="1"/>
  <c r="C7" i="32"/>
  <c r="I7" i="32" s="1"/>
  <c r="L11" i="1"/>
  <c r="K11" i="1"/>
  <c r="C19" i="32" a="1"/>
  <c r="Q41" i="28"/>
  <c r="Q16" i="28"/>
  <c r="Q21" i="28"/>
  <c r="Q22" i="28" s="1"/>
  <c r="Q43" i="28"/>
  <c r="Q20" i="28"/>
  <c r="G105" i="1"/>
  <c r="J105" i="1"/>
  <c r="I105" i="1"/>
  <c r="P105" i="1"/>
  <c r="Q11" i="29"/>
  <c r="P11" i="29"/>
  <c r="N13" i="29"/>
  <c r="O11" i="29"/>
  <c r="N11" i="29"/>
  <c r="Q12" i="29"/>
  <c r="P12" i="29"/>
  <c r="O12" i="29"/>
  <c r="N12" i="29"/>
  <c r="O13" i="29"/>
  <c r="P13" i="29"/>
  <c r="Q13" i="29"/>
  <c r="B21" i="22" a="1"/>
  <c r="C13" i="26" a="1"/>
  <c r="C18" i="25" a="1"/>
  <c r="N10" i="25"/>
  <c r="M10" i="25"/>
  <c r="L10" i="25"/>
  <c r="K10" i="25"/>
  <c r="J10" i="25"/>
  <c r="I10" i="25"/>
  <c r="H10" i="25"/>
  <c r="G10" i="25"/>
  <c r="G6" i="25"/>
  <c r="G11" i="25" s="1"/>
  <c r="G13" i="25" s="1"/>
  <c r="C46" i="24" a="1"/>
  <c r="Q6" i="24"/>
  <c r="Q7" i="24"/>
  <c r="Q8" i="24"/>
  <c r="Q9" i="24"/>
  <c r="Q10" i="24"/>
  <c r="Q11" i="24"/>
  <c r="R6" i="24"/>
  <c r="R7" i="24"/>
  <c r="R8" i="24"/>
  <c r="R9" i="24"/>
  <c r="R10" i="24"/>
  <c r="R11" i="24"/>
  <c r="N7" i="22"/>
  <c r="N20" i="11"/>
  <c r="D36" i="11"/>
  <c r="O36" i="11" s="1"/>
  <c r="O53" i="24" l="1"/>
  <c r="O61" i="24"/>
  <c r="O54" i="24"/>
  <c r="O55" i="24"/>
  <c r="O56" i="24"/>
  <c r="O52" i="24"/>
  <c r="O57" i="24"/>
  <c r="O50" i="24"/>
  <c r="O58" i="24"/>
  <c r="O60" i="24"/>
  <c r="O51" i="24"/>
  <c r="O59" i="24"/>
  <c r="C18" i="25"/>
  <c r="L29" i="25"/>
  <c r="M29" i="25"/>
  <c r="N29" i="25"/>
  <c r="N40" i="25" s="1"/>
  <c r="O29" i="25"/>
  <c r="H29" i="25"/>
  <c r="G29" i="25"/>
  <c r="I29" i="25"/>
  <c r="O26" i="25"/>
  <c r="J29" i="25"/>
  <c r="O24" i="25"/>
  <c r="O35" i="25" s="1"/>
  <c r="K29" i="25"/>
  <c r="G24" i="25"/>
  <c r="C13" i="26"/>
  <c r="J18" i="26"/>
  <c r="J19" i="26"/>
  <c r="J20" i="26"/>
  <c r="K20" i="26"/>
  <c r="O18" i="26"/>
  <c r="O20" i="26"/>
  <c r="O31" i="26" s="1"/>
  <c r="P19" i="26"/>
  <c r="Q18" i="26"/>
  <c r="K18" i="26"/>
  <c r="K19" i="26"/>
  <c r="Q19" i="26"/>
  <c r="L18" i="26"/>
  <c r="L19" i="26"/>
  <c r="L20" i="26"/>
  <c r="L31" i="26" s="1"/>
  <c r="N20" i="26"/>
  <c r="M18" i="26"/>
  <c r="M19" i="26"/>
  <c r="M20" i="26"/>
  <c r="N19" i="26"/>
  <c r="N30" i="26" s="1"/>
  <c r="O19" i="26"/>
  <c r="O30" i="26" s="1"/>
  <c r="P18" i="26"/>
  <c r="N18" i="26"/>
  <c r="N29" i="26" s="1"/>
  <c r="Q20" i="26"/>
  <c r="P20" i="26"/>
  <c r="P14" i="48"/>
  <c r="T14" i="48" s="1"/>
  <c r="T13" i="48"/>
  <c r="R82" i="1"/>
  <c r="Y74" i="12"/>
  <c r="B42" i="11"/>
  <c r="L42" i="11"/>
  <c r="AC24" i="22"/>
  <c r="AH23" i="22"/>
  <c r="AB25" i="22"/>
  <c r="AG24" i="22"/>
  <c r="AA24" i="22"/>
  <c r="AF23" i="22"/>
  <c r="G75" i="5"/>
  <c r="H75" i="5"/>
  <c r="I75" i="5"/>
  <c r="J75" i="5"/>
  <c r="K75" i="5"/>
  <c r="L75" i="5"/>
  <c r="M75" i="5"/>
  <c r="G76" i="5"/>
  <c r="H76" i="5"/>
  <c r="I76" i="5"/>
  <c r="J76" i="5"/>
  <c r="K76" i="5"/>
  <c r="L76" i="5"/>
  <c r="M76" i="5"/>
  <c r="G77" i="5"/>
  <c r="H77" i="5"/>
  <c r="I77" i="5"/>
  <c r="J77" i="5"/>
  <c r="K77" i="5"/>
  <c r="L77" i="5"/>
  <c r="M77" i="5"/>
  <c r="H74" i="5"/>
  <c r="I74" i="5"/>
  <c r="J74" i="5"/>
  <c r="K74" i="5"/>
  <c r="L74" i="5"/>
  <c r="M74" i="5"/>
  <c r="G74" i="5"/>
  <c r="G86" i="5"/>
  <c r="H86" i="5"/>
  <c r="I86" i="5"/>
  <c r="J86" i="5"/>
  <c r="K86" i="5"/>
  <c r="L86" i="5"/>
  <c r="M86" i="5"/>
  <c r="N86" i="5"/>
  <c r="O86" i="5"/>
  <c r="P86" i="5"/>
  <c r="G87" i="5"/>
  <c r="H87" i="5"/>
  <c r="I87" i="5"/>
  <c r="J87" i="5"/>
  <c r="K87" i="5"/>
  <c r="L87" i="5"/>
  <c r="M87" i="5"/>
  <c r="N87" i="5"/>
  <c r="O87" i="5"/>
  <c r="P87" i="5"/>
  <c r="H88" i="5"/>
  <c r="I88" i="5"/>
  <c r="J88" i="5"/>
  <c r="K88" i="5"/>
  <c r="L88" i="5"/>
  <c r="M88" i="5"/>
  <c r="N88" i="5"/>
  <c r="O88" i="5"/>
  <c r="P88" i="5"/>
  <c r="H85" i="5"/>
  <c r="I85" i="5"/>
  <c r="J85" i="5"/>
  <c r="K85" i="5"/>
  <c r="L85" i="5"/>
  <c r="M85" i="5"/>
  <c r="N85" i="5"/>
  <c r="O85" i="5"/>
  <c r="P85" i="5"/>
  <c r="G85" i="5"/>
  <c r="G81" i="5"/>
  <c r="H81" i="5"/>
  <c r="I81" i="5"/>
  <c r="J81" i="5"/>
  <c r="K81" i="5"/>
  <c r="L81" i="5"/>
  <c r="M81" i="5"/>
  <c r="F81" i="5"/>
  <c r="I68" i="5"/>
  <c r="N71" i="5"/>
  <c r="M71" i="5"/>
  <c r="L71" i="5"/>
  <c r="K71" i="5"/>
  <c r="J71" i="5"/>
  <c r="I71" i="5"/>
  <c r="H71" i="5"/>
  <c r="G71" i="5"/>
  <c r="M69" i="5"/>
  <c r="L69" i="5"/>
  <c r="K69" i="5"/>
  <c r="J69" i="5"/>
  <c r="I69" i="5"/>
  <c r="M68" i="5"/>
  <c r="L68" i="5"/>
  <c r="K68" i="5"/>
  <c r="J68" i="5"/>
  <c r="F67" i="5"/>
  <c r="C25" i="32"/>
  <c r="I25" i="32" s="1"/>
  <c r="C20" i="32"/>
  <c r="I20" i="32" s="1"/>
  <c r="C27" i="32"/>
  <c r="I27" i="32" s="1"/>
  <c r="C21" i="32"/>
  <c r="I21" i="32" s="1"/>
  <c r="C23" i="32"/>
  <c r="I23" i="32" s="1"/>
  <c r="C22" i="32"/>
  <c r="I22" i="32" s="1"/>
  <c r="C26" i="32"/>
  <c r="I26" i="32" s="1"/>
  <c r="C24" i="32"/>
  <c r="I24" i="32" s="1"/>
  <c r="C19" i="32"/>
  <c r="I19" i="32" s="1"/>
  <c r="T43" i="28"/>
  <c r="S43" i="28"/>
  <c r="C46" i="24"/>
  <c r="G78" i="24"/>
  <c r="L75" i="24"/>
  <c r="H77" i="24"/>
  <c r="K65" i="24"/>
  <c r="K68" i="24"/>
  <c r="M70" i="24"/>
  <c r="F80" i="24"/>
  <c r="J64" i="24"/>
  <c r="F79" i="24"/>
  <c r="J74" i="24"/>
  <c r="M75" i="24"/>
  <c r="M111" i="24" s="1"/>
  <c r="I77" i="24"/>
  <c r="K73" i="24"/>
  <c r="L65" i="24"/>
  <c r="K67" i="24"/>
  <c r="L68" i="24"/>
  <c r="M69" i="24"/>
  <c r="N70" i="24"/>
  <c r="H76" i="24"/>
  <c r="M68" i="24"/>
  <c r="M104" i="24" s="1"/>
  <c r="H70" i="24"/>
  <c r="M65" i="24"/>
  <c r="M101" i="24" s="1"/>
  <c r="G80" i="24"/>
  <c r="G116" i="24" s="1"/>
  <c r="L74" i="24"/>
  <c r="I76" i="24"/>
  <c r="K77" i="24"/>
  <c r="M73" i="24"/>
  <c r="F81" i="24"/>
  <c r="M74" i="24"/>
  <c r="J76" i="24"/>
  <c r="J112" i="24" s="1"/>
  <c r="H78" i="24"/>
  <c r="H114" i="24" s="1"/>
  <c r="H73" i="24"/>
  <c r="M66" i="24"/>
  <c r="N67" i="24"/>
  <c r="H69" i="24"/>
  <c r="I70" i="24"/>
  <c r="K64" i="24"/>
  <c r="I75" i="24"/>
  <c r="H65" i="24"/>
  <c r="H68" i="24"/>
  <c r="J70" i="24"/>
  <c r="J77" i="24"/>
  <c r="N69" i="24"/>
  <c r="N105" i="24" s="1"/>
  <c r="G81" i="24"/>
  <c r="G117" i="24" s="1"/>
  <c r="K76" i="24"/>
  <c r="H79" i="24"/>
  <c r="N66" i="24"/>
  <c r="N102" i="24" s="1"/>
  <c r="I69" i="24"/>
  <c r="L64" i="24"/>
  <c r="K74" i="24"/>
  <c r="L67" i="24"/>
  <c r="L103" i="24" s="1"/>
  <c r="N68" i="24"/>
  <c r="F82" i="24"/>
  <c r="J75" i="24"/>
  <c r="J111" i="24" s="1"/>
  <c r="L76" i="24"/>
  <c r="H80" i="24"/>
  <c r="I65" i="24"/>
  <c r="I101" i="24" s="1"/>
  <c r="H67" i="24"/>
  <c r="I68" i="24"/>
  <c r="I104" i="24" s="1"/>
  <c r="J69" i="24"/>
  <c r="J105" i="24" s="1"/>
  <c r="K70" i="24"/>
  <c r="M64" i="24"/>
  <c r="M100" i="24" s="1"/>
  <c r="L73" i="24"/>
  <c r="I64" i="24"/>
  <c r="N65" i="24"/>
  <c r="G76" i="24"/>
  <c r="G82" i="24"/>
  <c r="K75" i="24"/>
  <c r="M76" i="24"/>
  <c r="M112" i="24" s="1"/>
  <c r="I73" i="24"/>
  <c r="I109" i="24" s="1"/>
  <c r="J65" i="24"/>
  <c r="J101" i="24" s="1"/>
  <c r="I67" i="24"/>
  <c r="J68" i="24"/>
  <c r="K69" i="24"/>
  <c r="L70" i="24"/>
  <c r="N64" i="24"/>
  <c r="I74" i="24"/>
  <c r="J73" i="24"/>
  <c r="J67" i="24"/>
  <c r="L69" i="24"/>
  <c r="H64" i="24"/>
  <c r="M67" i="24"/>
  <c r="N105" i="1"/>
  <c r="B21" i="22"/>
  <c r="D27" i="22"/>
  <c r="D47" i="22" s="1"/>
  <c r="L27" i="22"/>
  <c r="L47" i="22" s="1"/>
  <c r="D28" i="22"/>
  <c r="L28" i="22"/>
  <c r="E26" i="22"/>
  <c r="M26" i="22"/>
  <c r="K36" i="22"/>
  <c r="K56" i="22" s="1"/>
  <c r="J36" i="22"/>
  <c r="D26" i="22"/>
  <c r="D46" i="22" s="1"/>
  <c r="E27" i="22"/>
  <c r="E47" i="22" s="1"/>
  <c r="M27" i="22"/>
  <c r="E28" i="22"/>
  <c r="M28" i="22"/>
  <c r="M48" i="22" s="1"/>
  <c r="F26" i="22"/>
  <c r="F46" i="22" s="1"/>
  <c r="N26" i="22"/>
  <c r="N46" i="22" s="1"/>
  <c r="K28" i="22"/>
  <c r="N32" i="22"/>
  <c r="F27" i="22"/>
  <c r="N27" i="22"/>
  <c r="N47" i="22" s="1"/>
  <c r="F28" i="22"/>
  <c r="F48" i="22" s="1"/>
  <c r="G26" i="22"/>
  <c r="O26" i="22"/>
  <c r="O46" i="22" s="1"/>
  <c r="K26" i="22"/>
  <c r="J38" i="22"/>
  <c r="K27" i="22"/>
  <c r="K47" i="22" s="1"/>
  <c r="M32" i="22"/>
  <c r="G27" i="22"/>
  <c r="O27" i="22"/>
  <c r="G28" i="22"/>
  <c r="G48" i="22" s="1"/>
  <c r="H26" i="22"/>
  <c r="H46" i="22" s="1"/>
  <c r="P26" i="22"/>
  <c r="P46" i="22" s="1"/>
  <c r="C26" i="22"/>
  <c r="N31" i="22"/>
  <c r="H27" i="22"/>
  <c r="H47" i="22" s="1"/>
  <c r="P27" i="22"/>
  <c r="P47" i="22" s="1"/>
  <c r="H28" i="22"/>
  <c r="I26" i="22"/>
  <c r="Q26" i="22"/>
  <c r="Q46" i="22" s="1"/>
  <c r="K38" i="22"/>
  <c r="J28" i="22"/>
  <c r="J48" i="22" s="1"/>
  <c r="L26" i="22"/>
  <c r="L46" i="22" s="1"/>
  <c r="M31" i="22"/>
  <c r="I27" i="22"/>
  <c r="Q27" i="22"/>
  <c r="I28" i="22"/>
  <c r="I48" i="22" s="1"/>
  <c r="J26" i="22"/>
  <c r="J46" i="22" s="1"/>
  <c r="C38" i="22"/>
  <c r="J27" i="22"/>
  <c r="J47" i="22" s="1"/>
  <c r="J37" i="22"/>
  <c r="J57" i="22" s="1"/>
  <c r="C36" i="22"/>
  <c r="C27" i="22"/>
  <c r="C28" i="22"/>
  <c r="N37" i="22"/>
  <c r="G36" i="22"/>
  <c r="F37" i="22"/>
  <c r="L36" i="22"/>
  <c r="L56" i="22" s="1"/>
  <c r="G38" i="22"/>
  <c r="M33" i="22"/>
  <c r="D36" i="22"/>
  <c r="Q28" i="22"/>
  <c r="G37" i="22"/>
  <c r="C37" i="22"/>
  <c r="D38" i="22"/>
  <c r="L37" i="22"/>
  <c r="L57" i="22" s="1"/>
  <c r="D37" i="22"/>
  <c r="D57" i="22" s="1"/>
  <c r="H37" i="22"/>
  <c r="H57" i="22" s="1"/>
  <c r="Q36" i="22"/>
  <c r="K37" i="22"/>
  <c r="E38" i="22"/>
  <c r="I37" i="22"/>
  <c r="I36" i="22"/>
  <c r="L38" i="22"/>
  <c r="P36" i="22"/>
  <c r="M36" i="22"/>
  <c r="M56" i="22" s="1"/>
  <c r="H36" i="22"/>
  <c r="H56" i="22" s="1"/>
  <c r="P37" i="22"/>
  <c r="I38" i="22"/>
  <c r="O37" i="22"/>
  <c r="O57" i="22" s="1"/>
  <c r="Q38" i="22"/>
  <c r="H38" i="22"/>
  <c r="N33" i="22"/>
  <c r="E37" i="22"/>
  <c r="E57" i="22" s="1"/>
  <c r="Q37" i="22"/>
  <c r="Q57" i="22" s="1"/>
  <c r="O28" i="22"/>
  <c r="E36" i="22"/>
  <c r="E56" i="22" s="1"/>
  <c r="N36" i="22"/>
  <c r="P28" i="22"/>
  <c r="P48" i="22" s="1"/>
  <c r="F36" i="22"/>
  <c r="F56" i="22" s="1"/>
  <c r="O36" i="22"/>
  <c r="O56" i="22" s="1"/>
  <c r="M37" i="22"/>
  <c r="M57" i="22" s="1"/>
  <c r="F38" i="22"/>
  <c r="P38" i="22"/>
  <c r="O38" i="22"/>
  <c r="M38" i="22"/>
  <c r="N28" i="22"/>
  <c r="N48" i="22" s="1"/>
  <c r="N17" i="22"/>
  <c r="N38" i="22" s="1"/>
  <c r="G108" i="1"/>
  <c r="K105" i="1"/>
  <c r="L105" i="1"/>
  <c r="H105" i="1"/>
  <c r="Q105" i="1"/>
  <c r="Q98" i="1"/>
  <c r="O105" i="1"/>
  <c r="P20" i="29"/>
  <c r="M105" i="1"/>
  <c r="P18" i="29"/>
  <c r="O19" i="29"/>
  <c r="P19" i="29"/>
  <c r="Q19" i="29"/>
  <c r="P99" i="1"/>
  <c r="F14" i="48" s="1"/>
  <c r="P98" i="1"/>
  <c r="O98" i="1"/>
  <c r="O20" i="29"/>
  <c r="Q18" i="29"/>
  <c r="Q20" i="29"/>
  <c r="O18" i="29"/>
  <c r="N93" i="1"/>
  <c r="L94" i="1"/>
  <c r="L35" i="11"/>
  <c r="S35" i="11" s="1"/>
  <c r="J50" i="24"/>
  <c r="H61" i="24"/>
  <c r="N59" i="24"/>
  <c r="M58" i="24"/>
  <c r="L57" i="24"/>
  <c r="K56" i="24"/>
  <c r="J55" i="24"/>
  <c r="I54" i="24"/>
  <c r="H53" i="24"/>
  <c r="N51" i="24"/>
  <c r="N24" i="25"/>
  <c r="M26" i="25"/>
  <c r="K31" i="26"/>
  <c r="I19" i="26"/>
  <c r="I50" i="24"/>
  <c r="M59" i="24"/>
  <c r="K57" i="24"/>
  <c r="H54" i="24"/>
  <c r="M51" i="24"/>
  <c r="L36" i="11"/>
  <c r="S36" i="11" s="1"/>
  <c r="N61" i="24"/>
  <c r="M60" i="24"/>
  <c r="L59" i="24"/>
  <c r="K58" i="24"/>
  <c r="J57" i="24"/>
  <c r="I56" i="24"/>
  <c r="H55" i="24"/>
  <c r="N53" i="24"/>
  <c r="M52" i="24"/>
  <c r="L51" i="24"/>
  <c r="L24" i="25"/>
  <c r="K26" i="25"/>
  <c r="I20" i="26"/>
  <c r="N60" i="24"/>
  <c r="L58" i="24"/>
  <c r="J56" i="24"/>
  <c r="I55" i="24"/>
  <c r="N52" i="24"/>
  <c r="M24" i="25"/>
  <c r="L26" i="25"/>
  <c r="M61" i="24"/>
  <c r="L60" i="24"/>
  <c r="K59" i="24"/>
  <c r="J58" i="24"/>
  <c r="I57" i="24"/>
  <c r="H56" i="24"/>
  <c r="N54" i="24"/>
  <c r="M53" i="24"/>
  <c r="L52" i="24"/>
  <c r="K51" i="24"/>
  <c r="K24" i="25"/>
  <c r="J26" i="25"/>
  <c r="N50" i="24"/>
  <c r="L61" i="24"/>
  <c r="K60" i="24"/>
  <c r="J59" i="24"/>
  <c r="I58" i="24"/>
  <c r="H57" i="24"/>
  <c r="N55" i="24"/>
  <c r="M54" i="24"/>
  <c r="L53" i="24"/>
  <c r="K52" i="24"/>
  <c r="J51" i="24"/>
  <c r="J24" i="25"/>
  <c r="I26" i="25"/>
  <c r="M50" i="24"/>
  <c r="K61" i="24"/>
  <c r="J60" i="24"/>
  <c r="I59" i="24"/>
  <c r="H58" i="24"/>
  <c r="N56" i="24"/>
  <c r="M55" i="24"/>
  <c r="L54" i="24"/>
  <c r="K53" i="24"/>
  <c r="J52" i="24"/>
  <c r="I51" i="24"/>
  <c r="I24" i="25"/>
  <c r="H26" i="25"/>
  <c r="L50" i="24"/>
  <c r="J61" i="24"/>
  <c r="I60" i="24"/>
  <c r="H59" i="24"/>
  <c r="N57" i="24"/>
  <c r="M56" i="24"/>
  <c r="L55" i="24"/>
  <c r="K54" i="24"/>
  <c r="J53" i="24"/>
  <c r="I52" i="24"/>
  <c r="H51" i="24"/>
  <c r="H24" i="25"/>
  <c r="H35" i="25" s="1"/>
  <c r="G26" i="25"/>
  <c r="K50" i="24"/>
  <c r="I61" i="24"/>
  <c r="H60" i="24"/>
  <c r="N58" i="24"/>
  <c r="M57" i="24"/>
  <c r="L56" i="24"/>
  <c r="K55" i="24"/>
  <c r="J54" i="24"/>
  <c r="I53" i="24"/>
  <c r="H52" i="24"/>
  <c r="N26" i="25"/>
  <c r="N37" i="25" s="1"/>
  <c r="I18" i="26"/>
  <c r="B36" i="11"/>
  <c r="J36" i="11"/>
  <c r="R36" i="11" s="1"/>
  <c r="H36" i="11"/>
  <c r="Q36" i="11" s="1"/>
  <c r="F36" i="11"/>
  <c r="P36" i="11" s="1"/>
  <c r="L101" i="24" l="1"/>
  <c r="J103" i="24"/>
  <c r="J109" i="24"/>
  <c r="J113" i="24"/>
  <c r="M110" i="24"/>
  <c r="N104" i="24"/>
  <c r="K105" i="24"/>
  <c r="K110" i="24"/>
  <c r="K106" i="24"/>
  <c r="K100" i="24"/>
  <c r="S86" i="5"/>
  <c r="S87" i="5"/>
  <c r="S85" i="5"/>
  <c r="S89" i="5"/>
  <c r="P56" i="22"/>
  <c r="N52" i="22"/>
  <c r="O29" i="26"/>
  <c r="N39" i="22"/>
  <c r="N58" i="22"/>
  <c r="H39" i="22"/>
  <c r="H58" i="22"/>
  <c r="L58" i="22"/>
  <c r="L39" i="22"/>
  <c r="J58" i="22"/>
  <c r="J39" i="22"/>
  <c r="K48" i="22"/>
  <c r="J56" i="22"/>
  <c r="N35" i="25"/>
  <c r="Q58" i="22"/>
  <c r="Q39" i="22"/>
  <c r="I56" i="22"/>
  <c r="D58" i="22"/>
  <c r="D39" i="22"/>
  <c r="F57" i="22"/>
  <c r="C39" i="22"/>
  <c r="K58" i="22"/>
  <c r="K39" i="22"/>
  <c r="K46" i="22"/>
  <c r="L106" i="24"/>
  <c r="G118" i="24"/>
  <c r="Q30" i="26"/>
  <c r="T19" i="26"/>
  <c r="O37" i="25"/>
  <c r="F47" i="22"/>
  <c r="P29" i="26"/>
  <c r="M58" i="22"/>
  <c r="M39" i="22"/>
  <c r="N56" i="22"/>
  <c r="I57" i="22"/>
  <c r="G56" i="22"/>
  <c r="M46" i="22"/>
  <c r="N106" i="24"/>
  <c r="N51" i="22"/>
  <c r="O39" i="22"/>
  <c r="O58" i="22"/>
  <c r="I58" i="22"/>
  <c r="I39" i="22"/>
  <c r="E58" i="22"/>
  <c r="E39" i="22"/>
  <c r="G57" i="22"/>
  <c r="N57" i="22"/>
  <c r="I46" i="22"/>
  <c r="G46" i="22"/>
  <c r="E46" i="22"/>
  <c r="N101" i="24"/>
  <c r="L100" i="24"/>
  <c r="J106" i="24"/>
  <c r="P54" i="24"/>
  <c r="G39" i="22"/>
  <c r="G58" i="22"/>
  <c r="P39" i="22"/>
  <c r="P58" i="22"/>
  <c r="O48" i="22"/>
  <c r="P57" i="22"/>
  <c r="K57" i="22"/>
  <c r="Q48" i="22"/>
  <c r="Q47" i="22"/>
  <c r="H48" i="22"/>
  <c r="O47" i="22"/>
  <c r="E48" i="22"/>
  <c r="L48" i="22"/>
  <c r="P31" i="26"/>
  <c r="R18" i="26"/>
  <c r="Q29" i="26"/>
  <c r="T18" i="26"/>
  <c r="H40" i="25"/>
  <c r="N53" i="22"/>
  <c r="K112" i="24"/>
  <c r="F39" i="22"/>
  <c r="F58" i="22"/>
  <c r="Q56" i="22"/>
  <c r="D56" i="22"/>
  <c r="C47" i="22"/>
  <c r="I47" i="22"/>
  <c r="G47" i="22"/>
  <c r="M47" i="22"/>
  <c r="D48" i="22"/>
  <c r="L109" i="24"/>
  <c r="L112" i="24"/>
  <c r="Q31" i="26"/>
  <c r="T20" i="26"/>
  <c r="P30" i="26"/>
  <c r="O40" i="25"/>
  <c r="N31" i="26"/>
  <c r="AC25" i="22"/>
  <c r="AH24" i="22"/>
  <c r="AB26" i="22"/>
  <c r="AG25" i="22"/>
  <c r="AA25" i="22"/>
  <c r="AF24" i="22"/>
  <c r="M109" i="24"/>
  <c r="K113" i="24"/>
  <c r="M105" i="24"/>
  <c r="L111" i="24"/>
  <c r="K103" i="24"/>
  <c r="M106" i="24"/>
  <c r="K109" i="24"/>
  <c r="K104" i="24"/>
  <c r="N100" i="24"/>
  <c r="K111" i="24"/>
  <c r="I106" i="24"/>
  <c r="I113" i="24"/>
  <c r="K101" i="24"/>
  <c r="H112" i="24"/>
  <c r="M103" i="24"/>
  <c r="N103" i="24"/>
  <c r="I112" i="24"/>
  <c r="J104" i="24"/>
  <c r="L105" i="24"/>
  <c r="I103" i="24"/>
  <c r="I100" i="24"/>
  <c r="H116" i="24"/>
  <c r="I105" i="24"/>
  <c r="L110" i="24"/>
  <c r="L104" i="24"/>
  <c r="J100" i="24"/>
  <c r="B28" i="22"/>
  <c r="C48" i="22" s="1"/>
  <c r="B27" i="22"/>
  <c r="B38" i="22"/>
  <c r="B39" i="22" s="1"/>
  <c r="B36" i="22"/>
  <c r="C56" i="22" s="1"/>
  <c r="B37" i="22"/>
  <c r="C57" i="22" s="1"/>
  <c r="B26" i="22"/>
  <c r="C46" i="22" s="1"/>
  <c r="N18" i="22"/>
  <c r="N12" i="1"/>
  <c r="J29" i="26"/>
  <c r="J40" i="25"/>
  <c r="L29" i="26"/>
  <c r="J96" i="24"/>
  <c r="M90" i="24"/>
  <c r="L86" i="24"/>
  <c r="I40" i="25"/>
  <c r="K95" i="24"/>
  <c r="L30" i="26"/>
  <c r="M29" i="26"/>
  <c r="N87" i="24"/>
  <c r="J30" i="26"/>
  <c r="K29" i="26"/>
  <c r="J31" i="26"/>
  <c r="K30" i="26"/>
  <c r="M31" i="26"/>
  <c r="M30" i="26"/>
  <c r="I95" i="24"/>
  <c r="H37" i="25"/>
  <c r="M37" i="25"/>
  <c r="K37" i="25"/>
  <c r="K35" i="25"/>
  <c r="M35" i="25"/>
  <c r="L40" i="25"/>
  <c r="J35" i="25"/>
  <c r="I35" i="25"/>
  <c r="K40" i="25"/>
  <c r="I37" i="25"/>
  <c r="L37" i="25"/>
  <c r="M40" i="25"/>
  <c r="J37" i="25"/>
  <c r="L35" i="25"/>
  <c r="K97" i="24"/>
  <c r="J89" i="24"/>
  <c r="M97" i="24"/>
  <c r="K91" i="24"/>
  <c r="I89" i="24"/>
  <c r="N97" i="24"/>
  <c r="N91" i="24"/>
  <c r="L91" i="24"/>
  <c r="K96" i="24"/>
  <c r="L95" i="24"/>
  <c r="J95" i="24"/>
  <c r="M93" i="24"/>
  <c r="I87" i="24"/>
  <c r="J87" i="24"/>
  <c r="K90" i="24"/>
  <c r="I94" i="24"/>
  <c r="L96" i="24"/>
  <c r="I88" i="24"/>
  <c r="J88" i="24"/>
  <c r="L90" i="24"/>
  <c r="M95" i="24"/>
  <c r="L89" i="24"/>
  <c r="N93" i="24"/>
  <c r="K87" i="24"/>
  <c r="M86" i="24"/>
  <c r="J97" i="24"/>
  <c r="I90" i="24"/>
  <c r="J86" i="24"/>
  <c r="N94" i="24"/>
  <c r="J93" i="24"/>
  <c r="L97" i="24"/>
  <c r="N90" i="24"/>
  <c r="M92" i="24"/>
  <c r="L92" i="24"/>
  <c r="M89" i="24"/>
  <c r="I97" i="24"/>
  <c r="N86" i="24"/>
  <c r="J90" i="24"/>
  <c r="N92" i="24"/>
  <c r="I96" i="24"/>
  <c r="N95" i="24"/>
  <c r="J94" i="24"/>
  <c r="I92" i="24"/>
  <c r="I91" i="24"/>
  <c r="K89" i="24"/>
  <c r="K93" i="24"/>
  <c r="M96" i="24"/>
  <c r="L94" i="24"/>
  <c r="M94" i="24"/>
  <c r="K94" i="24"/>
  <c r="M87" i="24"/>
  <c r="N96" i="24"/>
  <c r="L87" i="24"/>
  <c r="I86" i="24"/>
  <c r="K86" i="24"/>
  <c r="J92" i="24"/>
  <c r="K92" i="24"/>
  <c r="J91" i="24"/>
  <c r="N89" i="24"/>
  <c r="L93" i="24"/>
  <c r="I93" i="24"/>
  <c r="K10" i="11"/>
  <c r="K11" i="11"/>
  <c r="K12" i="11"/>
  <c r="K13" i="11"/>
  <c r="K14" i="11"/>
  <c r="K15" i="11"/>
  <c r="K16" i="11"/>
  <c r="K17" i="11"/>
  <c r="K18" i="11"/>
  <c r="K19" i="11"/>
  <c r="K9" i="11"/>
  <c r="C58" i="22" l="1"/>
  <c r="AC26" i="22"/>
  <c r="AH25" i="22"/>
  <c r="AB27" i="22"/>
  <c r="AG27" i="22" s="1"/>
  <c r="AG26" i="22"/>
  <c r="AA26" i="22"/>
  <c r="AF25" i="22"/>
  <c r="AF71" i="12"/>
  <c r="AI71" i="12"/>
  <c r="AL71" i="12"/>
  <c r="M91" i="24"/>
  <c r="BE27" i="12"/>
  <c r="BE26" i="12"/>
  <c r="BE25" i="12"/>
  <c r="BE24" i="12"/>
  <c r="BE23" i="12"/>
  <c r="BE22" i="12"/>
  <c r="AZ61" i="12"/>
  <c r="AZ60" i="12"/>
  <c r="AQ71" i="12" l="1"/>
  <c r="AR71" i="12"/>
  <c r="AO71" i="12"/>
  <c r="AC27" i="22"/>
  <c r="AH27" i="22" s="1"/>
  <c r="AH26" i="22"/>
  <c r="AA27" i="22"/>
  <c r="AF27" i="22" s="1"/>
  <c r="AF26" i="22"/>
  <c r="AL10" i="12"/>
  <c r="AR10" i="12" s="1"/>
  <c r="AL18" i="12"/>
  <c r="AL22" i="12"/>
  <c r="AL30" i="12"/>
  <c r="AL38" i="12"/>
  <c r="AL46" i="12"/>
  <c r="AL54" i="12"/>
  <c r="AL62" i="12"/>
  <c r="AF31" i="12"/>
  <c r="AF47" i="12"/>
  <c r="AI11" i="12"/>
  <c r="AQ11" i="12" s="1"/>
  <c r="AI15" i="12"/>
  <c r="AI19" i="12"/>
  <c r="AI23" i="12"/>
  <c r="AI27" i="12"/>
  <c r="AI31" i="12"/>
  <c r="AI35" i="12"/>
  <c r="AI39" i="12"/>
  <c r="AI43" i="12"/>
  <c r="AI47" i="12"/>
  <c r="AI51" i="12"/>
  <c r="AI55" i="12"/>
  <c r="AI59" i="12"/>
  <c r="AI63" i="12"/>
  <c r="AI67" i="12"/>
  <c r="AF16" i="12"/>
  <c r="AF24" i="12"/>
  <c r="AF32" i="12"/>
  <c r="AF40" i="12"/>
  <c r="AF48" i="12"/>
  <c r="AF56" i="12"/>
  <c r="AF64" i="12"/>
  <c r="AF72" i="12"/>
  <c r="AI32" i="12"/>
  <c r="AI48" i="12"/>
  <c r="AI60" i="12"/>
  <c r="AI72" i="12"/>
  <c r="AF18" i="12"/>
  <c r="AF42" i="12"/>
  <c r="AF66" i="12"/>
  <c r="AL11" i="12"/>
  <c r="AR11" i="12" s="1"/>
  <c r="AL15" i="12"/>
  <c r="AL19" i="12"/>
  <c r="AL23" i="12"/>
  <c r="AL27" i="12"/>
  <c r="AL31" i="12"/>
  <c r="AL35" i="12"/>
  <c r="AL39" i="12"/>
  <c r="AL43" i="12"/>
  <c r="AL47" i="12"/>
  <c r="AL51" i="12"/>
  <c r="AL55" i="12"/>
  <c r="AL59" i="12"/>
  <c r="AL63" i="12"/>
  <c r="AL67" i="12"/>
  <c r="AF9" i="12"/>
  <c r="AF17" i="12"/>
  <c r="AF25" i="12"/>
  <c r="AF33" i="12"/>
  <c r="AF41" i="12"/>
  <c r="AF49" i="12"/>
  <c r="AF57" i="12"/>
  <c r="AF65" i="12"/>
  <c r="AI8" i="12"/>
  <c r="AQ8" i="12" s="1"/>
  <c r="AI12" i="12"/>
  <c r="AQ12" i="12" s="1"/>
  <c r="AI20" i="12"/>
  <c r="AI28" i="12"/>
  <c r="AI40" i="12"/>
  <c r="AI44" i="12"/>
  <c r="AI56" i="12"/>
  <c r="AI68" i="12"/>
  <c r="AF10" i="12"/>
  <c r="AF34" i="12"/>
  <c r="AF58" i="12"/>
  <c r="AI16" i="12"/>
  <c r="AI24" i="12"/>
  <c r="AI36" i="12"/>
  <c r="AI52" i="12"/>
  <c r="AI64" i="12"/>
  <c r="AF26" i="12"/>
  <c r="AF50" i="12"/>
  <c r="AL8" i="12"/>
  <c r="AR8" i="12" s="1"/>
  <c r="AL12" i="12"/>
  <c r="AR12" i="12" s="1"/>
  <c r="AL16" i="12"/>
  <c r="AL20" i="12"/>
  <c r="AL24" i="12"/>
  <c r="AL28" i="12"/>
  <c r="AL32" i="12"/>
  <c r="AL36" i="12"/>
  <c r="AL40" i="12"/>
  <c r="AL44" i="12"/>
  <c r="AL48" i="12"/>
  <c r="AL52" i="12"/>
  <c r="AL56" i="12"/>
  <c r="AL60" i="12"/>
  <c r="AL64" i="12"/>
  <c r="AL68" i="12"/>
  <c r="AL72" i="12"/>
  <c r="AF11" i="12"/>
  <c r="AF19" i="12"/>
  <c r="AF27" i="12"/>
  <c r="AF35" i="12"/>
  <c r="AF43" i="12"/>
  <c r="AF51" i="12"/>
  <c r="AF59" i="12"/>
  <c r="AF67" i="12"/>
  <c r="AI25" i="12"/>
  <c r="AI37" i="12"/>
  <c r="AI49" i="12"/>
  <c r="AI57" i="12"/>
  <c r="AI61" i="12"/>
  <c r="AF12" i="12"/>
  <c r="AF28" i="12"/>
  <c r="AF44" i="12"/>
  <c r="AF52" i="12"/>
  <c r="AF68" i="12"/>
  <c r="AI9" i="12"/>
  <c r="AQ9" i="12" s="1"/>
  <c r="AI13" i="12"/>
  <c r="AI17" i="12"/>
  <c r="AI21" i="12"/>
  <c r="AI29" i="12"/>
  <c r="AI33" i="12"/>
  <c r="AI41" i="12"/>
  <c r="AI45" i="12"/>
  <c r="AI53" i="12"/>
  <c r="AI65" i="12"/>
  <c r="AF20" i="12"/>
  <c r="AF36" i="12"/>
  <c r="AF60" i="12"/>
  <c r="AI10" i="12"/>
  <c r="AQ10" i="12" s="1"/>
  <c r="AI14" i="12"/>
  <c r="AI18" i="12"/>
  <c r="AI22" i="12"/>
  <c r="AI26" i="12"/>
  <c r="AI30" i="12"/>
  <c r="AI34" i="12"/>
  <c r="AI38" i="12"/>
  <c r="AI42" i="12"/>
  <c r="AI46" i="12"/>
  <c r="AI50" i="12"/>
  <c r="AI54" i="12"/>
  <c r="AI58" i="12"/>
  <c r="AI62" i="12"/>
  <c r="AI66" i="12"/>
  <c r="AF14" i="12"/>
  <c r="AF22" i="12"/>
  <c r="AF30" i="12"/>
  <c r="AF38" i="12"/>
  <c r="AF46" i="12"/>
  <c r="AF54" i="12"/>
  <c r="AF62" i="12"/>
  <c r="AL14" i="12"/>
  <c r="AL26" i="12"/>
  <c r="AL34" i="12"/>
  <c r="AL42" i="12"/>
  <c r="AL50" i="12"/>
  <c r="AL58" i="12"/>
  <c r="AL66" i="12"/>
  <c r="AF15" i="12"/>
  <c r="AF23" i="12"/>
  <c r="AF39" i="12"/>
  <c r="AF55" i="12"/>
  <c r="AF63" i="12"/>
  <c r="AL21" i="12"/>
  <c r="AL53" i="12"/>
  <c r="AF21" i="12"/>
  <c r="AL25" i="12"/>
  <c r="AL57" i="12"/>
  <c r="AF29" i="12"/>
  <c r="AL29" i="12"/>
  <c r="AL33" i="12"/>
  <c r="AL61" i="12"/>
  <c r="AF37" i="12"/>
  <c r="AL65" i="12"/>
  <c r="AL37" i="12"/>
  <c r="AF53" i="12"/>
  <c r="AF13" i="12"/>
  <c r="AF45" i="12"/>
  <c r="AL9" i="12"/>
  <c r="AR9" i="12" s="1"/>
  <c r="AL41" i="12"/>
  <c r="AF61" i="12"/>
  <c r="AL17" i="12"/>
  <c r="AL13" i="12"/>
  <c r="AL45" i="12"/>
  <c r="AL49" i="12"/>
  <c r="AI69" i="12"/>
  <c r="AL69" i="12"/>
  <c r="AF69" i="12"/>
  <c r="AL70" i="12"/>
  <c r="AI70" i="12"/>
  <c r="AF70" i="12"/>
  <c r="AZ62" i="12"/>
  <c r="AZ63" i="12"/>
  <c r="AZ64" i="12"/>
  <c r="AZ65" i="12"/>
  <c r="AZ66" i="12"/>
  <c r="AZ67" i="12"/>
  <c r="AZ68" i="12"/>
  <c r="AZ69" i="12"/>
  <c r="AZ70" i="12"/>
  <c r="AZ71" i="12"/>
  <c r="AZ72" i="12"/>
  <c r="AZ46" i="12"/>
  <c r="AZ47" i="12"/>
  <c r="AZ48" i="12"/>
  <c r="AZ49" i="12"/>
  <c r="AZ50" i="12"/>
  <c r="AZ51" i="12"/>
  <c r="AZ52" i="12"/>
  <c r="AZ53" i="12"/>
  <c r="AZ54" i="12"/>
  <c r="AZ55" i="12"/>
  <c r="AZ56" i="12"/>
  <c r="AZ57" i="12"/>
  <c r="AZ58" i="12"/>
  <c r="AZ59" i="12"/>
  <c r="AZ45" i="12"/>
  <c r="AZ5" i="12"/>
  <c r="AZ6" i="12"/>
  <c r="AZ7" i="12"/>
  <c r="AZ8" i="12"/>
  <c r="AZ9" i="12"/>
  <c r="AZ10" i="12"/>
  <c r="AZ11" i="12"/>
  <c r="AZ12" i="12"/>
  <c r="AZ13" i="12"/>
  <c r="AZ14" i="12"/>
  <c r="AZ15" i="12"/>
  <c r="AZ16" i="12"/>
  <c r="AZ17" i="12"/>
  <c r="AZ18" i="12"/>
  <c r="AZ19" i="12"/>
  <c r="AZ20" i="12"/>
  <c r="AZ21" i="12"/>
  <c r="AZ22" i="12"/>
  <c r="AZ23" i="12"/>
  <c r="AZ24" i="12"/>
  <c r="AZ25" i="12"/>
  <c r="AZ26" i="12"/>
  <c r="AZ27" i="12"/>
  <c r="AZ28" i="12"/>
  <c r="AZ29" i="12"/>
  <c r="AZ30" i="12"/>
  <c r="AZ31" i="12"/>
  <c r="AZ32" i="12"/>
  <c r="AZ33" i="12"/>
  <c r="AZ34" i="12"/>
  <c r="AZ35" i="12"/>
  <c r="AZ36" i="12"/>
  <c r="AZ37" i="12"/>
  <c r="AZ38" i="12"/>
  <c r="AZ39" i="12"/>
  <c r="AZ40" i="12"/>
  <c r="AZ41" i="12"/>
  <c r="AZ42" i="12"/>
  <c r="AZ43" i="12"/>
  <c r="AZ44" i="12"/>
  <c r="AZ4" i="12"/>
  <c r="G8" i="17"/>
  <c r="M10" i="17"/>
  <c r="G9" i="17" s="1"/>
  <c r="Q10" i="17"/>
  <c r="L10" i="17" s="1"/>
  <c r="R10" i="17"/>
  <c r="S10" i="17"/>
  <c r="N10" i="17" s="1"/>
  <c r="T10" i="17"/>
  <c r="O10" i="17" s="1"/>
  <c r="I10" i="17" s="1"/>
  <c r="M11" i="17"/>
  <c r="G11" i="17" s="1"/>
  <c r="N11" i="17"/>
  <c r="H11" i="17" s="1"/>
  <c r="Q11" i="17"/>
  <c r="L11" i="17" s="1"/>
  <c r="F11" i="17" s="1"/>
  <c r="R11" i="17"/>
  <c r="S11" i="17"/>
  <c r="T11" i="17"/>
  <c r="O11" i="17" s="1"/>
  <c r="I11" i="17" s="1"/>
  <c r="G12" i="17"/>
  <c r="N12" i="17"/>
  <c r="H12" i="17" s="1"/>
  <c r="Q12" i="17"/>
  <c r="L12" i="17" s="1"/>
  <c r="F12" i="17" s="1"/>
  <c r="R12" i="17"/>
  <c r="M12" i="17" s="1"/>
  <c r="S12" i="17"/>
  <c r="T12" i="17"/>
  <c r="O12" i="17" s="1"/>
  <c r="I12" i="17" s="1"/>
  <c r="L13" i="17"/>
  <c r="F13" i="17" s="1"/>
  <c r="N13" i="17"/>
  <c r="H13" i="17" s="1"/>
  <c r="Q13" i="17"/>
  <c r="R13" i="17"/>
  <c r="M13" i="17" s="1"/>
  <c r="G13" i="17" s="1"/>
  <c r="S13" i="17"/>
  <c r="T13" i="17"/>
  <c r="O13" i="17" s="1"/>
  <c r="I13" i="17" s="1"/>
  <c r="L14" i="17"/>
  <c r="F14" i="17" s="1"/>
  <c r="N14" i="17"/>
  <c r="H14" i="17" s="1"/>
  <c r="O14" i="17"/>
  <c r="I14" i="17" s="1"/>
  <c r="Q14" i="17"/>
  <c r="R14" i="17"/>
  <c r="M14" i="17" s="1"/>
  <c r="G14" i="17" s="1"/>
  <c r="S14" i="17"/>
  <c r="T14" i="17"/>
  <c r="L15" i="17"/>
  <c r="F15" i="17" s="1"/>
  <c r="O15" i="17"/>
  <c r="I15" i="17" s="1"/>
  <c r="Q15" i="17"/>
  <c r="R15" i="17"/>
  <c r="M15" i="17" s="1"/>
  <c r="G15" i="17" s="1"/>
  <c r="S15" i="17"/>
  <c r="N15" i="17" s="1"/>
  <c r="H15" i="17" s="1"/>
  <c r="T15" i="17"/>
  <c r="M16" i="17"/>
  <c r="G16" i="17" s="1"/>
  <c r="O16" i="17"/>
  <c r="I16" i="17" s="1"/>
  <c r="Q16" i="17"/>
  <c r="L16" i="17" s="1"/>
  <c r="F16" i="17" s="1"/>
  <c r="R16" i="17"/>
  <c r="S16" i="17"/>
  <c r="N16" i="17" s="1"/>
  <c r="H16" i="17" s="1"/>
  <c r="T16" i="17"/>
  <c r="F17" i="17"/>
  <c r="M17" i="17"/>
  <c r="G17" i="17" s="1"/>
  <c r="Q17" i="17"/>
  <c r="L17" i="17" s="1"/>
  <c r="R17" i="17"/>
  <c r="S17" i="17"/>
  <c r="N17" i="17" s="1"/>
  <c r="H17" i="17" s="1"/>
  <c r="T17" i="17"/>
  <c r="O17" i="17" s="1"/>
  <c r="I17" i="17" s="1"/>
  <c r="I18" i="17"/>
  <c r="M18" i="17"/>
  <c r="G18" i="17" s="1"/>
  <c r="Q18" i="17"/>
  <c r="L18" i="17" s="1"/>
  <c r="F18" i="17" s="1"/>
  <c r="R18" i="17"/>
  <c r="S18" i="17"/>
  <c r="N18" i="17" s="1"/>
  <c r="H18" i="17" s="1"/>
  <c r="T18" i="17"/>
  <c r="O18" i="17" s="1"/>
  <c r="N19" i="17"/>
  <c r="H19" i="17" s="1"/>
  <c r="Q19" i="17"/>
  <c r="L19" i="17" s="1"/>
  <c r="F19" i="17" s="1"/>
  <c r="R19" i="17"/>
  <c r="M19" i="17" s="1"/>
  <c r="G19" i="17" s="1"/>
  <c r="S19" i="17"/>
  <c r="T19" i="17"/>
  <c r="O19" i="17" s="1"/>
  <c r="I19" i="17" s="1"/>
  <c r="N20" i="17"/>
  <c r="H20" i="17" s="1"/>
  <c r="Q20" i="17"/>
  <c r="L20" i="17" s="1"/>
  <c r="F20" i="17" s="1"/>
  <c r="R20" i="17"/>
  <c r="M20" i="17" s="1"/>
  <c r="G20" i="17" s="1"/>
  <c r="S20" i="17"/>
  <c r="T20" i="17"/>
  <c r="O20" i="17" s="1"/>
  <c r="I20" i="17" s="1"/>
  <c r="L21" i="17"/>
  <c r="F21" i="17" s="1"/>
  <c r="N21" i="17"/>
  <c r="H21" i="17" s="1"/>
  <c r="Q21" i="17"/>
  <c r="R21" i="17"/>
  <c r="M21" i="17" s="1"/>
  <c r="G21" i="17" s="1"/>
  <c r="S21" i="17"/>
  <c r="T21" i="17"/>
  <c r="O21" i="17" s="1"/>
  <c r="I21" i="17" s="1"/>
  <c r="L22" i="17"/>
  <c r="F22" i="17" s="1"/>
  <c r="O22" i="17"/>
  <c r="I22" i="17" s="1"/>
  <c r="Q22" i="17"/>
  <c r="R22" i="17"/>
  <c r="M22" i="17" s="1"/>
  <c r="G22" i="17" s="1"/>
  <c r="S22" i="17"/>
  <c r="N22" i="17" s="1"/>
  <c r="H22" i="17" s="1"/>
  <c r="T22" i="17"/>
  <c r="H23" i="17"/>
  <c r="L23" i="17"/>
  <c r="F23" i="17" s="1"/>
  <c r="O23" i="17"/>
  <c r="I23" i="17" s="1"/>
  <c r="Q23" i="17"/>
  <c r="R23" i="17"/>
  <c r="M23" i="17" s="1"/>
  <c r="G23" i="17" s="1"/>
  <c r="S23" i="17"/>
  <c r="N23" i="17" s="1"/>
  <c r="T23" i="17"/>
  <c r="M24" i="17"/>
  <c r="G24" i="17" s="1"/>
  <c r="O24" i="17"/>
  <c r="I24" i="17" s="1"/>
  <c r="Q24" i="17"/>
  <c r="L24" i="17" s="1"/>
  <c r="F24" i="17" s="1"/>
  <c r="R24" i="17"/>
  <c r="S24" i="17"/>
  <c r="N24" i="17" s="1"/>
  <c r="H24" i="17" s="1"/>
  <c r="T24" i="17"/>
  <c r="M25" i="17"/>
  <c r="G25" i="17" s="1"/>
  <c r="Q25" i="17"/>
  <c r="L25" i="17" s="1"/>
  <c r="F25" i="17" s="1"/>
  <c r="R25" i="17"/>
  <c r="S25" i="17"/>
  <c r="N25" i="17" s="1"/>
  <c r="H25" i="17" s="1"/>
  <c r="T25" i="17"/>
  <c r="O25" i="17" s="1"/>
  <c r="I25" i="17" s="1"/>
  <c r="I26" i="17"/>
  <c r="M26" i="17"/>
  <c r="G26" i="17" s="1"/>
  <c r="Q26" i="17"/>
  <c r="L26" i="17" s="1"/>
  <c r="F26" i="17" s="1"/>
  <c r="R26" i="17"/>
  <c r="S26" i="17"/>
  <c r="N26" i="17" s="1"/>
  <c r="H26" i="17" s="1"/>
  <c r="T26" i="17"/>
  <c r="O26" i="17" s="1"/>
  <c r="N27" i="17"/>
  <c r="H27" i="17" s="1"/>
  <c r="Q27" i="17"/>
  <c r="L27" i="17" s="1"/>
  <c r="F27" i="17" s="1"/>
  <c r="R27" i="17"/>
  <c r="M27" i="17" s="1"/>
  <c r="G27" i="17" s="1"/>
  <c r="S27" i="17"/>
  <c r="T27" i="17"/>
  <c r="O27" i="17" s="1"/>
  <c r="I27" i="17" s="1"/>
  <c r="N28" i="17"/>
  <c r="H28" i="17" s="1"/>
  <c r="Q28" i="17"/>
  <c r="L28" i="17" s="1"/>
  <c r="F28" i="17" s="1"/>
  <c r="R28" i="17"/>
  <c r="M28" i="17" s="1"/>
  <c r="G28" i="17" s="1"/>
  <c r="S28" i="17"/>
  <c r="T28" i="17"/>
  <c r="O28" i="17" s="1"/>
  <c r="I28" i="17" s="1"/>
  <c r="L29" i="17"/>
  <c r="F29" i="17" s="1"/>
  <c r="N29" i="17"/>
  <c r="H29" i="17" s="1"/>
  <c r="Q29" i="17"/>
  <c r="R29" i="17"/>
  <c r="M29" i="17" s="1"/>
  <c r="G29" i="17" s="1"/>
  <c r="S29" i="17"/>
  <c r="T29" i="17"/>
  <c r="O29" i="17" s="1"/>
  <c r="I29" i="17" s="1"/>
  <c r="L30" i="17"/>
  <c r="F30" i="17" s="1"/>
  <c r="N30" i="17"/>
  <c r="H30" i="17" s="1"/>
  <c r="O30" i="17"/>
  <c r="I30" i="17" s="1"/>
  <c r="Q30" i="17"/>
  <c r="R30" i="17"/>
  <c r="M30" i="17" s="1"/>
  <c r="G30" i="17" s="1"/>
  <c r="S30" i="17"/>
  <c r="T30" i="17"/>
  <c r="H31" i="17"/>
  <c r="L31" i="17"/>
  <c r="F31" i="17" s="1"/>
  <c r="O31" i="17"/>
  <c r="I31" i="17" s="1"/>
  <c r="Q31" i="17"/>
  <c r="R31" i="17"/>
  <c r="M31" i="17" s="1"/>
  <c r="G31" i="17" s="1"/>
  <c r="S31" i="17"/>
  <c r="N31" i="17" s="1"/>
  <c r="T31" i="17"/>
  <c r="L32" i="17"/>
  <c r="F32" i="17" s="1"/>
  <c r="M32" i="17"/>
  <c r="G32" i="17" s="1"/>
  <c r="O32" i="17"/>
  <c r="I32" i="17" s="1"/>
  <c r="Q32" i="17"/>
  <c r="R32" i="17"/>
  <c r="S32" i="17"/>
  <c r="N32" i="17" s="1"/>
  <c r="H32" i="17" s="1"/>
  <c r="T32" i="17"/>
  <c r="M33" i="17"/>
  <c r="G33" i="17" s="1"/>
  <c r="O33" i="17"/>
  <c r="I33" i="17" s="1"/>
  <c r="Q33" i="17"/>
  <c r="L33" i="17" s="1"/>
  <c r="F33" i="17" s="1"/>
  <c r="R33" i="17"/>
  <c r="S33" i="17"/>
  <c r="N33" i="17" s="1"/>
  <c r="H33" i="17" s="1"/>
  <c r="T33" i="17"/>
  <c r="M34" i="17"/>
  <c r="G34" i="17" s="1"/>
  <c r="Q34" i="17"/>
  <c r="L34" i="17" s="1"/>
  <c r="F34" i="17" s="1"/>
  <c r="R34" i="17"/>
  <c r="S34" i="17"/>
  <c r="N34" i="17" s="1"/>
  <c r="H34" i="17" s="1"/>
  <c r="T34" i="17"/>
  <c r="O34" i="17" s="1"/>
  <c r="I34" i="17" s="1"/>
  <c r="M35" i="17"/>
  <c r="G35" i="17" s="1"/>
  <c r="N35" i="17"/>
  <c r="H35" i="17" s="1"/>
  <c r="Q35" i="17"/>
  <c r="L35" i="17" s="1"/>
  <c r="F35" i="17" s="1"/>
  <c r="R35" i="17"/>
  <c r="S35" i="17"/>
  <c r="T35" i="17"/>
  <c r="O35" i="17" s="1"/>
  <c r="I35" i="17" s="1"/>
  <c r="G36" i="17"/>
  <c r="N36" i="17"/>
  <c r="H36" i="17" s="1"/>
  <c r="Q36" i="17"/>
  <c r="L36" i="17" s="1"/>
  <c r="F36" i="17" s="1"/>
  <c r="R36" i="17"/>
  <c r="M36" i="17" s="1"/>
  <c r="S36" i="17"/>
  <c r="T36" i="17"/>
  <c r="O36" i="17" s="1"/>
  <c r="I36" i="17" s="1"/>
  <c r="L37" i="17"/>
  <c r="F37" i="17" s="1"/>
  <c r="N37" i="17"/>
  <c r="H37" i="17" s="1"/>
  <c r="Q37" i="17"/>
  <c r="R37" i="17"/>
  <c r="M37" i="17" s="1"/>
  <c r="G37" i="17" s="1"/>
  <c r="S37" i="17"/>
  <c r="T37" i="17"/>
  <c r="O37" i="17" s="1"/>
  <c r="I37" i="17" s="1"/>
  <c r="L38" i="17"/>
  <c r="F38" i="17" s="1"/>
  <c r="N38" i="17"/>
  <c r="H38" i="17" s="1"/>
  <c r="O38" i="17"/>
  <c r="I38" i="17" s="1"/>
  <c r="Q38" i="17"/>
  <c r="R38" i="17"/>
  <c r="M38" i="17" s="1"/>
  <c r="G38" i="17" s="1"/>
  <c r="S38" i="17"/>
  <c r="T38" i="17"/>
  <c r="L39" i="17"/>
  <c r="F39" i="17" s="1"/>
  <c r="O39" i="17"/>
  <c r="I39" i="17" s="1"/>
  <c r="Q39" i="17"/>
  <c r="R39" i="17"/>
  <c r="M39" i="17" s="1"/>
  <c r="G39" i="17" s="1"/>
  <c r="S39" i="17"/>
  <c r="N39" i="17" s="1"/>
  <c r="H39" i="17" s="1"/>
  <c r="T39" i="17"/>
  <c r="L40" i="17"/>
  <c r="F40" i="17" s="1"/>
  <c r="M40" i="17"/>
  <c r="G40" i="17" s="1"/>
  <c r="O40" i="17"/>
  <c r="I40" i="17" s="1"/>
  <c r="Q40" i="17"/>
  <c r="R40" i="17"/>
  <c r="S40" i="17"/>
  <c r="N40" i="17" s="1"/>
  <c r="H40" i="17" s="1"/>
  <c r="T40" i="17"/>
  <c r="M41" i="17"/>
  <c r="G41" i="17" s="1"/>
  <c r="Q41" i="17"/>
  <c r="L41" i="17" s="1"/>
  <c r="F41" i="17" s="1"/>
  <c r="R41" i="17"/>
  <c r="S41" i="17"/>
  <c r="N41" i="17" s="1"/>
  <c r="H41" i="17" s="1"/>
  <c r="T41" i="17"/>
  <c r="O41" i="17" s="1"/>
  <c r="I41" i="17" s="1"/>
  <c r="I42" i="17"/>
  <c r="M42" i="17"/>
  <c r="G42" i="17" s="1"/>
  <c r="Q42" i="17"/>
  <c r="L42" i="17" s="1"/>
  <c r="F42" i="17" s="1"/>
  <c r="R42" i="17"/>
  <c r="S42" i="17"/>
  <c r="N42" i="17" s="1"/>
  <c r="H42" i="17" s="1"/>
  <c r="T42" i="17"/>
  <c r="O42" i="17" s="1"/>
  <c r="N43" i="17"/>
  <c r="H43" i="17" s="1"/>
  <c r="Q43" i="17"/>
  <c r="L43" i="17" s="1"/>
  <c r="F43" i="17" s="1"/>
  <c r="R43" i="17"/>
  <c r="M43" i="17" s="1"/>
  <c r="G43" i="17" s="1"/>
  <c r="S43" i="17"/>
  <c r="T43" i="17"/>
  <c r="O43" i="17" s="1"/>
  <c r="I43" i="17" s="1"/>
  <c r="N44" i="17"/>
  <c r="H44" i="17" s="1"/>
  <c r="Q44" i="17"/>
  <c r="L44" i="17" s="1"/>
  <c r="F44" i="17" s="1"/>
  <c r="R44" i="17"/>
  <c r="M44" i="17" s="1"/>
  <c r="G44" i="17" s="1"/>
  <c r="S44" i="17"/>
  <c r="T44" i="17"/>
  <c r="O44" i="17" s="1"/>
  <c r="I44" i="17" s="1"/>
  <c r="L45" i="17"/>
  <c r="F45" i="17" s="1"/>
  <c r="N45" i="17"/>
  <c r="H45" i="17" s="1"/>
  <c r="Q45" i="17"/>
  <c r="R45" i="17"/>
  <c r="M45" i="17" s="1"/>
  <c r="G45" i="17" s="1"/>
  <c r="S45" i="17"/>
  <c r="T45" i="17"/>
  <c r="O45" i="17" s="1"/>
  <c r="I45" i="17" s="1"/>
  <c r="L46" i="17"/>
  <c r="F46" i="17" s="1"/>
  <c r="O46" i="17"/>
  <c r="I46" i="17" s="1"/>
  <c r="Q46" i="17"/>
  <c r="R46" i="17"/>
  <c r="M46" i="17" s="1"/>
  <c r="G46" i="17" s="1"/>
  <c r="S46" i="17"/>
  <c r="N46" i="17" s="1"/>
  <c r="H46" i="17" s="1"/>
  <c r="T46" i="17"/>
  <c r="H47" i="17"/>
  <c r="L47" i="17"/>
  <c r="F47" i="17" s="1"/>
  <c r="O47" i="17"/>
  <c r="I47" i="17" s="1"/>
  <c r="Q47" i="17"/>
  <c r="R47" i="17"/>
  <c r="M47" i="17" s="1"/>
  <c r="G47" i="17" s="1"/>
  <c r="S47" i="17"/>
  <c r="N47" i="17" s="1"/>
  <c r="T47" i="17"/>
  <c r="M48" i="17"/>
  <c r="G48" i="17" s="1"/>
  <c r="O48" i="17"/>
  <c r="I48" i="17" s="1"/>
  <c r="Q48" i="17"/>
  <c r="L48" i="17" s="1"/>
  <c r="F48" i="17" s="1"/>
  <c r="R48" i="17"/>
  <c r="S48" i="17"/>
  <c r="N48" i="17" s="1"/>
  <c r="H48" i="17" s="1"/>
  <c r="T48" i="17"/>
  <c r="M49" i="17"/>
  <c r="G49" i="17" s="1"/>
  <c r="Q49" i="17"/>
  <c r="L49" i="17" s="1"/>
  <c r="F49" i="17" s="1"/>
  <c r="R49" i="17"/>
  <c r="S49" i="17"/>
  <c r="N49" i="17" s="1"/>
  <c r="H49" i="17" s="1"/>
  <c r="T49" i="17"/>
  <c r="O49" i="17" s="1"/>
  <c r="I49" i="17" s="1"/>
  <c r="M50" i="17"/>
  <c r="G50" i="17" s="1"/>
  <c r="Q50" i="17"/>
  <c r="L50" i="17" s="1"/>
  <c r="F50" i="17" s="1"/>
  <c r="R50" i="17"/>
  <c r="S50" i="17"/>
  <c r="N50" i="17" s="1"/>
  <c r="H50" i="17" s="1"/>
  <c r="T50" i="17"/>
  <c r="O50" i="17" s="1"/>
  <c r="I50" i="17" s="1"/>
  <c r="N51" i="17"/>
  <c r="H51" i="17" s="1"/>
  <c r="Q51" i="17"/>
  <c r="L51" i="17" s="1"/>
  <c r="F51" i="17" s="1"/>
  <c r="R51" i="17"/>
  <c r="M51" i="17" s="1"/>
  <c r="G51" i="17" s="1"/>
  <c r="S51" i="17"/>
  <c r="T51" i="17"/>
  <c r="O51" i="17" s="1"/>
  <c r="I51" i="17" s="1"/>
  <c r="L52" i="17"/>
  <c r="F52" i="17" s="1"/>
  <c r="N52" i="17"/>
  <c r="H52" i="17" s="1"/>
  <c r="Q52" i="17"/>
  <c r="R52" i="17"/>
  <c r="M52" i="17" s="1"/>
  <c r="G52" i="17" s="1"/>
  <c r="S52" i="17"/>
  <c r="T52" i="17"/>
  <c r="O52" i="17" s="1"/>
  <c r="I52" i="17" s="1"/>
  <c r="L53" i="17"/>
  <c r="F53" i="17" s="1"/>
  <c r="N53" i="17"/>
  <c r="H53" i="17" s="1"/>
  <c r="O53" i="17"/>
  <c r="I53" i="17" s="1"/>
  <c r="Q53" i="17"/>
  <c r="R53" i="17"/>
  <c r="M53" i="17" s="1"/>
  <c r="G53" i="17" s="1"/>
  <c r="S53" i="17"/>
  <c r="T53" i="17"/>
  <c r="L54" i="17"/>
  <c r="F54" i="17" s="1"/>
  <c r="O54" i="17"/>
  <c r="I54" i="17" s="1"/>
  <c r="Q54" i="17"/>
  <c r="R54" i="17"/>
  <c r="M54" i="17" s="1"/>
  <c r="G54" i="17" s="1"/>
  <c r="S54" i="17"/>
  <c r="N54" i="17" s="1"/>
  <c r="H54" i="17" s="1"/>
  <c r="T54" i="17"/>
  <c r="L55" i="17"/>
  <c r="F55" i="17" s="1"/>
  <c r="M55" i="17"/>
  <c r="G55" i="17" s="1"/>
  <c r="O55" i="17"/>
  <c r="I55" i="17" s="1"/>
  <c r="Q55" i="17"/>
  <c r="R55" i="17"/>
  <c r="S55" i="17"/>
  <c r="N55" i="17" s="1"/>
  <c r="H55" i="17" s="1"/>
  <c r="T55" i="17"/>
  <c r="M56" i="17"/>
  <c r="G56" i="17" s="1"/>
  <c r="O56" i="17"/>
  <c r="I56" i="17" s="1"/>
  <c r="Q56" i="17"/>
  <c r="L56" i="17" s="1"/>
  <c r="F56" i="17" s="1"/>
  <c r="R56" i="17"/>
  <c r="S56" i="17"/>
  <c r="N56" i="17" s="1"/>
  <c r="H56" i="17" s="1"/>
  <c r="T56" i="17"/>
  <c r="F57" i="17"/>
  <c r="M57" i="17"/>
  <c r="G57" i="17" s="1"/>
  <c r="Q57" i="17"/>
  <c r="L57" i="17" s="1"/>
  <c r="R57" i="17"/>
  <c r="S57" i="17"/>
  <c r="N57" i="17" s="1"/>
  <c r="H57" i="17" s="1"/>
  <c r="T57" i="17"/>
  <c r="O57" i="17" s="1"/>
  <c r="I57" i="17" s="1"/>
  <c r="F58" i="17"/>
  <c r="L58" i="17" s="1"/>
  <c r="G58" i="17"/>
  <c r="H58" i="17"/>
  <c r="N58" i="17" s="1"/>
  <c r="I58" i="17"/>
  <c r="O58" i="17" s="1"/>
  <c r="M58" i="17"/>
  <c r="F59" i="17"/>
  <c r="L59" i="17" s="1"/>
  <c r="G59" i="17"/>
  <c r="M59" i="17" s="1"/>
  <c r="H59" i="17"/>
  <c r="N59" i="17" s="1"/>
  <c r="I59" i="17"/>
  <c r="O59" i="17" s="1"/>
  <c r="F60" i="17"/>
  <c r="L60" i="17" s="1"/>
  <c r="G60" i="17"/>
  <c r="M60" i="17" s="1"/>
  <c r="H60" i="17"/>
  <c r="I60" i="17"/>
  <c r="O60" i="17" s="1"/>
  <c r="N60" i="17"/>
  <c r="F61" i="17"/>
  <c r="G61" i="17"/>
  <c r="H61" i="17"/>
  <c r="N61" i="17" s="1"/>
  <c r="I61" i="17"/>
  <c r="O61" i="17" s="1"/>
  <c r="M61" i="17"/>
  <c r="F62" i="17"/>
  <c r="L62" i="17" s="1"/>
  <c r="G62" i="17"/>
  <c r="M62" i="17" s="1"/>
  <c r="H62" i="17"/>
  <c r="N62" i="17" s="1"/>
  <c r="I62" i="17"/>
  <c r="O62" i="17"/>
  <c r="F63" i="17"/>
  <c r="G63" i="17"/>
  <c r="M63" i="17" s="1"/>
  <c r="H63" i="17"/>
  <c r="I63" i="17"/>
  <c r="O63" i="17" s="1"/>
  <c r="N63" i="17"/>
  <c r="F64" i="17"/>
  <c r="L64" i="17" s="1"/>
  <c r="G64" i="17"/>
  <c r="H64" i="17"/>
  <c r="N64" i="17" s="1"/>
  <c r="I64" i="17"/>
  <c r="O64" i="17" s="1"/>
  <c r="M64" i="17"/>
  <c r="F65" i="17"/>
  <c r="L65" i="17" s="1"/>
  <c r="G65" i="17"/>
  <c r="M65" i="17" s="1"/>
  <c r="H65" i="17"/>
  <c r="I65" i="17"/>
  <c r="N65" i="17"/>
  <c r="O65" i="17"/>
  <c r="F66" i="17"/>
  <c r="L66" i="17" s="1"/>
  <c r="G66" i="17"/>
  <c r="M66" i="17" s="1"/>
  <c r="H66" i="17"/>
  <c r="N66" i="17" s="1"/>
  <c r="I66" i="17"/>
  <c r="O66" i="17" s="1"/>
  <c r="F67" i="17"/>
  <c r="G67" i="17"/>
  <c r="H67" i="17"/>
  <c r="N67" i="17" s="1"/>
  <c r="I67" i="17"/>
  <c r="O67" i="17" s="1"/>
  <c r="L67" i="17"/>
  <c r="M67" i="17"/>
  <c r="F68" i="17"/>
  <c r="G68" i="17"/>
  <c r="M68" i="17" s="1"/>
  <c r="H68" i="17"/>
  <c r="I68" i="17"/>
  <c r="O68" i="17" s="1"/>
  <c r="L68" i="17"/>
  <c r="N68" i="17"/>
  <c r="F69" i="17"/>
  <c r="G69" i="17"/>
  <c r="H69" i="17"/>
  <c r="N69" i="17" s="1"/>
  <c r="I69" i="17"/>
  <c r="O69" i="17" s="1"/>
  <c r="M69" i="17"/>
  <c r="F70" i="17"/>
  <c r="L70" i="17" s="1"/>
  <c r="G70" i="17"/>
  <c r="M70" i="17" s="1"/>
  <c r="H70" i="17"/>
  <c r="N70" i="17" s="1"/>
  <c r="I70" i="17"/>
  <c r="O70" i="17" s="1"/>
  <c r="F71" i="17"/>
  <c r="G71" i="17"/>
  <c r="M71" i="17" s="1"/>
  <c r="H71" i="17"/>
  <c r="I71" i="17"/>
  <c r="O71" i="17" s="1"/>
  <c r="N71" i="17"/>
  <c r="F72" i="17"/>
  <c r="L72" i="17" s="1"/>
  <c r="G72" i="17"/>
  <c r="H72" i="17"/>
  <c r="N72" i="17" s="1"/>
  <c r="I72" i="17"/>
  <c r="M72" i="17"/>
  <c r="O72" i="17"/>
  <c r="F73" i="17"/>
  <c r="L73" i="17" s="1"/>
  <c r="G73" i="17"/>
  <c r="M73" i="17" s="1"/>
  <c r="H73" i="17"/>
  <c r="I73" i="17"/>
  <c r="O73" i="17" s="1"/>
  <c r="N73" i="17"/>
  <c r="F74" i="17"/>
  <c r="L74" i="17" s="1"/>
  <c r="G74" i="17"/>
  <c r="M74" i="17" s="1"/>
  <c r="H74" i="17"/>
  <c r="N74" i="17" s="1"/>
  <c r="I74" i="17"/>
  <c r="O74" i="17" s="1"/>
  <c r="F75" i="17"/>
  <c r="G75" i="17"/>
  <c r="H75" i="17"/>
  <c r="N75" i="17" s="1"/>
  <c r="I75" i="17"/>
  <c r="O75" i="17" s="1"/>
  <c r="L75" i="17"/>
  <c r="M75" i="17"/>
  <c r="F76" i="17"/>
  <c r="G76" i="17"/>
  <c r="M76" i="17" s="1"/>
  <c r="H76" i="17"/>
  <c r="I76" i="17"/>
  <c r="O76" i="17" s="1"/>
  <c r="L76" i="17"/>
  <c r="N76" i="17"/>
  <c r="A1" i="16"/>
  <c r="A2" i="16"/>
  <c r="B2" i="16"/>
  <c r="C2" i="16"/>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AF2" i="16"/>
  <c r="AG2" i="16"/>
  <c r="AH2" i="16"/>
  <c r="AI2" i="16"/>
  <c r="AJ2" i="16"/>
  <c r="AK2" i="16"/>
  <c r="AL2" i="16"/>
  <c r="AM2" i="16"/>
  <c r="AN2" i="16"/>
  <c r="AO2" i="16"/>
  <c r="AP2" i="16"/>
  <c r="AQ2" i="16"/>
  <c r="AR2" i="16"/>
  <c r="AS2" i="16"/>
  <c r="AT2" i="16"/>
  <c r="AU2" i="16"/>
  <c r="AV2" i="16"/>
  <c r="AW2" i="16"/>
  <c r="AX2" i="16"/>
  <c r="AY2" i="16"/>
  <c r="AZ2" i="16"/>
  <c r="BA2" i="16"/>
  <c r="BB2" i="16"/>
  <c r="BC2" i="16"/>
  <c r="BD2" i="16"/>
  <c r="BE2" i="16"/>
  <c r="BF2" i="16"/>
  <c r="BG2" i="16"/>
  <c r="BH2" i="16"/>
  <c r="BI2" i="16"/>
  <c r="BJ2" i="16"/>
  <c r="BK2" i="16"/>
  <c r="BL2" i="16"/>
  <c r="BM2" i="16"/>
  <c r="BN2" i="16"/>
  <c r="BO2" i="16"/>
  <c r="BP2" i="16"/>
  <c r="BQ2" i="16"/>
  <c r="BR2" i="16"/>
  <c r="BS2" i="16"/>
  <c r="BT2" i="16"/>
  <c r="BU2" i="16"/>
  <c r="BV2" i="16"/>
  <c r="BW2" i="16"/>
  <c r="BX2" i="16"/>
  <c r="BY2" i="16"/>
  <c r="BZ2" i="16"/>
  <c r="CA2" i="16"/>
  <c r="CB2" i="16"/>
  <c r="CC2" i="16"/>
  <c r="CD2" i="16"/>
  <c r="CE2" i="16"/>
  <c r="CF2" i="16"/>
  <c r="CG2" i="16"/>
  <c r="CH2" i="16"/>
  <c r="CI2" i="16"/>
  <c r="CJ2" i="16"/>
  <c r="CK2" i="16"/>
  <c r="CL2" i="16"/>
  <c r="CM2" i="16"/>
  <c r="CN2" i="16"/>
  <c r="CO2" i="16"/>
  <c r="CQ3" i="16"/>
  <c r="B4" i="16"/>
  <c r="B5" i="16" s="1"/>
  <c r="B6" i="16" s="1"/>
  <c r="B7" i="16" s="1"/>
  <c r="B8" i="16" s="1"/>
  <c r="B9" i="16" s="1"/>
  <c r="B10" i="16" s="1"/>
  <c r="CQ4" i="16"/>
  <c r="CQ5" i="16"/>
  <c r="CQ6" i="16"/>
  <c r="CQ7" i="16"/>
  <c r="CQ8" i="16"/>
  <c r="CQ9" i="16"/>
  <c r="CQ10" i="16"/>
  <c r="B11" i="16"/>
  <c r="CQ11" i="16"/>
  <c r="B12" i="16"/>
  <c r="CQ12" i="16"/>
  <c r="B13" i="16"/>
  <c r="CQ13" i="16"/>
  <c r="B14" i="16"/>
  <c r="CQ14" i="16"/>
  <c r="B15" i="16"/>
  <c r="CQ15" i="16"/>
  <c r="B16" i="16"/>
  <c r="CQ16" i="16"/>
  <c r="B17" i="16"/>
  <c r="CQ17" i="16"/>
  <c r="B18" i="16"/>
  <c r="CQ18" i="16"/>
  <c r="B19" i="16"/>
  <c r="CQ19" i="16"/>
  <c r="B20" i="16"/>
  <c r="CQ20" i="16"/>
  <c r="B21" i="16"/>
  <c r="CQ21" i="16"/>
  <c r="C25" i="16"/>
  <c r="C32" i="16" s="1"/>
  <c r="D25" i="16"/>
  <c r="D33" i="16" s="1"/>
  <c r="E25" i="16"/>
  <c r="F25" i="16"/>
  <c r="F29" i="16" s="1"/>
  <c r="G25" i="16"/>
  <c r="H25" i="16"/>
  <c r="H40" i="16" s="1"/>
  <c r="I25" i="16"/>
  <c r="I30" i="16" s="1"/>
  <c r="J25" i="16"/>
  <c r="J28" i="16" s="1"/>
  <c r="K25" i="16"/>
  <c r="K28" i="16" s="1"/>
  <c r="L25" i="16"/>
  <c r="L33" i="16" s="1"/>
  <c r="M25" i="16"/>
  <c r="N25" i="16"/>
  <c r="N29" i="16" s="1"/>
  <c r="O25" i="16"/>
  <c r="P25" i="16"/>
  <c r="P34" i="16" s="1"/>
  <c r="Q25" i="16"/>
  <c r="Q30" i="16" s="1"/>
  <c r="R25" i="16"/>
  <c r="R28" i="16" s="1"/>
  <c r="S25" i="16"/>
  <c r="S28" i="16" s="1"/>
  <c r="T25" i="16"/>
  <c r="T33" i="16" s="1"/>
  <c r="U25" i="16"/>
  <c r="U28" i="16" s="1"/>
  <c r="V25" i="16"/>
  <c r="V29" i="16" s="1"/>
  <c r="W25" i="16"/>
  <c r="X25" i="16"/>
  <c r="X34" i="16" s="1"/>
  <c r="Y25" i="16"/>
  <c r="Y29" i="16" s="1"/>
  <c r="Z25" i="16"/>
  <c r="Z28" i="16" s="1"/>
  <c r="AA25" i="16"/>
  <c r="AA33" i="16" s="1"/>
  <c r="AB25" i="16"/>
  <c r="AB33" i="16" s="1"/>
  <c r="AC25" i="16"/>
  <c r="AD25" i="16"/>
  <c r="AD29" i="16" s="1"/>
  <c r="AE25" i="16"/>
  <c r="AF25" i="16"/>
  <c r="AF33" i="16" s="1"/>
  <c r="AG25" i="16"/>
  <c r="AG30" i="16" s="1"/>
  <c r="AH25" i="16"/>
  <c r="AH28" i="16" s="1"/>
  <c r="AI25" i="16"/>
  <c r="AI30" i="16" s="1"/>
  <c r="AJ25" i="16"/>
  <c r="AJ33" i="16" s="1"/>
  <c r="AK25" i="16"/>
  <c r="AL25" i="16"/>
  <c r="AM25" i="16"/>
  <c r="AN25" i="16"/>
  <c r="AN32" i="16" s="1"/>
  <c r="AO25" i="16"/>
  <c r="AO30" i="16" s="1"/>
  <c r="AP25" i="16"/>
  <c r="AP28" i="16" s="1"/>
  <c r="AQ25" i="16"/>
  <c r="AQ29" i="16" s="1"/>
  <c r="AR25" i="16"/>
  <c r="AR33" i="16" s="1"/>
  <c r="AS25" i="16"/>
  <c r="AT25" i="16"/>
  <c r="AU25" i="16"/>
  <c r="AV25" i="16"/>
  <c r="AV38" i="16" s="1"/>
  <c r="AW25" i="16"/>
  <c r="AW30" i="16" s="1"/>
  <c r="AX25" i="16"/>
  <c r="AX28" i="16" s="1"/>
  <c r="AY25" i="16"/>
  <c r="AY32" i="16" s="1"/>
  <c r="AZ25" i="16"/>
  <c r="AZ33" i="16" s="1"/>
  <c r="BA25" i="16"/>
  <c r="BB25" i="16"/>
  <c r="BC25" i="16"/>
  <c r="BD25" i="16"/>
  <c r="BD38" i="16" s="1"/>
  <c r="BE25" i="16"/>
  <c r="BE30" i="16" s="1"/>
  <c r="BF25" i="16"/>
  <c r="BF28" i="16" s="1"/>
  <c r="BG25" i="16"/>
  <c r="BG32" i="16" s="1"/>
  <c r="BH25" i="16"/>
  <c r="BH33" i="16" s="1"/>
  <c r="BI25" i="16"/>
  <c r="BJ25" i="16"/>
  <c r="BK25" i="16"/>
  <c r="BL25" i="16"/>
  <c r="BL42" i="16" s="1"/>
  <c r="BM25" i="16"/>
  <c r="BM28" i="16" s="1"/>
  <c r="BN25" i="16"/>
  <c r="BN28" i="16" s="1"/>
  <c r="BO25" i="16"/>
  <c r="BO29" i="16" s="1"/>
  <c r="BP25" i="16"/>
  <c r="BP33" i="16" s="1"/>
  <c r="BQ25" i="16"/>
  <c r="BR25" i="16"/>
  <c r="BS25" i="16"/>
  <c r="BT25" i="16"/>
  <c r="BT42" i="16" s="1"/>
  <c r="BU25" i="16"/>
  <c r="BU30" i="16" s="1"/>
  <c r="BV25" i="16"/>
  <c r="BV28" i="16" s="1"/>
  <c r="BW25" i="16"/>
  <c r="BW29" i="16" s="1"/>
  <c r="BX25" i="16"/>
  <c r="BX33" i="16" s="1"/>
  <c r="BY25" i="16"/>
  <c r="BZ25" i="16"/>
  <c r="CA25" i="16"/>
  <c r="CB25" i="16"/>
  <c r="CB34" i="16" s="1"/>
  <c r="CC25" i="16"/>
  <c r="CC30" i="16" s="1"/>
  <c r="CD25" i="16"/>
  <c r="CD28" i="16" s="1"/>
  <c r="CE25" i="16"/>
  <c r="CE29" i="16" s="1"/>
  <c r="CF25" i="16"/>
  <c r="CF33" i="16" s="1"/>
  <c r="CG25" i="16"/>
  <c r="CH25" i="16"/>
  <c r="CI25" i="16"/>
  <c r="CJ25" i="16"/>
  <c r="CJ34" i="16" s="1"/>
  <c r="CK25" i="16"/>
  <c r="CK30" i="16" s="1"/>
  <c r="CL25" i="16"/>
  <c r="CL28" i="16" s="1"/>
  <c r="CM25" i="16"/>
  <c r="CM28" i="16" s="1"/>
  <c r="CN25" i="16"/>
  <c r="CN33" i="16" s="1"/>
  <c r="CO25" i="16"/>
  <c r="E28" i="16"/>
  <c r="F28" i="16"/>
  <c r="G28" i="16"/>
  <c r="M28" i="16"/>
  <c r="N28" i="16"/>
  <c r="O28" i="16"/>
  <c r="V28" i="16"/>
  <c r="W28" i="16"/>
  <c r="Y28" i="16"/>
  <c r="AA28" i="16"/>
  <c r="AC28" i="16"/>
  <c r="AE28" i="16"/>
  <c r="AG28" i="16"/>
  <c r="AK28" i="16"/>
  <c r="AL28" i="16"/>
  <c r="AM28" i="16"/>
  <c r="AQ28" i="16"/>
  <c r="AS28" i="16"/>
  <c r="AT28" i="16"/>
  <c r="AU28" i="16"/>
  <c r="AW28" i="16"/>
  <c r="AY28" i="16"/>
  <c r="BA28" i="16"/>
  <c r="BB28" i="16"/>
  <c r="BC28" i="16"/>
  <c r="BG28" i="16"/>
  <c r="BI28" i="16"/>
  <c r="BJ28" i="16"/>
  <c r="BK28" i="16"/>
  <c r="BO28" i="16"/>
  <c r="BQ28" i="16"/>
  <c r="BR28" i="16"/>
  <c r="BS28" i="16"/>
  <c r="BW28" i="16"/>
  <c r="BY28" i="16"/>
  <c r="BZ28" i="16"/>
  <c r="CA28" i="16"/>
  <c r="CE28" i="16"/>
  <c r="CG28" i="16"/>
  <c r="CH28" i="16"/>
  <c r="CI28" i="16"/>
  <c r="CK28" i="16"/>
  <c r="CO28" i="16"/>
  <c r="E29" i="16"/>
  <c r="G29" i="16"/>
  <c r="I29" i="16"/>
  <c r="J29" i="16"/>
  <c r="K29" i="16"/>
  <c r="M29" i="16"/>
  <c r="O29" i="16"/>
  <c r="S29" i="16"/>
  <c r="U29" i="16"/>
  <c r="W29" i="16"/>
  <c r="Z29" i="16"/>
  <c r="AA29" i="16"/>
  <c r="AC29" i="16"/>
  <c r="AE29" i="16"/>
  <c r="AI29" i="16"/>
  <c r="AK29" i="16"/>
  <c r="AL29" i="16"/>
  <c r="AM29" i="16"/>
  <c r="AP29" i="16"/>
  <c r="AS29" i="16"/>
  <c r="AT29" i="16"/>
  <c r="AU29" i="16"/>
  <c r="BA29" i="16"/>
  <c r="BB29" i="16"/>
  <c r="BC29" i="16"/>
  <c r="BE29" i="16"/>
  <c r="BG29" i="16"/>
  <c r="BI29" i="16"/>
  <c r="BJ29" i="16"/>
  <c r="BK29" i="16"/>
  <c r="BN29" i="16"/>
  <c r="BQ29" i="16"/>
  <c r="BR29" i="16"/>
  <c r="BS29" i="16"/>
  <c r="BY29" i="16"/>
  <c r="BZ29" i="16"/>
  <c r="CA29" i="16"/>
  <c r="CG29" i="16"/>
  <c r="CH29" i="16"/>
  <c r="CI29" i="16"/>
  <c r="CK29" i="16"/>
  <c r="CL29" i="16"/>
  <c r="CO29" i="16"/>
  <c r="E30" i="16"/>
  <c r="F30" i="16"/>
  <c r="G30" i="16"/>
  <c r="J30" i="16"/>
  <c r="K30" i="16"/>
  <c r="M30" i="16"/>
  <c r="N30" i="16"/>
  <c r="O30" i="16"/>
  <c r="P30" i="16"/>
  <c r="R30" i="16"/>
  <c r="U30" i="16"/>
  <c r="V30" i="16"/>
  <c r="W30" i="16"/>
  <c r="AA30" i="16"/>
  <c r="AC30" i="16"/>
  <c r="AD30" i="16"/>
  <c r="AE30" i="16"/>
  <c r="AH30" i="16"/>
  <c r="AK30" i="16"/>
  <c r="AL30" i="16"/>
  <c r="AM30" i="16"/>
  <c r="AP30" i="16"/>
  <c r="AQ30" i="16"/>
  <c r="AS30" i="16"/>
  <c r="AT30" i="16"/>
  <c r="AU30" i="16"/>
  <c r="AV30" i="16"/>
  <c r="BA30" i="16"/>
  <c r="BB30" i="16"/>
  <c r="BC30" i="16"/>
  <c r="BG30" i="16"/>
  <c r="BI30" i="16"/>
  <c r="BJ30" i="16"/>
  <c r="BK30" i="16"/>
  <c r="BN30" i="16"/>
  <c r="BQ30" i="16"/>
  <c r="BR30" i="16"/>
  <c r="BS30" i="16"/>
  <c r="BV30" i="16"/>
  <c r="BW30" i="16"/>
  <c r="BY30" i="16"/>
  <c r="BZ30" i="16"/>
  <c r="CA30" i="16"/>
  <c r="CB30" i="16"/>
  <c r="CG30" i="16"/>
  <c r="CH30" i="16"/>
  <c r="CI30" i="16"/>
  <c r="CM30" i="16"/>
  <c r="CO30" i="16"/>
  <c r="C31" i="16"/>
  <c r="D31" i="16"/>
  <c r="E31" i="16"/>
  <c r="F31" i="16"/>
  <c r="G31" i="16"/>
  <c r="I31" i="16"/>
  <c r="J31" i="16"/>
  <c r="K31" i="16"/>
  <c r="L31" i="16"/>
  <c r="M31" i="16"/>
  <c r="N31" i="16"/>
  <c r="O31" i="16"/>
  <c r="Q31" i="16"/>
  <c r="R31" i="16"/>
  <c r="S31" i="16"/>
  <c r="T31" i="16"/>
  <c r="U31" i="16"/>
  <c r="V31" i="16"/>
  <c r="W31" i="16"/>
  <c r="Y31" i="16"/>
  <c r="Z31" i="16"/>
  <c r="AA31" i="16"/>
  <c r="AB31" i="16"/>
  <c r="AC31" i="16"/>
  <c r="AD31" i="16"/>
  <c r="AE31" i="16"/>
  <c r="AG31" i="16"/>
  <c r="AH31" i="16"/>
  <c r="AI31" i="16"/>
  <c r="AJ31" i="16"/>
  <c r="AK31" i="16"/>
  <c r="AL31" i="16"/>
  <c r="AM31" i="16"/>
  <c r="AO31" i="16"/>
  <c r="AP31" i="16"/>
  <c r="AQ31" i="16"/>
  <c r="AR31" i="16"/>
  <c r="AS31" i="16"/>
  <c r="AT31" i="16"/>
  <c r="AU31" i="16"/>
  <c r="AW31" i="16"/>
  <c r="AX31" i="16"/>
  <c r="AY31" i="16"/>
  <c r="AZ31" i="16"/>
  <c r="BA31" i="16"/>
  <c r="BB31" i="16"/>
  <c r="BC31" i="16"/>
  <c r="BE31" i="16"/>
  <c r="BF31" i="16"/>
  <c r="BG31" i="16"/>
  <c r="BH31" i="16"/>
  <c r="BI31" i="16"/>
  <c r="BJ31" i="16"/>
  <c r="BK31" i="16"/>
  <c r="BM31" i="16"/>
  <c r="BN31" i="16"/>
  <c r="BO31" i="16"/>
  <c r="BP31" i="16"/>
  <c r="BQ31" i="16"/>
  <c r="BR31" i="16"/>
  <c r="BS31" i="16"/>
  <c r="BU31" i="16"/>
  <c r="BV31" i="16"/>
  <c r="BW31" i="16"/>
  <c r="BX31" i="16"/>
  <c r="BY31" i="16"/>
  <c r="BZ31" i="16"/>
  <c r="CA31" i="16"/>
  <c r="CC31" i="16"/>
  <c r="CD31" i="16"/>
  <c r="CE31" i="16"/>
  <c r="CF31" i="16"/>
  <c r="CG31" i="16"/>
  <c r="CH31" i="16"/>
  <c r="CI31" i="16"/>
  <c r="CK31" i="16"/>
  <c r="CL31" i="16"/>
  <c r="CM31" i="16"/>
  <c r="CN31" i="16"/>
  <c r="CO31" i="16"/>
  <c r="E32" i="16"/>
  <c r="F32" i="16"/>
  <c r="G32" i="16"/>
  <c r="I32" i="16"/>
  <c r="J32" i="16"/>
  <c r="K32" i="16"/>
  <c r="M32" i="16"/>
  <c r="N32" i="16"/>
  <c r="O32" i="16"/>
  <c r="P32" i="16"/>
  <c r="Q32" i="16"/>
  <c r="R32" i="16"/>
  <c r="S32" i="16"/>
  <c r="U32" i="16"/>
  <c r="V32" i="16"/>
  <c r="W32" i="16"/>
  <c r="Y32" i="16"/>
  <c r="Z32" i="16"/>
  <c r="AA32" i="16"/>
  <c r="AC32" i="16"/>
  <c r="AD32" i="16"/>
  <c r="AE32" i="16"/>
  <c r="AG32" i="16"/>
  <c r="AH32" i="16"/>
  <c r="AK32" i="16"/>
  <c r="AL32" i="16"/>
  <c r="AM32" i="16"/>
  <c r="AO32" i="16"/>
  <c r="AP32" i="16"/>
  <c r="AQ32" i="16"/>
  <c r="AS32" i="16"/>
  <c r="AT32" i="16"/>
  <c r="AU32" i="16"/>
  <c r="AW32" i="16"/>
  <c r="AX32" i="16"/>
  <c r="BA32" i="16"/>
  <c r="BB32" i="16"/>
  <c r="BC32" i="16"/>
  <c r="BE32" i="16"/>
  <c r="BF32" i="16"/>
  <c r="BI32" i="16"/>
  <c r="BJ32" i="16"/>
  <c r="BK32" i="16"/>
  <c r="BM32" i="16"/>
  <c r="BN32" i="16"/>
  <c r="BQ32" i="16"/>
  <c r="BR32" i="16"/>
  <c r="BS32" i="16"/>
  <c r="BU32" i="16"/>
  <c r="BV32" i="16"/>
  <c r="BW32" i="16"/>
  <c r="BY32" i="16"/>
  <c r="BZ32" i="16"/>
  <c r="CA32" i="16"/>
  <c r="CB32" i="16"/>
  <c r="CC32" i="16"/>
  <c r="CD32" i="16"/>
  <c r="CE32" i="16"/>
  <c r="CG32" i="16"/>
  <c r="CH32" i="16"/>
  <c r="CI32" i="16"/>
  <c r="CK32" i="16"/>
  <c r="CL32" i="16"/>
  <c r="CM32" i="16"/>
  <c r="CO32" i="16"/>
  <c r="C33" i="16"/>
  <c r="E33" i="16"/>
  <c r="F33" i="16"/>
  <c r="G33" i="16"/>
  <c r="H33" i="16"/>
  <c r="I33" i="16"/>
  <c r="J33" i="16"/>
  <c r="K33" i="16"/>
  <c r="M33" i="16"/>
  <c r="N33" i="16"/>
  <c r="O33" i="16"/>
  <c r="Q33" i="16"/>
  <c r="R33" i="16"/>
  <c r="S33" i="16"/>
  <c r="U33" i="16"/>
  <c r="V33" i="16"/>
  <c r="W33" i="16"/>
  <c r="Y33" i="16"/>
  <c r="Z33" i="16"/>
  <c r="AC33" i="16"/>
  <c r="AD33" i="16"/>
  <c r="AE33" i="16"/>
  <c r="AG33" i="16"/>
  <c r="AH33" i="16"/>
  <c r="AI33" i="16"/>
  <c r="AK33" i="16"/>
  <c r="AL33" i="16"/>
  <c r="AM33" i="16"/>
  <c r="AO33" i="16"/>
  <c r="AP33" i="16"/>
  <c r="AS33" i="16"/>
  <c r="AT33" i="16"/>
  <c r="AU33" i="16"/>
  <c r="AW33" i="16"/>
  <c r="AX33" i="16"/>
  <c r="AY33" i="16"/>
  <c r="BA33" i="16"/>
  <c r="BB33" i="16"/>
  <c r="BC33" i="16"/>
  <c r="BE33" i="16"/>
  <c r="BF33" i="16"/>
  <c r="BG33" i="16"/>
  <c r="BI33" i="16"/>
  <c r="BJ33" i="16"/>
  <c r="BK33" i="16"/>
  <c r="BM33" i="16"/>
  <c r="BN33" i="16"/>
  <c r="BO33" i="16"/>
  <c r="BQ33" i="16"/>
  <c r="BR33" i="16"/>
  <c r="BS33" i="16"/>
  <c r="BT33" i="16"/>
  <c r="BU33" i="16"/>
  <c r="BV33" i="16"/>
  <c r="BW33" i="16"/>
  <c r="BY33" i="16"/>
  <c r="BZ33" i="16"/>
  <c r="CA33" i="16"/>
  <c r="CC33" i="16"/>
  <c r="CD33" i="16"/>
  <c r="CE33" i="16"/>
  <c r="CG33" i="16"/>
  <c r="CH33" i="16"/>
  <c r="CI33" i="16"/>
  <c r="CK33" i="16"/>
  <c r="CL33" i="16"/>
  <c r="CO33" i="16"/>
  <c r="C34" i="16"/>
  <c r="E34" i="16"/>
  <c r="F34" i="16"/>
  <c r="G34" i="16"/>
  <c r="I34" i="16"/>
  <c r="J34" i="16"/>
  <c r="K34" i="16"/>
  <c r="M34" i="16"/>
  <c r="N34" i="16"/>
  <c r="O34" i="16"/>
  <c r="Q34" i="16"/>
  <c r="R34" i="16"/>
  <c r="S34" i="16"/>
  <c r="U34" i="16"/>
  <c r="V34" i="16"/>
  <c r="W34" i="16"/>
  <c r="Y34" i="16"/>
  <c r="Z34" i="16"/>
  <c r="AA34" i="16"/>
  <c r="AC34" i="16"/>
  <c r="AD34" i="16"/>
  <c r="AE34" i="16"/>
  <c r="AG34" i="16"/>
  <c r="AH34" i="16"/>
  <c r="AK34" i="16"/>
  <c r="AL34" i="16"/>
  <c r="AM34" i="16"/>
  <c r="AO34" i="16"/>
  <c r="AP34" i="16"/>
  <c r="AQ34" i="16"/>
  <c r="AS34" i="16"/>
  <c r="AT34" i="16"/>
  <c r="AU34" i="16"/>
  <c r="AW34" i="16"/>
  <c r="AX34" i="16"/>
  <c r="AY34" i="16"/>
  <c r="BA34" i="16"/>
  <c r="BB34" i="16"/>
  <c r="BC34" i="16"/>
  <c r="BE34" i="16"/>
  <c r="BF34" i="16"/>
  <c r="BG34" i="16"/>
  <c r="BI34" i="16"/>
  <c r="BJ34" i="16"/>
  <c r="BK34" i="16"/>
  <c r="BL34" i="16"/>
  <c r="BM34" i="16"/>
  <c r="BN34" i="16"/>
  <c r="BO34" i="16"/>
  <c r="BQ34" i="16"/>
  <c r="BR34" i="16"/>
  <c r="BS34" i="16"/>
  <c r="BU34" i="16"/>
  <c r="BV34" i="16"/>
  <c r="BW34" i="16"/>
  <c r="BY34" i="16"/>
  <c r="BZ34" i="16"/>
  <c r="CA34" i="16"/>
  <c r="CC34" i="16"/>
  <c r="CD34" i="16"/>
  <c r="CE34" i="16"/>
  <c r="CG34" i="16"/>
  <c r="CH34" i="16"/>
  <c r="CI34" i="16"/>
  <c r="CK34" i="16"/>
  <c r="CL34" i="16"/>
  <c r="CM34" i="16"/>
  <c r="CO34" i="16"/>
  <c r="C35" i="16"/>
  <c r="D35" i="16"/>
  <c r="E35" i="16"/>
  <c r="F35" i="16"/>
  <c r="G35" i="16"/>
  <c r="I35" i="16"/>
  <c r="J35" i="16"/>
  <c r="K35" i="16"/>
  <c r="L35" i="16"/>
  <c r="M35" i="16"/>
  <c r="N35" i="16"/>
  <c r="O35" i="16"/>
  <c r="Q35" i="16"/>
  <c r="R35" i="16"/>
  <c r="S35" i="16"/>
  <c r="T35" i="16"/>
  <c r="U35" i="16"/>
  <c r="V35" i="16"/>
  <c r="W35" i="16"/>
  <c r="Y35" i="16"/>
  <c r="Z35" i="16"/>
  <c r="AA35" i="16"/>
  <c r="AB35" i="16"/>
  <c r="AC35" i="16"/>
  <c r="AD35" i="16"/>
  <c r="AE35" i="16"/>
  <c r="AG35" i="16"/>
  <c r="AH35" i="16"/>
  <c r="AI35" i="16"/>
  <c r="AJ35" i="16"/>
  <c r="AK35" i="16"/>
  <c r="AL35" i="16"/>
  <c r="AM35" i="16"/>
  <c r="AO35" i="16"/>
  <c r="AP35" i="16"/>
  <c r="AQ35" i="16"/>
  <c r="AR35" i="16"/>
  <c r="AS35" i="16"/>
  <c r="AT35" i="16"/>
  <c r="AU35" i="16"/>
  <c r="AW35" i="16"/>
  <c r="AX35" i="16"/>
  <c r="AY35" i="16"/>
  <c r="AZ35" i="16"/>
  <c r="BA35" i="16"/>
  <c r="BB35" i="16"/>
  <c r="BC35" i="16"/>
  <c r="BE35" i="16"/>
  <c r="BF35" i="16"/>
  <c r="BG35" i="16"/>
  <c r="BH35" i="16"/>
  <c r="BI35" i="16"/>
  <c r="BJ35" i="16"/>
  <c r="BK35" i="16"/>
  <c r="BM35" i="16"/>
  <c r="BN35" i="16"/>
  <c r="BO35" i="16"/>
  <c r="BP35" i="16"/>
  <c r="BQ35" i="16"/>
  <c r="BR35" i="16"/>
  <c r="BS35" i="16"/>
  <c r="BU35" i="16"/>
  <c r="BV35" i="16"/>
  <c r="BW35" i="16"/>
  <c r="BX35" i="16"/>
  <c r="BY35" i="16"/>
  <c r="BZ35" i="16"/>
  <c r="CA35" i="16"/>
  <c r="CC35" i="16"/>
  <c r="CD35" i="16"/>
  <c r="CE35" i="16"/>
  <c r="CF35" i="16"/>
  <c r="CG35" i="16"/>
  <c r="CH35" i="16"/>
  <c r="CI35" i="16"/>
  <c r="CK35" i="16"/>
  <c r="CL35" i="16"/>
  <c r="CM35" i="16"/>
  <c r="CN35" i="16"/>
  <c r="CO35" i="16"/>
  <c r="C36" i="16"/>
  <c r="E36" i="16"/>
  <c r="F36" i="16"/>
  <c r="G36" i="16"/>
  <c r="I36" i="16"/>
  <c r="J36" i="16"/>
  <c r="K36" i="16"/>
  <c r="M36" i="16"/>
  <c r="N36" i="16"/>
  <c r="O36" i="16"/>
  <c r="P36" i="16"/>
  <c r="Q36" i="16"/>
  <c r="R36" i="16"/>
  <c r="S36" i="16"/>
  <c r="U36" i="16"/>
  <c r="V36" i="16"/>
  <c r="W36" i="16"/>
  <c r="Y36" i="16"/>
  <c r="Z36" i="16"/>
  <c r="AA36" i="16"/>
  <c r="AC36" i="16"/>
  <c r="AD36" i="16"/>
  <c r="AE36" i="16"/>
  <c r="AG36" i="16"/>
  <c r="AH36" i="16"/>
  <c r="AI36" i="16"/>
  <c r="AK36" i="16"/>
  <c r="AL36" i="16"/>
  <c r="AM36" i="16"/>
  <c r="AO36" i="16"/>
  <c r="AP36" i="16"/>
  <c r="AQ36" i="16"/>
  <c r="AS36" i="16"/>
  <c r="AT36" i="16"/>
  <c r="AU36" i="16"/>
  <c r="AW36" i="16"/>
  <c r="AX36" i="16"/>
  <c r="AY36" i="16"/>
  <c r="BA36" i="16"/>
  <c r="BB36" i="16"/>
  <c r="BC36" i="16"/>
  <c r="BE36" i="16"/>
  <c r="BF36" i="16"/>
  <c r="BG36" i="16"/>
  <c r="BI36" i="16"/>
  <c r="BJ36" i="16"/>
  <c r="BK36" i="16"/>
  <c r="BM36" i="16"/>
  <c r="BN36" i="16"/>
  <c r="BO36" i="16"/>
  <c r="BQ36" i="16"/>
  <c r="BR36" i="16"/>
  <c r="BS36" i="16"/>
  <c r="BU36" i="16"/>
  <c r="BV36" i="16"/>
  <c r="BW36" i="16"/>
  <c r="BY36" i="16"/>
  <c r="BZ36" i="16"/>
  <c r="CA36" i="16"/>
  <c r="CB36" i="16"/>
  <c r="CC36" i="16"/>
  <c r="CD36" i="16"/>
  <c r="CE36" i="16"/>
  <c r="CG36" i="16"/>
  <c r="CH36" i="16"/>
  <c r="CI36" i="16"/>
  <c r="CK36" i="16"/>
  <c r="CL36" i="16"/>
  <c r="CM36" i="16"/>
  <c r="CO36" i="16"/>
  <c r="C37" i="16"/>
  <c r="D37" i="16"/>
  <c r="E37" i="16"/>
  <c r="F37" i="16"/>
  <c r="G37" i="16"/>
  <c r="I37" i="16"/>
  <c r="J37" i="16"/>
  <c r="K37" i="16"/>
  <c r="L37" i="16"/>
  <c r="M37" i="16"/>
  <c r="N37" i="16"/>
  <c r="O37" i="16"/>
  <c r="Q37" i="16"/>
  <c r="R37" i="16"/>
  <c r="S37" i="16"/>
  <c r="T37" i="16"/>
  <c r="U37" i="16"/>
  <c r="V37" i="16"/>
  <c r="W37" i="16"/>
  <c r="Y37" i="16"/>
  <c r="Z37" i="16"/>
  <c r="AA37" i="16"/>
  <c r="AB37" i="16"/>
  <c r="AC37" i="16"/>
  <c r="AD37" i="16"/>
  <c r="AE37" i="16"/>
  <c r="AG37" i="16"/>
  <c r="AH37" i="16"/>
  <c r="AI37" i="16"/>
  <c r="AJ37" i="16"/>
  <c r="AK37" i="16"/>
  <c r="AL37" i="16"/>
  <c r="AM37" i="16"/>
  <c r="AO37" i="16"/>
  <c r="AP37" i="16"/>
  <c r="AQ37" i="16"/>
  <c r="AR37" i="16"/>
  <c r="AS37" i="16"/>
  <c r="AT37" i="16"/>
  <c r="AU37" i="16"/>
  <c r="AW37" i="16"/>
  <c r="AX37" i="16"/>
  <c r="AY37" i="16"/>
  <c r="AZ37" i="16"/>
  <c r="BA37" i="16"/>
  <c r="BB37" i="16"/>
  <c r="BC37" i="16"/>
  <c r="BE37" i="16"/>
  <c r="BF37" i="16"/>
  <c r="BG37" i="16"/>
  <c r="BH37" i="16"/>
  <c r="BI37" i="16"/>
  <c r="BJ37" i="16"/>
  <c r="BK37" i="16"/>
  <c r="BM37" i="16"/>
  <c r="BN37" i="16"/>
  <c r="BO37" i="16"/>
  <c r="BP37" i="16"/>
  <c r="BQ37" i="16"/>
  <c r="BR37" i="16"/>
  <c r="BS37" i="16"/>
  <c r="BU37" i="16"/>
  <c r="BV37" i="16"/>
  <c r="BW37" i="16"/>
  <c r="BX37" i="16"/>
  <c r="BY37" i="16"/>
  <c r="BZ37" i="16"/>
  <c r="CA37" i="16"/>
  <c r="CC37" i="16"/>
  <c r="CD37" i="16"/>
  <c r="CE37" i="16"/>
  <c r="CF37" i="16"/>
  <c r="CG37" i="16"/>
  <c r="CH37" i="16"/>
  <c r="CI37" i="16"/>
  <c r="CK37" i="16"/>
  <c r="CL37" i="16"/>
  <c r="CM37" i="16"/>
  <c r="CN37" i="16"/>
  <c r="CO37" i="16"/>
  <c r="C38" i="16"/>
  <c r="E38" i="16"/>
  <c r="F38" i="16"/>
  <c r="G38" i="16"/>
  <c r="I38" i="16"/>
  <c r="J38" i="16"/>
  <c r="K38" i="16"/>
  <c r="M38" i="16"/>
  <c r="N38" i="16"/>
  <c r="O38" i="16"/>
  <c r="Q38" i="16"/>
  <c r="R38" i="16"/>
  <c r="S38" i="16"/>
  <c r="U38" i="16"/>
  <c r="V38" i="16"/>
  <c r="W38" i="16"/>
  <c r="Y38" i="16"/>
  <c r="Z38" i="16"/>
  <c r="AA38" i="16"/>
  <c r="AC38" i="16"/>
  <c r="AD38" i="16"/>
  <c r="AE38" i="16"/>
  <c r="AF38" i="16"/>
  <c r="AG38" i="16"/>
  <c r="AH38" i="16"/>
  <c r="AI38" i="16"/>
  <c r="AK38" i="16"/>
  <c r="AL38" i="16"/>
  <c r="AM38" i="16"/>
  <c r="AO38" i="16"/>
  <c r="AP38" i="16"/>
  <c r="AQ38" i="16"/>
  <c r="AS38" i="16"/>
  <c r="AT38" i="16"/>
  <c r="AU38" i="16"/>
  <c r="AW38" i="16"/>
  <c r="AX38" i="16"/>
  <c r="AY38" i="16"/>
  <c r="BA38" i="16"/>
  <c r="BB38" i="16"/>
  <c r="BC38" i="16"/>
  <c r="BE38" i="16"/>
  <c r="BF38" i="16"/>
  <c r="BG38" i="16"/>
  <c r="BI38" i="16"/>
  <c r="BJ38" i="16"/>
  <c r="BK38" i="16"/>
  <c r="BM38" i="16"/>
  <c r="BN38" i="16"/>
  <c r="BO38" i="16"/>
  <c r="BQ38" i="16"/>
  <c r="BR38" i="16"/>
  <c r="BS38" i="16"/>
  <c r="BU38" i="16"/>
  <c r="BV38" i="16"/>
  <c r="BW38" i="16"/>
  <c r="BY38" i="16"/>
  <c r="BZ38" i="16"/>
  <c r="CA38" i="16"/>
  <c r="CC38" i="16"/>
  <c r="CD38" i="16"/>
  <c r="CE38" i="16"/>
  <c r="CG38" i="16"/>
  <c r="CH38" i="16"/>
  <c r="CI38" i="16"/>
  <c r="CK38" i="16"/>
  <c r="CL38" i="16"/>
  <c r="CM38" i="16"/>
  <c r="CO38" i="16"/>
  <c r="C39" i="16"/>
  <c r="D39" i="16"/>
  <c r="E39" i="16"/>
  <c r="F39" i="16"/>
  <c r="G39" i="16"/>
  <c r="I39" i="16"/>
  <c r="J39" i="16"/>
  <c r="K39" i="16"/>
  <c r="L39" i="16"/>
  <c r="M39" i="16"/>
  <c r="N39" i="16"/>
  <c r="O39" i="16"/>
  <c r="Q39" i="16"/>
  <c r="R39" i="16"/>
  <c r="S39" i="16"/>
  <c r="T39" i="16"/>
  <c r="U39" i="16"/>
  <c r="V39" i="16"/>
  <c r="W39" i="16"/>
  <c r="Y39" i="16"/>
  <c r="Z39" i="16"/>
  <c r="AA39" i="16"/>
  <c r="AB39" i="16"/>
  <c r="AC39" i="16"/>
  <c r="AD39" i="16"/>
  <c r="AE39" i="16"/>
  <c r="AG39" i="16"/>
  <c r="AH39" i="16"/>
  <c r="AI39" i="16"/>
  <c r="AJ39" i="16"/>
  <c r="AK39" i="16"/>
  <c r="AL39" i="16"/>
  <c r="AM39" i="16"/>
  <c r="AO39" i="16"/>
  <c r="AP39" i="16"/>
  <c r="AQ39" i="16"/>
  <c r="AR39" i="16"/>
  <c r="AS39" i="16"/>
  <c r="AT39" i="16"/>
  <c r="AU39" i="16"/>
  <c r="AW39" i="16"/>
  <c r="AX39" i="16"/>
  <c r="AY39" i="16"/>
  <c r="AZ39" i="16"/>
  <c r="BA39" i="16"/>
  <c r="BB39" i="16"/>
  <c r="BC39" i="16"/>
  <c r="BE39" i="16"/>
  <c r="BF39" i="16"/>
  <c r="BG39" i="16"/>
  <c r="BH39" i="16"/>
  <c r="BI39" i="16"/>
  <c r="BJ39" i="16"/>
  <c r="BK39" i="16"/>
  <c r="BM39" i="16"/>
  <c r="BN39" i="16"/>
  <c r="BO39" i="16"/>
  <c r="BP39" i="16"/>
  <c r="BQ39" i="16"/>
  <c r="BR39" i="16"/>
  <c r="BS39" i="16"/>
  <c r="BU39" i="16"/>
  <c r="BV39" i="16"/>
  <c r="BW39" i="16"/>
  <c r="BX39" i="16"/>
  <c r="BY39" i="16"/>
  <c r="BZ39" i="16"/>
  <c r="CA39" i="16"/>
  <c r="CC39" i="16"/>
  <c r="CD39" i="16"/>
  <c r="CE39" i="16"/>
  <c r="CF39" i="16"/>
  <c r="CG39" i="16"/>
  <c r="CH39" i="16"/>
  <c r="CI39" i="16"/>
  <c r="CK39" i="16"/>
  <c r="CL39" i="16"/>
  <c r="CM39" i="16"/>
  <c r="CN39" i="16"/>
  <c r="CO39" i="16"/>
  <c r="C40" i="16"/>
  <c r="E40" i="16"/>
  <c r="F40" i="16"/>
  <c r="G40" i="16"/>
  <c r="I40" i="16"/>
  <c r="J40" i="16"/>
  <c r="K40" i="16"/>
  <c r="M40" i="16"/>
  <c r="N40" i="16"/>
  <c r="O40" i="16"/>
  <c r="Q40" i="16"/>
  <c r="R40" i="16"/>
  <c r="S40" i="16"/>
  <c r="U40" i="16"/>
  <c r="V40" i="16"/>
  <c r="W40" i="16"/>
  <c r="Y40" i="16"/>
  <c r="Z40" i="16"/>
  <c r="AA40" i="16"/>
  <c r="AC40" i="16"/>
  <c r="AD40" i="16"/>
  <c r="AE40" i="16"/>
  <c r="AG40" i="16"/>
  <c r="AH40" i="16"/>
  <c r="AI40" i="16"/>
  <c r="AK40" i="16"/>
  <c r="AL40" i="16"/>
  <c r="AM40" i="16"/>
  <c r="AO40" i="16"/>
  <c r="AP40" i="16"/>
  <c r="AQ40" i="16"/>
  <c r="AS40" i="16"/>
  <c r="AT40" i="16"/>
  <c r="AU40" i="16"/>
  <c r="AV40" i="16"/>
  <c r="AW40" i="16"/>
  <c r="AX40" i="16"/>
  <c r="AY40" i="16"/>
  <c r="AZ40" i="16"/>
  <c r="BA40" i="16"/>
  <c r="BB40" i="16"/>
  <c r="BC40" i="16"/>
  <c r="BD40" i="16"/>
  <c r="BE40" i="16"/>
  <c r="BF40" i="16"/>
  <c r="BG40" i="16"/>
  <c r="BH40" i="16"/>
  <c r="BI40" i="16"/>
  <c r="BJ40" i="16"/>
  <c r="BK40" i="16"/>
  <c r="BL40" i="16"/>
  <c r="BM40" i="16"/>
  <c r="BN40" i="16"/>
  <c r="BO40" i="16"/>
  <c r="BP40" i="16"/>
  <c r="BQ40" i="16"/>
  <c r="BR40" i="16"/>
  <c r="BS40" i="16"/>
  <c r="BT40" i="16"/>
  <c r="BU40" i="16"/>
  <c r="BV40" i="16"/>
  <c r="BW40" i="16"/>
  <c r="BX40" i="16"/>
  <c r="BY40" i="16"/>
  <c r="BZ40" i="16"/>
  <c r="CA40" i="16"/>
  <c r="CB40" i="16"/>
  <c r="CC40" i="16"/>
  <c r="CD40" i="16"/>
  <c r="CE40" i="16"/>
  <c r="CF40" i="16"/>
  <c r="CG40" i="16"/>
  <c r="CH40" i="16"/>
  <c r="CI40" i="16"/>
  <c r="CJ40" i="16"/>
  <c r="CK40" i="16"/>
  <c r="CL40" i="16"/>
  <c r="CM40" i="16"/>
  <c r="CN40" i="16"/>
  <c r="CO40" i="16"/>
  <c r="C41" i="16"/>
  <c r="D41" i="16"/>
  <c r="E41" i="16"/>
  <c r="F41" i="16"/>
  <c r="G41" i="16"/>
  <c r="I41" i="16"/>
  <c r="J41" i="16"/>
  <c r="K41" i="16"/>
  <c r="L41" i="16"/>
  <c r="M41" i="16"/>
  <c r="N41" i="16"/>
  <c r="O41" i="16"/>
  <c r="Q41" i="16"/>
  <c r="R41" i="16"/>
  <c r="S41" i="16"/>
  <c r="T41" i="16"/>
  <c r="U41" i="16"/>
  <c r="V41" i="16"/>
  <c r="W41" i="16"/>
  <c r="Y41" i="16"/>
  <c r="Z41" i="16"/>
  <c r="AA41" i="16"/>
  <c r="AB41" i="16"/>
  <c r="AC41" i="16"/>
  <c r="AD41" i="16"/>
  <c r="AE41" i="16"/>
  <c r="AG41" i="16"/>
  <c r="AH41" i="16"/>
  <c r="AI41" i="16"/>
  <c r="AJ41" i="16"/>
  <c r="AK41" i="16"/>
  <c r="AL41" i="16"/>
  <c r="AM41" i="16"/>
  <c r="AO41" i="16"/>
  <c r="AP41" i="16"/>
  <c r="AQ41" i="16"/>
  <c r="AR41" i="16"/>
  <c r="AS41" i="16"/>
  <c r="AT41" i="16"/>
  <c r="AU41" i="16"/>
  <c r="AW41" i="16"/>
  <c r="AX41" i="16"/>
  <c r="AY41" i="16"/>
  <c r="AZ41" i="16"/>
  <c r="BA41" i="16"/>
  <c r="BB41" i="16"/>
  <c r="BC41" i="16"/>
  <c r="BE41" i="16"/>
  <c r="BF41" i="16"/>
  <c r="BG41" i="16"/>
  <c r="BH41" i="16"/>
  <c r="BI41" i="16"/>
  <c r="BJ41" i="16"/>
  <c r="BK41" i="16"/>
  <c r="BM41" i="16"/>
  <c r="BN41" i="16"/>
  <c r="BO41" i="16"/>
  <c r="BP41" i="16"/>
  <c r="BQ41" i="16"/>
  <c r="BR41" i="16"/>
  <c r="BS41" i="16"/>
  <c r="BU41" i="16"/>
  <c r="BV41" i="16"/>
  <c r="BW41" i="16"/>
  <c r="BX41" i="16"/>
  <c r="BY41" i="16"/>
  <c r="BZ41" i="16"/>
  <c r="CA41" i="16"/>
  <c r="CC41" i="16"/>
  <c r="CD41" i="16"/>
  <c r="CE41" i="16"/>
  <c r="CF41" i="16"/>
  <c r="CG41" i="16"/>
  <c r="CH41" i="16"/>
  <c r="CI41" i="16"/>
  <c r="CK41" i="16"/>
  <c r="CL41" i="16"/>
  <c r="CM41" i="16"/>
  <c r="CN41" i="16"/>
  <c r="CO41" i="16"/>
  <c r="C42" i="16"/>
  <c r="D42" i="16"/>
  <c r="E42" i="16"/>
  <c r="F42" i="16"/>
  <c r="G42" i="16"/>
  <c r="I42" i="16"/>
  <c r="J42" i="16"/>
  <c r="K42" i="16"/>
  <c r="L42" i="16"/>
  <c r="M42" i="16"/>
  <c r="N42" i="16"/>
  <c r="O42" i="16"/>
  <c r="Q42" i="16"/>
  <c r="R42" i="16"/>
  <c r="S42" i="16"/>
  <c r="T42" i="16"/>
  <c r="U42" i="16"/>
  <c r="V42" i="16"/>
  <c r="W42" i="16"/>
  <c r="Y42" i="16"/>
  <c r="Z42" i="16"/>
  <c r="AA42" i="16"/>
  <c r="AB42" i="16"/>
  <c r="AC42" i="16"/>
  <c r="AD42" i="16"/>
  <c r="AE42" i="16"/>
  <c r="AG42" i="16"/>
  <c r="AH42" i="16"/>
  <c r="AI42" i="16"/>
  <c r="AJ42" i="16"/>
  <c r="AK42" i="16"/>
  <c r="AL42" i="16"/>
  <c r="AM42" i="16"/>
  <c r="AO42" i="16"/>
  <c r="AP42" i="16"/>
  <c r="AQ42" i="16"/>
  <c r="AR42" i="16"/>
  <c r="AS42" i="16"/>
  <c r="AT42" i="16"/>
  <c r="AU42" i="16"/>
  <c r="AW42" i="16"/>
  <c r="AX42" i="16"/>
  <c r="AY42" i="16"/>
  <c r="AZ42" i="16"/>
  <c r="BA42" i="16"/>
  <c r="BB42" i="16"/>
  <c r="BC42" i="16"/>
  <c r="BE42" i="16"/>
  <c r="BF42" i="16"/>
  <c r="BG42" i="16"/>
  <c r="BH42" i="16"/>
  <c r="BI42" i="16"/>
  <c r="BJ42" i="16"/>
  <c r="BK42" i="16"/>
  <c r="BM42" i="16"/>
  <c r="BN42" i="16"/>
  <c r="BO42" i="16"/>
  <c r="BP42" i="16"/>
  <c r="BQ42" i="16"/>
  <c r="BR42" i="16"/>
  <c r="BS42" i="16"/>
  <c r="BU42" i="16"/>
  <c r="BV42" i="16"/>
  <c r="BW42" i="16"/>
  <c r="BX42" i="16"/>
  <c r="BY42" i="16"/>
  <c r="BZ42" i="16"/>
  <c r="CA42" i="16"/>
  <c r="CC42" i="16"/>
  <c r="CD42" i="16"/>
  <c r="CE42" i="16"/>
  <c r="CF42" i="16"/>
  <c r="CG42" i="16"/>
  <c r="CH42" i="16"/>
  <c r="CI42" i="16"/>
  <c r="CK42" i="16"/>
  <c r="CL42" i="16"/>
  <c r="CM42" i="16"/>
  <c r="CN42" i="16"/>
  <c r="CO42" i="16"/>
  <c r="C43" i="16"/>
  <c r="D43" i="16"/>
  <c r="E43" i="16"/>
  <c r="F43" i="16"/>
  <c r="G43" i="16"/>
  <c r="I43" i="16"/>
  <c r="J43" i="16"/>
  <c r="K43" i="16"/>
  <c r="L43" i="16"/>
  <c r="M43" i="16"/>
  <c r="N43" i="16"/>
  <c r="O43" i="16"/>
  <c r="Q43" i="16"/>
  <c r="R43" i="16"/>
  <c r="S43" i="16"/>
  <c r="T43" i="16"/>
  <c r="U43" i="16"/>
  <c r="V43" i="16"/>
  <c r="W43" i="16"/>
  <c r="Y43" i="16"/>
  <c r="Z43" i="16"/>
  <c r="AA43" i="16"/>
  <c r="AB43" i="16"/>
  <c r="AC43" i="16"/>
  <c r="AD43" i="16"/>
  <c r="AE43" i="16"/>
  <c r="AG43" i="16"/>
  <c r="AH43" i="16"/>
  <c r="AI43" i="16"/>
  <c r="AJ43" i="16"/>
  <c r="AK43" i="16"/>
  <c r="AL43" i="16"/>
  <c r="AM43" i="16"/>
  <c r="AO43" i="16"/>
  <c r="AP43" i="16"/>
  <c r="AQ43" i="16"/>
  <c r="AR43" i="16"/>
  <c r="AS43" i="16"/>
  <c r="AT43" i="16"/>
  <c r="AU43" i="16"/>
  <c r="AW43" i="16"/>
  <c r="AX43" i="16"/>
  <c r="AY43" i="16"/>
  <c r="AZ43" i="16"/>
  <c r="BA43" i="16"/>
  <c r="BB43" i="16"/>
  <c r="BC43" i="16"/>
  <c r="BE43" i="16"/>
  <c r="BF43" i="16"/>
  <c r="BG43" i="16"/>
  <c r="BH43" i="16"/>
  <c r="BI43" i="16"/>
  <c r="BJ43" i="16"/>
  <c r="BK43" i="16"/>
  <c r="BM43" i="16"/>
  <c r="BN43" i="16"/>
  <c r="BO43" i="16"/>
  <c r="BP43" i="16"/>
  <c r="BQ43" i="16"/>
  <c r="BR43" i="16"/>
  <c r="BS43" i="16"/>
  <c r="BU43" i="16"/>
  <c r="BV43" i="16"/>
  <c r="BW43" i="16"/>
  <c r="BX43" i="16"/>
  <c r="BY43" i="16"/>
  <c r="BZ43" i="16"/>
  <c r="CA43" i="16"/>
  <c r="CC43" i="16"/>
  <c r="CD43" i="16"/>
  <c r="CE43" i="16"/>
  <c r="CF43" i="16"/>
  <c r="CG43" i="16"/>
  <c r="CH43" i="16"/>
  <c r="CI43" i="16"/>
  <c r="CK43" i="16"/>
  <c r="CL43" i="16"/>
  <c r="CM43" i="16"/>
  <c r="CN43" i="16"/>
  <c r="CO43" i="16"/>
  <c r="C44" i="16"/>
  <c r="D44" i="16"/>
  <c r="E44" i="16"/>
  <c r="F44" i="16"/>
  <c r="G44" i="16"/>
  <c r="I44" i="16"/>
  <c r="J44" i="16"/>
  <c r="K44" i="16"/>
  <c r="L44" i="16"/>
  <c r="M44" i="16"/>
  <c r="N44" i="16"/>
  <c r="O44" i="16"/>
  <c r="Q44" i="16"/>
  <c r="R44" i="16"/>
  <c r="S44" i="16"/>
  <c r="T44" i="16"/>
  <c r="U44" i="16"/>
  <c r="V44" i="16"/>
  <c r="W44" i="16"/>
  <c r="Y44" i="16"/>
  <c r="Z44" i="16"/>
  <c r="AA44" i="16"/>
  <c r="AB44" i="16"/>
  <c r="AC44" i="16"/>
  <c r="AD44" i="16"/>
  <c r="AE44" i="16"/>
  <c r="AG44" i="16"/>
  <c r="AH44" i="16"/>
  <c r="AI44" i="16"/>
  <c r="AJ44" i="16"/>
  <c r="AK44" i="16"/>
  <c r="AL44" i="16"/>
  <c r="AM44" i="16"/>
  <c r="AO44" i="16"/>
  <c r="AP44" i="16"/>
  <c r="AQ44" i="16"/>
  <c r="AR44" i="16"/>
  <c r="AS44" i="16"/>
  <c r="AT44" i="16"/>
  <c r="AU44" i="16"/>
  <c r="AW44" i="16"/>
  <c r="AX44" i="16"/>
  <c r="AY44" i="16"/>
  <c r="AZ44" i="16"/>
  <c r="BA44" i="16"/>
  <c r="BB44" i="16"/>
  <c r="BC44" i="16"/>
  <c r="BE44" i="16"/>
  <c r="BF44" i="16"/>
  <c r="BG44" i="16"/>
  <c r="BH44" i="16"/>
  <c r="BI44" i="16"/>
  <c r="BJ44" i="16"/>
  <c r="BK44" i="16"/>
  <c r="BM44" i="16"/>
  <c r="BN44" i="16"/>
  <c r="BO44" i="16"/>
  <c r="BP44" i="16"/>
  <c r="BQ44" i="16"/>
  <c r="BR44" i="16"/>
  <c r="BS44" i="16"/>
  <c r="BU44" i="16"/>
  <c r="BV44" i="16"/>
  <c r="BW44" i="16"/>
  <c r="BX44" i="16"/>
  <c r="BY44" i="16"/>
  <c r="BZ44" i="16"/>
  <c r="CA44" i="16"/>
  <c r="CC44" i="16"/>
  <c r="CD44" i="16"/>
  <c r="CE44" i="16"/>
  <c r="CF44" i="16"/>
  <c r="CG44" i="16"/>
  <c r="CH44" i="16"/>
  <c r="CI44" i="16"/>
  <c r="CK44" i="16"/>
  <c r="CL44" i="16"/>
  <c r="CM44" i="16"/>
  <c r="CN44" i="16"/>
  <c r="CO44" i="16"/>
  <c r="C45" i="16"/>
  <c r="D45" i="16"/>
  <c r="E45" i="16"/>
  <c r="F45" i="16"/>
  <c r="G45" i="16"/>
  <c r="I45" i="16"/>
  <c r="J45" i="16"/>
  <c r="K45" i="16"/>
  <c r="L45" i="16"/>
  <c r="M45" i="16"/>
  <c r="N45" i="16"/>
  <c r="O45" i="16"/>
  <c r="Q45" i="16"/>
  <c r="R45" i="16"/>
  <c r="S45" i="16"/>
  <c r="T45" i="16"/>
  <c r="U45" i="16"/>
  <c r="V45" i="16"/>
  <c r="W45" i="16"/>
  <c r="Y45" i="16"/>
  <c r="Z45" i="16"/>
  <c r="AA45" i="16"/>
  <c r="AB45" i="16"/>
  <c r="AC45" i="16"/>
  <c r="AD45" i="16"/>
  <c r="AE45" i="16"/>
  <c r="AG45" i="16"/>
  <c r="AH45" i="16"/>
  <c r="AI45" i="16"/>
  <c r="AJ45" i="16"/>
  <c r="AK45" i="16"/>
  <c r="AL45" i="16"/>
  <c r="AM45" i="16"/>
  <c r="AO45" i="16"/>
  <c r="AP45" i="16"/>
  <c r="AQ45" i="16"/>
  <c r="AR45" i="16"/>
  <c r="AS45" i="16"/>
  <c r="AT45" i="16"/>
  <c r="AU45" i="16"/>
  <c r="AW45" i="16"/>
  <c r="AX45" i="16"/>
  <c r="AY45" i="16"/>
  <c r="AZ45" i="16"/>
  <c r="BA45" i="16"/>
  <c r="BB45" i="16"/>
  <c r="BC45" i="16"/>
  <c r="BE45" i="16"/>
  <c r="BF45" i="16"/>
  <c r="BG45" i="16"/>
  <c r="BH45" i="16"/>
  <c r="BI45" i="16"/>
  <c r="BJ45" i="16"/>
  <c r="BK45" i="16"/>
  <c r="BM45" i="16"/>
  <c r="BN45" i="16"/>
  <c r="BO45" i="16"/>
  <c r="BP45" i="16"/>
  <c r="BQ45" i="16"/>
  <c r="BR45" i="16"/>
  <c r="BS45" i="16"/>
  <c r="BU45" i="16"/>
  <c r="BV45" i="16"/>
  <c r="BW45" i="16"/>
  <c r="BX45" i="16"/>
  <c r="BY45" i="16"/>
  <c r="BZ45" i="16"/>
  <c r="CA45" i="16"/>
  <c r="CC45" i="16"/>
  <c r="CD45" i="16"/>
  <c r="CE45" i="16"/>
  <c r="CF45" i="16"/>
  <c r="CG45" i="16"/>
  <c r="CH45" i="16"/>
  <c r="CI45" i="16"/>
  <c r="CK45" i="16"/>
  <c r="CL45" i="16"/>
  <c r="CM45" i="16"/>
  <c r="CN45" i="16"/>
  <c r="CO45" i="16"/>
  <c r="C46" i="16"/>
  <c r="D46" i="16"/>
  <c r="E46" i="16"/>
  <c r="F46" i="16"/>
  <c r="G46" i="16"/>
  <c r="I46" i="16"/>
  <c r="J46" i="16"/>
  <c r="K46" i="16"/>
  <c r="L46" i="16"/>
  <c r="M46" i="16"/>
  <c r="N46" i="16"/>
  <c r="O46" i="16"/>
  <c r="Q46" i="16"/>
  <c r="R46" i="16"/>
  <c r="S46" i="16"/>
  <c r="T46" i="16"/>
  <c r="U46" i="16"/>
  <c r="V46" i="16"/>
  <c r="W46" i="16"/>
  <c r="Y46" i="16"/>
  <c r="Z46" i="16"/>
  <c r="AA46" i="16"/>
  <c r="AB46" i="16"/>
  <c r="AC46" i="16"/>
  <c r="AD46" i="16"/>
  <c r="AE46" i="16"/>
  <c r="AG46" i="16"/>
  <c r="AH46" i="16"/>
  <c r="AI46" i="16"/>
  <c r="AJ46" i="16"/>
  <c r="AK46" i="16"/>
  <c r="AL46" i="16"/>
  <c r="AM46" i="16"/>
  <c r="AO46" i="16"/>
  <c r="AP46" i="16"/>
  <c r="AQ46" i="16"/>
  <c r="AR46" i="16"/>
  <c r="AS46" i="16"/>
  <c r="AT46" i="16"/>
  <c r="AU46" i="16"/>
  <c r="AW46" i="16"/>
  <c r="AX46" i="16"/>
  <c r="AY46" i="16"/>
  <c r="AZ46" i="16"/>
  <c r="BA46" i="16"/>
  <c r="BB46" i="16"/>
  <c r="BC46" i="16"/>
  <c r="BE46" i="16"/>
  <c r="BF46" i="16"/>
  <c r="BG46" i="16"/>
  <c r="BH46" i="16"/>
  <c r="BI46" i="16"/>
  <c r="BJ46" i="16"/>
  <c r="BK46" i="16"/>
  <c r="BM46" i="16"/>
  <c r="BN46" i="16"/>
  <c r="BO46" i="16"/>
  <c r="BP46" i="16"/>
  <c r="BQ46" i="16"/>
  <c r="BR46" i="16"/>
  <c r="BS46" i="16"/>
  <c r="BU46" i="16"/>
  <c r="BV46" i="16"/>
  <c r="BW46" i="16"/>
  <c r="BX46" i="16"/>
  <c r="BY46" i="16"/>
  <c r="BZ46" i="16"/>
  <c r="CA46" i="16"/>
  <c r="CC46" i="16"/>
  <c r="CD46" i="16"/>
  <c r="CE46" i="16"/>
  <c r="CF46" i="16"/>
  <c r="CG46" i="16"/>
  <c r="CH46" i="16"/>
  <c r="CI46" i="16"/>
  <c r="CK46" i="16"/>
  <c r="CL46" i="16"/>
  <c r="CM46" i="16"/>
  <c r="CN46" i="16"/>
  <c r="CO46" i="16"/>
  <c r="C50" i="16"/>
  <c r="C51" i="16" s="1"/>
  <c r="F5" i="17" s="1"/>
  <c r="D50" i="16"/>
  <c r="E50" i="16"/>
  <c r="F50" i="16"/>
  <c r="F51" i="16" s="1"/>
  <c r="I5" i="17" s="1"/>
  <c r="D51" i="16"/>
  <c r="G5" i="17" s="1"/>
  <c r="E51" i="16"/>
  <c r="H5" i="17" s="1"/>
  <c r="BJ61" i="12"/>
  <c r="BJ62" i="12"/>
  <c r="BJ63" i="12"/>
  <c r="BJ64" i="12"/>
  <c r="BJ65" i="12"/>
  <c r="BJ66" i="12"/>
  <c r="BJ67" i="12"/>
  <c r="BJ68" i="12"/>
  <c r="BJ69" i="12"/>
  <c r="BJ70" i="12"/>
  <c r="BJ71" i="12"/>
  <c r="BJ72" i="12"/>
  <c r="BJ60" i="12"/>
  <c r="BI41" i="12"/>
  <c r="BI42" i="12"/>
  <c r="BI43" i="12"/>
  <c r="BI44" i="12"/>
  <c r="BI45" i="12"/>
  <c r="BI46" i="12"/>
  <c r="BI47" i="12"/>
  <c r="BI48" i="12"/>
  <c r="BI49" i="12"/>
  <c r="BI50" i="12"/>
  <c r="BI51" i="12"/>
  <c r="BI52" i="12"/>
  <c r="BI53" i="12"/>
  <c r="BI54" i="12"/>
  <c r="BI55" i="12"/>
  <c r="BI56" i="12"/>
  <c r="BI57" i="12"/>
  <c r="BI58" i="12"/>
  <c r="BI59" i="12"/>
  <c r="BI60" i="12"/>
  <c r="BI40" i="12"/>
  <c r="BH4" i="12"/>
  <c r="BH5" i="12"/>
  <c r="BH6" i="12"/>
  <c r="BH7" i="12"/>
  <c r="BH8" i="12"/>
  <c r="BH9" i="12"/>
  <c r="BH10" i="12"/>
  <c r="BH11" i="12"/>
  <c r="BH12" i="12"/>
  <c r="BH13" i="12"/>
  <c r="BH14" i="12"/>
  <c r="BH15" i="12"/>
  <c r="BH16" i="12"/>
  <c r="BH17" i="12"/>
  <c r="BH18" i="12"/>
  <c r="BH19" i="12"/>
  <c r="BH20" i="12"/>
  <c r="BH21" i="12"/>
  <c r="BH22" i="12"/>
  <c r="BH23" i="12"/>
  <c r="BH24" i="12"/>
  <c r="BH25" i="12"/>
  <c r="BH26" i="12"/>
  <c r="BH27" i="12"/>
  <c r="BH28" i="12"/>
  <c r="BH29" i="12"/>
  <c r="BH30" i="12"/>
  <c r="BH31" i="12"/>
  <c r="BH32" i="12"/>
  <c r="BH33" i="12"/>
  <c r="BH34" i="12"/>
  <c r="BH35" i="12"/>
  <c r="BH36" i="12"/>
  <c r="BH37" i="12"/>
  <c r="BH38" i="12"/>
  <c r="BH39" i="12"/>
  <c r="BH40" i="12"/>
  <c r="BH41" i="12"/>
  <c r="BH42" i="12"/>
  <c r="BH43" i="12"/>
  <c r="BH44" i="12"/>
  <c r="BH3" i="12"/>
  <c r="AG23" i="12" l="1"/>
  <c r="AJ23" i="12"/>
  <c r="AQ34" i="12"/>
  <c r="AJ34" i="12"/>
  <c r="AQ21" i="12"/>
  <c r="AJ21" i="12"/>
  <c r="AQ63" i="12"/>
  <c r="AJ63" i="12"/>
  <c r="AQ31" i="12"/>
  <c r="AJ31" i="12"/>
  <c r="AQ66" i="12"/>
  <c r="AJ66" i="12"/>
  <c r="AQ62" i="12"/>
  <c r="AK62" i="12"/>
  <c r="AJ62" i="12"/>
  <c r="AQ30" i="12"/>
  <c r="AJ30" i="12"/>
  <c r="AQ17" i="12"/>
  <c r="AJ17" i="12"/>
  <c r="AQ61" i="12"/>
  <c r="AJ61" i="12"/>
  <c r="AQ64" i="12"/>
  <c r="AJ64" i="12"/>
  <c r="AQ68" i="12"/>
  <c r="AJ68" i="12"/>
  <c r="AQ59" i="12"/>
  <c r="AJ59" i="12"/>
  <c r="AQ27" i="12"/>
  <c r="AJ27" i="12"/>
  <c r="AQ58" i="12"/>
  <c r="AJ58" i="12"/>
  <c r="AQ57" i="12"/>
  <c r="AJ57" i="12"/>
  <c r="AQ56" i="12"/>
  <c r="AJ56" i="12"/>
  <c r="AQ54" i="12"/>
  <c r="AJ54" i="12"/>
  <c r="AQ22" i="12"/>
  <c r="AJ22" i="12"/>
  <c r="AQ53" i="12"/>
  <c r="AJ53" i="12"/>
  <c r="AQ49" i="12"/>
  <c r="AJ49" i="12"/>
  <c r="AQ36" i="12"/>
  <c r="AJ36" i="12"/>
  <c r="AQ44" i="12"/>
  <c r="AJ44" i="12"/>
  <c r="AK72" i="12"/>
  <c r="AJ72" i="12"/>
  <c r="AQ51" i="12"/>
  <c r="AJ51" i="12"/>
  <c r="AQ19" i="12"/>
  <c r="AJ19" i="12"/>
  <c r="AQ26" i="12"/>
  <c r="AJ26" i="12"/>
  <c r="AQ50" i="12"/>
  <c r="AJ50" i="12"/>
  <c r="AQ18" i="12"/>
  <c r="AJ18" i="12"/>
  <c r="AQ45" i="12"/>
  <c r="AJ45" i="12"/>
  <c r="AQ37" i="12"/>
  <c r="AJ37" i="12"/>
  <c r="AQ24" i="12"/>
  <c r="AJ24" i="12"/>
  <c r="AQ40" i="12"/>
  <c r="AJ40" i="12"/>
  <c r="AQ60" i="12"/>
  <c r="AJ60" i="12"/>
  <c r="AQ47" i="12"/>
  <c r="AJ47" i="12"/>
  <c r="AQ15" i="12"/>
  <c r="AJ15" i="12"/>
  <c r="AQ70" i="12"/>
  <c r="AJ70" i="12"/>
  <c r="AQ13" i="12"/>
  <c r="AJ13" i="12"/>
  <c r="AQ55" i="12"/>
  <c r="AJ55" i="12"/>
  <c r="AQ46" i="12"/>
  <c r="AJ46" i="12"/>
  <c r="AQ14" i="12"/>
  <c r="AJ14" i="12"/>
  <c r="AQ41" i="12"/>
  <c r="AJ41" i="12"/>
  <c r="AQ25" i="12"/>
  <c r="AJ25" i="12"/>
  <c r="AQ16" i="12"/>
  <c r="AJ16" i="12"/>
  <c r="AQ28" i="12"/>
  <c r="AJ28" i="12"/>
  <c r="AQ48" i="12"/>
  <c r="AJ48" i="12"/>
  <c r="AK48" i="12"/>
  <c r="AQ43" i="12"/>
  <c r="AJ43" i="12"/>
  <c r="AQ65" i="12"/>
  <c r="AJ65" i="12"/>
  <c r="AQ52" i="12"/>
  <c r="AJ52" i="12"/>
  <c r="AQ23" i="12"/>
  <c r="AQ69" i="12"/>
  <c r="AJ69" i="12"/>
  <c r="AQ42" i="12"/>
  <c r="AJ42" i="12"/>
  <c r="AQ33" i="12"/>
  <c r="AJ33" i="12"/>
  <c r="AQ20" i="12"/>
  <c r="AJ20" i="12"/>
  <c r="AQ32" i="12"/>
  <c r="AJ32" i="12"/>
  <c r="AQ39" i="12"/>
  <c r="AJ39" i="12"/>
  <c r="AJ71" i="12"/>
  <c r="AG39" i="12"/>
  <c r="AQ38" i="12"/>
  <c r="AJ38" i="12"/>
  <c r="AQ29" i="12"/>
  <c r="AJ29" i="12"/>
  <c r="AQ67" i="12"/>
  <c r="AJ67" i="12"/>
  <c r="AQ35" i="12"/>
  <c r="AJ35" i="12"/>
  <c r="AR25" i="12"/>
  <c r="AM25" i="12"/>
  <c r="AR28" i="12"/>
  <c r="AM28" i="12"/>
  <c r="AR49" i="12"/>
  <c r="AM49" i="12"/>
  <c r="AR26" i="12"/>
  <c r="AM26" i="12"/>
  <c r="AR68" i="12"/>
  <c r="AM68" i="12"/>
  <c r="AR36" i="12"/>
  <c r="AM36" i="12"/>
  <c r="AR43" i="12"/>
  <c r="AM43" i="12"/>
  <c r="AH72" i="12"/>
  <c r="AR60" i="12"/>
  <c r="AM60" i="12"/>
  <c r="AR45" i="12"/>
  <c r="AM45" i="12"/>
  <c r="AR57" i="12"/>
  <c r="AM57" i="12"/>
  <c r="AR14" i="12"/>
  <c r="AM14" i="12"/>
  <c r="AR64" i="12"/>
  <c r="AM64" i="12"/>
  <c r="AR32" i="12"/>
  <c r="AM32" i="12"/>
  <c r="AR39" i="12"/>
  <c r="AM39" i="12"/>
  <c r="AR62" i="12"/>
  <c r="AN62" i="12"/>
  <c r="AM62" i="12"/>
  <c r="AR35" i="12"/>
  <c r="AM35" i="12"/>
  <c r="AR17" i="12"/>
  <c r="AM17" i="12"/>
  <c r="AR65" i="12"/>
  <c r="AM65" i="12"/>
  <c r="AR66" i="12"/>
  <c r="AM66" i="12"/>
  <c r="AR56" i="12"/>
  <c r="AM56" i="12"/>
  <c r="AR24" i="12"/>
  <c r="AM24" i="12"/>
  <c r="AR63" i="12"/>
  <c r="AM63" i="12"/>
  <c r="AR31" i="12"/>
  <c r="AM31" i="12"/>
  <c r="AR46" i="12"/>
  <c r="AM46" i="12"/>
  <c r="AR37" i="12"/>
  <c r="AM37" i="12"/>
  <c r="AR70" i="12"/>
  <c r="AM70" i="12"/>
  <c r="AR53" i="12"/>
  <c r="AM53" i="12"/>
  <c r="AR58" i="12"/>
  <c r="AM58" i="12"/>
  <c r="AR52" i="12"/>
  <c r="AM52" i="12"/>
  <c r="AR20" i="12"/>
  <c r="AM20" i="12"/>
  <c r="AR59" i="12"/>
  <c r="AM59" i="12"/>
  <c r="AR27" i="12"/>
  <c r="AM27" i="12"/>
  <c r="AR38" i="12"/>
  <c r="AM38" i="12"/>
  <c r="AR67" i="12"/>
  <c r="AM67" i="12"/>
  <c r="AR41" i="12"/>
  <c r="AM41" i="12"/>
  <c r="AR61" i="12"/>
  <c r="AM61" i="12"/>
  <c r="AR21" i="12"/>
  <c r="AM21" i="12"/>
  <c r="AR50" i="12"/>
  <c r="AM50" i="12"/>
  <c r="AR48" i="12"/>
  <c r="AN48" i="12"/>
  <c r="AM48" i="12"/>
  <c r="AR16" i="12"/>
  <c r="AM16" i="12"/>
  <c r="AR55" i="12"/>
  <c r="AM55" i="12"/>
  <c r="AR23" i="12"/>
  <c r="AM23" i="12"/>
  <c r="AR30" i="12"/>
  <c r="AM30" i="12"/>
  <c r="AR54" i="12"/>
  <c r="AM54" i="12"/>
  <c r="AR69" i="12"/>
  <c r="AM69" i="12"/>
  <c r="AR33" i="12"/>
  <c r="AM33" i="12"/>
  <c r="AR42" i="12"/>
  <c r="AM42" i="12"/>
  <c r="AR44" i="12"/>
  <c r="AM44" i="12"/>
  <c r="AR51" i="12"/>
  <c r="AM51" i="12"/>
  <c r="AR19" i="12"/>
  <c r="AM19" i="12"/>
  <c r="AR22" i="12"/>
  <c r="AM22" i="12"/>
  <c r="AM71" i="12"/>
  <c r="AR13" i="12"/>
  <c r="AM13" i="12"/>
  <c r="AG45" i="12"/>
  <c r="AR29" i="12"/>
  <c r="AM29" i="12"/>
  <c r="AG55" i="12"/>
  <c r="AR34" i="12"/>
  <c r="AM34" i="12"/>
  <c r="AG22" i="12"/>
  <c r="AN72" i="12"/>
  <c r="AM72" i="12"/>
  <c r="AR40" i="12"/>
  <c r="AM40" i="12"/>
  <c r="AR47" i="12"/>
  <c r="AM47" i="12"/>
  <c r="AR15" i="12"/>
  <c r="AM15" i="12"/>
  <c r="AR18" i="12"/>
  <c r="AM18" i="12"/>
  <c r="AG44" i="12"/>
  <c r="AH62" i="12"/>
  <c r="AH48" i="12"/>
  <c r="AG67" i="12"/>
  <c r="AG16" i="12"/>
  <c r="AG25" i="12"/>
  <c r="AG47" i="12"/>
  <c r="AG14" i="12"/>
  <c r="AG59" i="12"/>
  <c r="AG34" i="12"/>
  <c r="AG31" i="12"/>
  <c r="AG53" i="12"/>
  <c r="AG36" i="12"/>
  <c r="AG51" i="12"/>
  <c r="AG26" i="12"/>
  <c r="AG66" i="12"/>
  <c r="AG64" i="12"/>
  <c r="AG58" i="12"/>
  <c r="AG70" i="12"/>
  <c r="AG15" i="12"/>
  <c r="AG62" i="12"/>
  <c r="AG20" i="12"/>
  <c r="AG43" i="12"/>
  <c r="AG65" i="12"/>
  <c r="AG42" i="12"/>
  <c r="AG56" i="12"/>
  <c r="AG28" i="12"/>
  <c r="AG17" i="12"/>
  <c r="AG21" i="12"/>
  <c r="AG54" i="12"/>
  <c r="AG35" i="12"/>
  <c r="AG57" i="12"/>
  <c r="AG18" i="12"/>
  <c r="AG48" i="12"/>
  <c r="AG50" i="12"/>
  <c r="AG61" i="12"/>
  <c r="AG37" i="12"/>
  <c r="AG46" i="12"/>
  <c r="AG27" i="12"/>
  <c r="AG49" i="12"/>
  <c r="AG40" i="12"/>
  <c r="AG29" i="12"/>
  <c r="AG60" i="12"/>
  <c r="AG72" i="12"/>
  <c r="AG69" i="12"/>
  <c r="AG38" i="12"/>
  <c r="AG68" i="12"/>
  <c r="AG19" i="12"/>
  <c r="AG41" i="12"/>
  <c r="AG32" i="12"/>
  <c r="AG63" i="12"/>
  <c r="AG30" i="12"/>
  <c r="AG52" i="12"/>
  <c r="AG33" i="12"/>
  <c r="AG24" i="12"/>
  <c r="AG71" i="12"/>
  <c r="BC50" i="12"/>
  <c r="BC51" i="12" s="1"/>
  <c r="BC52" i="12" s="1"/>
  <c r="BC53" i="12" s="1"/>
  <c r="BC54" i="12" s="1"/>
  <c r="BC55" i="12" s="1"/>
  <c r="BC56" i="12" s="1"/>
  <c r="BC57" i="12" s="1"/>
  <c r="BC58" i="12" s="1"/>
  <c r="BC59" i="12" s="1"/>
  <c r="BC60" i="12" s="1"/>
  <c r="BC61" i="12" s="1"/>
  <c r="BC62" i="12" s="1"/>
  <c r="BC63" i="12"/>
  <c r="BC64" i="12" s="1"/>
  <c r="BC65" i="12" s="1"/>
  <c r="BC66" i="12" s="1"/>
  <c r="BC67" i="12" s="1"/>
  <c r="BC68" i="12" s="1"/>
  <c r="BC69" i="12" s="1"/>
  <c r="BC70" i="12" s="1"/>
  <c r="BC71" i="12" s="1"/>
  <c r="BC72" i="12" s="1"/>
  <c r="BC40" i="12"/>
  <c r="BC41" i="12" s="1"/>
  <c r="BC42" i="12" s="1"/>
  <c r="BC43" i="12" s="1"/>
  <c r="BC44" i="12" s="1"/>
  <c r="BC45" i="12" s="1"/>
  <c r="BC46" i="12" s="1"/>
  <c r="BC47" i="12" s="1"/>
  <c r="BC48" i="12" s="1"/>
  <c r="BC49" i="12" s="1"/>
  <c r="AO29" i="12"/>
  <c r="AO60" i="12"/>
  <c r="AO28" i="12"/>
  <c r="AO50" i="12"/>
  <c r="AO34" i="12"/>
  <c r="AO17" i="12"/>
  <c r="AO47" i="12"/>
  <c r="AO53" i="12"/>
  <c r="AO36" i="12"/>
  <c r="AO12" i="12"/>
  <c r="AO26" i="12"/>
  <c r="AO10" i="12"/>
  <c r="AO70" i="12"/>
  <c r="AO15" i="12"/>
  <c r="AO62" i="12"/>
  <c r="AO20" i="12"/>
  <c r="AO43" i="12"/>
  <c r="AO65" i="12"/>
  <c r="AO42" i="12"/>
  <c r="AO56" i="12"/>
  <c r="AO39" i="12"/>
  <c r="AO14" i="12"/>
  <c r="AO59" i="12"/>
  <c r="AO23" i="12"/>
  <c r="AO51" i="12"/>
  <c r="AO9" i="12"/>
  <c r="AO66" i="12"/>
  <c r="AO64" i="12"/>
  <c r="AO31" i="12"/>
  <c r="AO21" i="12"/>
  <c r="AO54" i="12"/>
  <c r="AO35" i="12"/>
  <c r="AO57" i="12"/>
  <c r="AO18" i="12"/>
  <c r="AO48" i="12"/>
  <c r="AO8" i="12"/>
  <c r="AO37" i="12"/>
  <c r="AO46" i="12"/>
  <c r="AO27" i="12"/>
  <c r="AO49" i="12"/>
  <c r="AO61" i="12"/>
  <c r="AO40" i="12"/>
  <c r="AO69" i="12"/>
  <c r="AO38" i="12"/>
  <c r="AO68" i="12"/>
  <c r="AO19" i="12"/>
  <c r="AO41" i="12"/>
  <c r="AO32" i="12"/>
  <c r="AO13" i="12"/>
  <c r="AG13" i="12"/>
  <c r="AO63" i="12"/>
  <c r="AO30" i="12"/>
  <c r="AO52" i="12"/>
  <c r="AO11" i="12"/>
  <c r="AO33" i="12"/>
  <c r="AO24" i="12"/>
  <c r="AO45" i="12"/>
  <c r="AO55" i="12"/>
  <c r="AO22" i="12"/>
  <c r="AO44" i="12"/>
  <c r="AO67" i="12"/>
  <c r="AO58" i="12"/>
  <c r="AO25" i="12"/>
  <c r="AO16" i="12"/>
  <c r="BK67" i="12"/>
  <c r="BK54" i="12"/>
  <c r="BK46" i="12"/>
  <c r="BK71" i="12"/>
  <c r="BK63" i="12"/>
  <c r="AO72" i="12"/>
  <c r="AR72" i="12"/>
  <c r="BK41" i="12"/>
  <c r="BK59" i="12"/>
  <c r="AF73" i="12"/>
  <c r="AG73" i="12" s="1"/>
  <c r="AI73" i="12"/>
  <c r="AL73" i="12"/>
  <c r="AQ72" i="12"/>
  <c r="C46" i="17"/>
  <c r="CJ44" i="16"/>
  <c r="CB44" i="16"/>
  <c r="BT44" i="16"/>
  <c r="BL44" i="16"/>
  <c r="BD44" i="16"/>
  <c r="AV44" i="16"/>
  <c r="AN44" i="16"/>
  <c r="AF44" i="16"/>
  <c r="X44" i="16"/>
  <c r="P44" i="16"/>
  <c r="H44" i="16"/>
  <c r="CQ44" i="16" s="1"/>
  <c r="P40" i="16"/>
  <c r="BL38" i="16"/>
  <c r="AV36" i="16"/>
  <c r="AF34" i="16"/>
  <c r="AN33" i="16"/>
  <c r="AV32" i="16"/>
  <c r="BL30" i="16"/>
  <c r="AF30" i="16"/>
  <c r="C30" i="17"/>
  <c r="CJ41" i="16"/>
  <c r="CB41" i="16"/>
  <c r="BT41" i="16"/>
  <c r="BL41" i="16"/>
  <c r="BD41" i="16"/>
  <c r="AV41" i="16"/>
  <c r="AN41" i="16"/>
  <c r="AF41" i="16"/>
  <c r="X41" i="16"/>
  <c r="CQ41" i="16" s="1"/>
  <c r="P41" i="16"/>
  <c r="H41" i="16"/>
  <c r="X40" i="16"/>
  <c r="CJ39" i="16"/>
  <c r="CB39" i="16"/>
  <c r="BT39" i="16"/>
  <c r="BL39" i="16"/>
  <c r="BD39" i="16"/>
  <c r="CQ39" i="16" s="1"/>
  <c r="AV39" i="16"/>
  <c r="AN39" i="16"/>
  <c r="AF39" i="16"/>
  <c r="X39" i="16"/>
  <c r="P39" i="16"/>
  <c r="H39" i="16"/>
  <c r="BT38" i="16"/>
  <c r="H38" i="16"/>
  <c r="BD36" i="16"/>
  <c r="AN34" i="16"/>
  <c r="AV33" i="16"/>
  <c r="BD32" i="16"/>
  <c r="CJ46" i="16"/>
  <c r="BT46" i="16"/>
  <c r="BL46" i="16"/>
  <c r="AV46" i="16"/>
  <c r="AN46" i="16"/>
  <c r="X46" i="16"/>
  <c r="H46" i="16"/>
  <c r="AF40" i="16"/>
  <c r="CB38" i="16"/>
  <c r="P38" i="16"/>
  <c r="BL36" i="16"/>
  <c r="AV34" i="16"/>
  <c r="BD33" i="16"/>
  <c r="BL32" i="16"/>
  <c r="CE30" i="16"/>
  <c r="BT30" i="16"/>
  <c r="AY30" i="16"/>
  <c r="AN30" i="16"/>
  <c r="S30" i="16"/>
  <c r="AY29" i="16"/>
  <c r="CB46" i="16"/>
  <c r="BD46" i="16"/>
  <c r="AF46" i="16"/>
  <c r="P46" i="16"/>
  <c r="CQ46" i="16" s="1"/>
  <c r="CJ43" i="16"/>
  <c r="CB43" i="16"/>
  <c r="BT43" i="16"/>
  <c r="BL43" i="16"/>
  <c r="BD43" i="16"/>
  <c r="AV43" i="16"/>
  <c r="AN43" i="16"/>
  <c r="AF43" i="16"/>
  <c r="X43" i="16"/>
  <c r="P43" i="16"/>
  <c r="CQ43" i="16" s="1"/>
  <c r="H43" i="16"/>
  <c r="AN40" i="16"/>
  <c r="CJ38" i="16"/>
  <c r="X38" i="16"/>
  <c r="CJ37" i="16"/>
  <c r="CB37" i="16"/>
  <c r="BT37" i="16"/>
  <c r="BL37" i="16"/>
  <c r="BD37" i="16"/>
  <c r="AV37" i="16"/>
  <c r="AN37" i="16"/>
  <c r="AF37" i="16"/>
  <c r="X37" i="16"/>
  <c r="P37" i="16"/>
  <c r="H37" i="16"/>
  <c r="CQ37" i="16" s="1"/>
  <c r="BT36" i="16"/>
  <c r="H36" i="16"/>
  <c r="BD34" i="16"/>
  <c r="CM33" i="16"/>
  <c r="BL33" i="16"/>
  <c r="BT32" i="16"/>
  <c r="AI32" i="16"/>
  <c r="H32" i="16"/>
  <c r="CD30" i="16"/>
  <c r="AX30" i="16"/>
  <c r="BV29" i="16"/>
  <c r="AX29" i="16"/>
  <c r="CJ45" i="16"/>
  <c r="CB45" i="16"/>
  <c r="BT45" i="16"/>
  <c r="BL45" i="16"/>
  <c r="BD45" i="16"/>
  <c r="AV45" i="16"/>
  <c r="AN45" i="16"/>
  <c r="AF45" i="16"/>
  <c r="X45" i="16"/>
  <c r="P45" i="16"/>
  <c r="H45" i="16"/>
  <c r="CQ45" i="16" s="1"/>
  <c r="AN38" i="16"/>
  <c r="CJ36" i="16"/>
  <c r="X36" i="16"/>
  <c r="CJ35" i="16"/>
  <c r="CB35" i="16"/>
  <c r="BT35" i="16"/>
  <c r="BL35" i="16"/>
  <c r="BD35" i="16"/>
  <c r="AV35" i="16"/>
  <c r="CQ35" i="16" s="1"/>
  <c r="AN35" i="16"/>
  <c r="AF35" i="16"/>
  <c r="X35" i="16"/>
  <c r="P35" i="16"/>
  <c r="H35" i="16"/>
  <c r="BT34" i="16"/>
  <c r="AI34" i="16"/>
  <c r="H34" i="16"/>
  <c r="CB33" i="16"/>
  <c r="AQ33" i="16"/>
  <c r="P33" i="16"/>
  <c r="CJ32" i="16"/>
  <c r="X32" i="16"/>
  <c r="CJ31" i="16"/>
  <c r="CB31" i="16"/>
  <c r="BT31" i="16"/>
  <c r="BL31" i="16"/>
  <c r="BD31" i="16"/>
  <c r="AV31" i="16"/>
  <c r="AN31" i="16"/>
  <c r="AF31" i="16"/>
  <c r="X31" i="16"/>
  <c r="P31" i="16"/>
  <c r="H31" i="16"/>
  <c r="CQ31" i="16" s="1"/>
  <c r="CL30" i="16"/>
  <c r="BF30" i="16"/>
  <c r="Z30" i="16"/>
  <c r="C30" i="16"/>
  <c r="BF29" i="16"/>
  <c r="AH29" i="16"/>
  <c r="R29" i="16"/>
  <c r="C29" i="16"/>
  <c r="AI28" i="16"/>
  <c r="CJ42" i="16"/>
  <c r="CB42" i="16"/>
  <c r="BD42" i="16"/>
  <c r="AV42" i="16"/>
  <c r="AN42" i="16"/>
  <c r="AF42" i="16"/>
  <c r="X42" i="16"/>
  <c r="P42" i="16"/>
  <c r="H42" i="16"/>
  <c r="CQ42" i="16" s="1"/>
  <c r="AF36" i="16"/>
  <c r="CJ33" i="16"/>
  <c r="X33" i="16"/>
  <c r="CQ33" i="16" s="1"/>
  <c r="AF32" i="16"/>
  <c r="CJ30" i="16"/>
  <c r="BO30" i="16"/>
  <c r="BD30" i="16"/>
  <c r="X30" i="16"/>
  <c r="CD29" i="16"/>
  <c r="C28" i="16"/>
  <c r="AN36" i="16"/>
  <c r="BO32" i="16"/>
  <c r="CM29" i="16"/>
  <c r="BK51" i="12"/>
  <c r="BK68" i="12"/>
  <c r="BK6" i="12"/>
  <c r="BK56" i="12"/>
  <c r="BK48" i="12"/>
  <c r="BK65" i="12"/>
  <c r="BK43" i="12"/>
  <c r="BK19" i="12"/>
  <c r="BK11" i="12"/>
  <c r="BK53" i="12"/>
  <c r="BK70" i="12"/>
  <c r="BK62" i="12"/>
  <c r="BK44" i="12"/>
  <c r="BK4" i="12"/>
  <c r="BK58" i="12"/>
  <c r="BK50" i="12"/>
  <c r="BK7" i="12"/>
  <c r="BK66" i="12"/>
  <c r="BL36" i="12"/>
  <c r="BL20" i="12"/>
  <c r="BL28" i="12"/>
  <c r="BL12" i="12"/>
  <c r="BK69" i="12"/>
  <c r="BL37" i="12"/>
  <c r="BL29" i="12"/>
  <c r="BL21" i="12"/>
  <c r="BL13" i="12"/>
  <c r="BK5" i="12"/>
  <c r="BK55" i="12"/>
  <c r="BK47" i="12"/>
  <c r="BK72" i="12"/>
  <c r="BK64" i="12"/>
  <c r="BK45" i="12"/>
  <c r="BK42" i="12"/>
  <c r="BK34" i="12"/>
  <c r="BK60" i="12"/>
  <c r="BK52" i="12"/>
  <c r="BL38" i="12"/>
  <c r="BL30" i="12"/>
  <c r="BL22" i="12"/>
  <c r="BL14" i="12"/>
  <c r="BK38" i="12"/>
  <c r="BK22" i="12"/>
  <c r="BK57" i="12"/>
  <c r="BK37" i="12"/>
  <c r="BK13" i="12"/>
  <c r="BK14" i="12"/>
  <c r="BK20" i="12"/>
  <c r="BL27" i="12"/>
  <c r="BL26" i="12"/>
  <c r="BK36" i="12"/>
  <c r="BK49" i="12"/>
  <c r="BL35" i="12"/>
  <c r="BL18" i="12"/>
  <c r="BL33" i="12"/>
  <c r="BL25" i="12"/>
  <c r="BL17" i="12"/>
  <c r="BL9" i="12"/>
  <c r="BK33" i="12"/>
  <c r="BK25" i="12"/>
  <c r="BK17" i="12"/>
  <c r="BK9" i="12"/>
  <c r="BK30" i="12"/>
  <c r="BK21" i="12"/>
  <c r="BK12" i="12"/>
  <c r="BL19" i="12"/>
  <c r="BK27" i="12"/>
  <c r="BL66" i="12"/>
  <c r="BK26" i="12"/>
  <c r="BL41" i="12"/>
  <c r="BL32" i="12"/>
  <c r="BL24" i="12"/>
  <c r="BL16" i="12"/>
  <c r="BL8" i="12"/>
  <c r="BL58" i="12"/>
  <c r="BL50" i="12"/>
  <c r="BL67" i="12"/>
  <c r="BK8" i="12"/>
  <c r="BK40" i="12"/>
  <c r="BK32" i="12"/>
  <c r="BK24" i="12"/>
  <c r="BK16" i="12"/>
  <c r="BK61" i="12"/>
  <c r="BK29" i="12"/>
  <c r="BK28" i="12"/>
  <c r="BL11" i="12"/>
  <c r="BK35" i="12"/>
  <c r="BL34" i="12"/>
  <c r="BL10" i="12"/>
  <c r="BK18" i="12"/>
  <c r="BK10" i="12"/>
  <c r="BL39" i="12"/>
  <c r="BL31" i="12"/>
  <c r="BL23" i="12"/>
  <c r="BL15" i="12"/>
  <c r="BK39" i="12"/>
  <c r="BK31" i="12"/>
  <c r="BK23" i="12"/>
  <c r="BK15" i="12"/>
  <c r="C54" i="17"/>
  <c r="C48" i="17"/>
  <c r="C47" i="17"/>
  <c r="C22" i="17"/>
  <c r="C51" i="17"/>
  <c r="C31" i="17"/>
  <c r="C27" i="17"/>
  <c r="C41" i="17"/>
  <c r="C33" i="17"/>
  <c r="H9" i="17"/>
  <c r="H8" i="17"/>
  <c r="H10" i="17"/>
  <c r="H7" i="17"/>
  <c r="C25" i="17"/>
  <c r="C49" i="17"/>
  <c r="C68" i="17"/>
  <c r="C57" i="17"/>
  <c r="C21" i="17"/>
  <c r="C79" i="17"/>
  <c r="C64" i="17"/>
  <c r="C72" i="17"/>
  <c r="C80" i="17"/>
  <c r="C81" i="17"/>
  <c r="C59" i="17"/>
  <c r="C67" i="17"/>
  <c r="C75" i="17"/>
  <c r="C60" i="17"/>
  <c r="C77" i="17"/>
  <c r="C62" i="17"/>
  <c r="C70" i="17"/>
  <c r="CN28" i="16"/>
  <c r="CN29" i="16"/>
  <c r="CN30" i="16"/>
  <c r="CN32" i="16"/>
  <c r="CN34" i="16"/>
  <c r="CN36" i="16"/>
  <c r="CN38" i="16"/>
  <c r="CF28" i="16"/>
  <c r="CF29" i="16"/>
  <c r="CF30" i="16"/>
  <c r="CF32" i="16"/>
  <c r="CF34" i="16"/>
  <c r="CF36" i="16"/>
  <c r="CF38" i="16"/>
  <c r="BX28" i="16"/>
  <c r="BX29" i="16"/>
  <c r="BX30" i="16"/>
  <c r="BX32" i="16"/>
  <c r="BX34" i="16"/>
  <c r="BX36" i="16"/>
  <c r="BX38" i="16"/>
  <c r="BP28" i="16"/>
  <c r="BP29" i="16"/>
  <c r="BP30" i="16"/>
  <c r="BP32" i="16"/>
  <c r="BP34" i="16"/>
  <c r="BP36" i="16"/>
  <c r="BP38" i="16"/>
  <c r="BH28" i="16"/>
  <c r="BH29" i="16"/>
  <c r="BH30" i="16"/>
  <c r="BH32" i="16"/>
  <c r="BH34" i="16"/>
  <c r="BH36" i="16"/>
  <c r="BH38" i="16"/>
  <c r="AZ28" i="16"/>
  <c r="AZ29" i="16"/>
  <c r="AZ30" i="16"/>
  <c r="AZ32" i="16"/>
  <c r="AZ34" i="16"/>
  <c r="AZ36" i="16"/>
  <c r="AZ38" i="16"/>
  <c r="AR28" i="16"/>
  <c r="AR29" i="16"/>
  <c r="AR30" i="16"/>
  <c r="AR32" i="16"/>
  <c r="AR34" i="16"/>
  <c r="AR36" i="16"/>
  <c r="AR38" i="16"/>
  <c r="AR40" i="16"/>
  <c r="AJ28" i="16"/>
  <c r="AJ29" i="16"/>
  <c r="AJ30" i="16"/>
  <c r="AJ32" i="16"/>
  <c r="AJ34" i="16"/>
  <c r="AJ36" i="16"/>
  <c r="AJ38" i="16"/>
  <c r="AJ40" i="16"/>
  <c r="AB28" i="16"/>
  <c r="AB29" i="16"/>
  <c r="AB30" i="16"/>
  <c r="AB32" i="16"/>
  <c r="AB34" i="16"/>
  <c r="AB36" i="16"/>
  <c r="AB38" i="16"/>
  <c r="AB40" i="16"/>
  <c r="T28" i="16"/>
  <c r="T29" i="16"/>
  <c r="T30" i="16"/>
  <c r="T32" i="16"/>
  <c r="T34" i="16"/>
  <c r="T36" i="16"/>
  <c r="T38" i="16"/>
  <c r="T40" i="16"/>
  <c r="L28" i="16"/>
  <c r="L29" i="16"/>
  <c r="L30" i="16"/>
  <c r="L32" i="16"/>
  <c r="L34" i="16"/>
  <c r="L36" i="16"/>
  <c r="L38" i="16"/>
  <c r="L40" i="16"/>
  <c r="D28" i="16"/>
  <c r="D30" i="16"/>
  <c r="D29" i="16"/>
  <c r="D32" i="16"/>
  <c r="D34" i="16"/>
  <c r="D36" i="16"/>
  <c r="D38" i="16"/>
  <c r="D40" i="16"/>
  <c r="CQ40" i="16" s="1"/>
  <c r="C78" i="17"/>
  <c r="C43" i="17"/>
  <c r="C38" i="17"/>
  <c r="C14" i="17"/>
  <c r="BM29" i="16"/>
  <c r="AG29" i="16"/>
  <c r="BU28" i="16"/>
  <c r="I28" i="16"/>
  <c r="L69" i="17"/>
  <c r="C69" i="17"/>
  <c r="C37" i="17"/>
  <c r="C34" i="17"/>
  <c r="C32" i="17"/>
  <c r="C24" i="17"/>
  <c r="C23" i="17"/>
  <c r="C19" i="17"/>
  <c r="C13" i="17"/>
  <c r="F8" i="17"/>
  <c r="F10" i="17"/>
  <c r="F7" i="17"/>
  <c r="C73" i="17"/>
  <c r="L61" i="17"/>
  <c r="C61" i="17"/>
  <c r="C52" i="17"/>
  <c r="C44" i="17"/>
  <c r="C39" i="17"/>
  <c r="C28" i="17"/>
  <c r="C16" i="17"/>
  <c r="C15" i="17"/>
  <c r="BU29" i="16"/>
  <c r="AO29" i="16"/>
  <c r="Q29" i="16"/>
  <c r="BE28" i="16"/>
  <c r="CJ29" i="16"/>
  <c r="CJ28" i="16"/>
  <c r="CB29" i="16"/>
  <c r="CB28" i="16"/>
  <c r="BT29" i="16"/>
  <c r="BT28" i="16"/>
  <c r="BL29" i="16"/>
  <c r="BL28" i="16"/>
  <c r="BD29" i="16"/>
  <c r="BD28" i="16"/>
  <c r="AV29" i="16"/>
  <c r="AV28" i="16"/>
  <c r="AN29" i="16"/>
  <c r="AN28" i="16"/>
  <c r="AF29" i="16"/>
  <c r="AF28" i="16"/>
  <c r="X29" i="16"/>
  <c r="X28" i="16"/>
  <c r="P29" i="16"/>
  <c r="P28" i="16"/>
  <c r="H29" i="16"/>
  <c r="H28" i="16"/>
  <c r="H30" i="16"/>
  <c r="C65" i="17"/>
  <c r="C35" i="17"/>
  <c r="C20" i="17"/>
  <c r="C11" i="17"/>
  <c r="CC28" i="16"/>
  <c r="AD28" i="16"/>
  <c r="Q28" i="16"/>
  <c r="C56" i="17"/>
  <c r="C53" i="17"/>
  <c r="C50" i="17"/>
  <c r="C40" i="17"/>
  <c r="F9" i="17"/>
  <c r="CC29" i="16"/>
  <c r="AW29" i="16"/>
  <c r="AO28" i="16"/>
  <c r="C71" i="17"/>
  <c r="C55" i="17"/>
  <c r="C42" i="17"/>
  <c r="C36" i="17"/>
  <c r="C26" i="17"/>
  <c r="C12" i="17"/>
  <c r="BM30" i="16"/>
  <c r="Y30" i="16"/>
  <c r="C76" i="17"/>
  <c r="C63" i="17"/>
  <c r="C45" i="17"/>
  <c r="C29" i="17"/>
  <c r="C18" i="17"/>
  <c r="C17" i="17"/>
  <c r="I7" i="17"/>
  <c r="I9" i="17"/>
  <c r="I8" i="17"/>
  <c r="G7" i="17"/>
  <c r="L71" i="17"/>
  <c r="L63" i="17"/>
  <c r="G10" i="17"/>
  <c r="C74" i="17"/>
  <c r="C66" i="17"/>
  <c r="C58" i="17"/>
  <c r="BL57" i="12"/>
  <c r="BL49" i="12"/>
  <c r="BL56" i="12"/>
  <c r="BL48" i="12"/>
  <c r="BL65" i="12"/>
  <c r="BL72" i="12"/>
  <c r="BL40" i="12"/>
  <c r="BL44" i="12"/>
  <c r="BL71" i="12"/>
  <c r="BL43" i="12"/>
  <c r="BL53" i="12"/>
  <c r="BL45" i="12"/>
  <c r="BL70" i="12"/>
  <c r="BL42" i="12"/>
  <c r="BL60" i="12"/>
  <c r="BL52" i="12"/>
  <c r="BL47" i="12"/>
  <c r="BL69" i="12"/>
  <c r="BL59" i="12"/>
  <c r="BL51" i="12"/>
  <c r="BL68" i="12"/>
  <c r="BL55" i="12"/>
  <c r="BL54" i="12"/>
  <c r="BL46" i="12"/>
  <c r="AQ73" i="12" l="1"/>
  <c r="AJ73" i="12"/>
  <c r="AR73" i="12"/>
  <c r="AM73" i="12"/>
  <c r="AO73" i="12"/>
  <c r="AF74" i="12"/>
  <c r="AG74" i="12" s="1"/>
  <c r="AI74" i="12"/>
  <c r="AL74" i="12"/>
  <c r="CQ30" i="16"/>
  <c r="CQ28" i="16"/>
  <c r="CQ47" i="16" s="1"/>
  <c r="CQ38" i="16"/>
  <c r="CQ36" i="16"/>
  <c r="CQ34" i="16"/>
  <c r="C9" i="17"/>
  <c r="C7" i="17"/>
  <c r="CQ32" i="16"/>
  <c r="C10" i="17"/>
  <c r="CQ29" i="16"/>
  <c r="C8" i="17"/>
  <c r="AQ74" i="12" l="1"/>
  <c r="AJ74" i="12"/>
  <c r="AR74" i="12"/>
  <c r="AM74" i="12"/>
  <c r="AO74" i="12"/>
  <c r="K74" i="12"/>
  <c r="BA72" i="12"/>
  <c r="BA7" i="12"/>
  <c r="BA8" i="12"/>
  <c r="BA9" i="12"/>
  <c r="BA10" i="12"/>
  <c r="BA11" i="12"/>
  <c r="BA12" i="12"/>
  <c r="BA13" i="12"/>
  <c r="BA14" i="12"/>
  <c r="BA15" i="12"/>
  <c r="BA16" i="12"/>
  <c r="BA17" i="12"/>
  <c r="BA18" i="12"/>
  <c r="BA19" i="12"/>
  <c r="BA20" i="12"/>
  <c r="BA21" i="12"/>
  <c r="BA22" i="12"/>
  <c r="BA23" i="12"/>
  <c r="BA24" i="12"/>
  <c r="BA25" i="12"/>
  <c r="BA26" i="12"/>
  <c r="BA27" i="12"/>
  <c r="BA28" i="12"/>
  <c r="BA29" i="12"/>
  <c r="BA30" i="12"/>
  <c r="BA31" i="12"/>
  <c r="BA32" i="12"/>
  <c r="BA33" i="12"/>
  <c r="BA34" i="12"/>
  <c r="BA35" i="12"/>
  <c r="BA36" i="12"/>
  <c r="BA37" i="12"/>
  <c r="BA38" i="12"/>
  <c r="BA40" i="12"/>
  <c r="BA44" i="12"/>
  <c r="BA43" i="12"/>
  <c r="BA41" i="12"/>
  <c r="BA42" i="12"/>
  <c r="BA39" i="12"/>
  <c r="BA66" i="12"/>
  <c r="BA67" i="12"/>
  <c r="BA68" i="12"/>
  <c r="BA69" i="12"/>
  <c r="BA70" i="12"/>
  <c r="BA71" i="12"/>
  <c r="BA65" i="12"/>
  <c r="Z74" i="12" l="1"/>
  <c r="BA46" i="12"/>
  <c r="BA47" i="12"/>
  <c r="BA48" i="12"/>
  <c r="BA49" i="12"/>
  <c r="BA50" i="12"/>
  <c r="BA51" i="12"/>
  <c r="BA52" i="12"/>
  <c r="BA53" i="12"/>
  <c r="BA54" i="12"/>
  <c r="BA55" i="12"/>
  <c r="BA56" i="12"/>
  <c r="BA57" i="12"/>
  <c r="BA58" i="12"/>
  <c r="BA59" i="12"/>
  <c r="BA60" i="12"/>
  <c r="BA45" i="12"/>
  <c r="I19" i="11"/>
  <c r="I18" i="11"/>
  <c r="I17" i="11"/>
  <c r="I16" i="11"/>
  <c r="I15" i="11"/>
  <c r="I14" i="11"/>
  <c r="I13" i="11"/>
  <c r="I12" i="11"/>
  <c r="I11" i="11"/>
  <c r="I10" i="11"/>
  <c r="I9" i="11"/>
  <c r="I8" i="11"/>
  <c r="G19" i="11"/>
  <c r="G18" i="11"/>
  <c r="G17" i="11"/>
  <c r="G16" i="11"/>
  <c r="G15" i="11"/>
  <c r="G14" i="11"/>
  <c r="G13" i="11"/>
  <c r="G12" i="11"/>
  <c r="G11" i="11"/>
  <c r="G10" i="11"/>
  <c r="G9" i="11"/>
  <c r="G8" i="11"/>
  <c r="E9" i="11"/>
  <c r="E10" i="11"/>
  <c r="E11" i="11"/>
  <c r="E12" i="11"/>
  <c r="E13" i="11"/>
  <c r="E14" i="11"/>
  <c r="E15" i="11"/>
  <c r="E16" i="11"/>
  <c r="E17" i="11"/>
  <c r="E18" i="11"/>
  <c r="E19" i="11"/>
  <c r="E8" i="11"/>
  <c r="C19" i="11"/>
  <c r="C10" i="11"/>
  <c r="C11" i="11"/>
  <c r="C12" i="11"/>
  <c r="C13" i="11"/>
  <c r="C14" i="11"/>
  <c r="C15" i="11"/>
  <c r="C16" i="11"/>
  <c r="C17" i="11"/>
  <c r="C18" i="11"/>
  <c r="C9" i="11"/>
  <c r="AH19" i="1" l="1"/>
  <c r="AI19" i="1"/>
  <c r="AH21" i="1"/>
  <c r="AI21" i="1"/>
  <c r="AH22" i="1"/>
  <c r="AI22" i="1"/>
  <c r="AH23" i="1"/>
  <c r="AI23" i="1"/>
  <c r="AG21" i="1"/>
  <c r="AG22" i="1"/>
  <c r="AG23" i="1"/>
  <c r="AG19" i="1"/>
  <c r="C39" i="15" l="1"/>
  <c r="BP71" i="12" l="1"/>
  <c r="BP72" i="12"/>
  <c r="BP3" i="12"/>
  <c r="BP4" i="12"/>
  <c r="BP5" i="12"/>
  <c r="BP6" i="12"/>
  <c r="BP7" i="12"/>
  <c r="BP8" i="12"/>
  <c r="BP9" i="12"/>
  <c r="BP10" i="12"/>
  <c r="BP11" i="12"/>
  <c r="BP12" i="12"/>
  <c r="BP13" i="12"/>
  <c r="BP14" i="12"/>
  <c r="BP15" i="12"/>
  <c r="BP16" i="12"/>
  <c r="BP17" i="12"/>
  <c r="BP18" i="12"/>
  <c r="BP19" i="12"/>
  <c r="BP20" i="12"/>
  <c r="BP21" i="12"/>
  <c r="BP22" i="12"/>
  <c r="BP23" i="12"/>
  <c r="BP24" i="12"/>
  <c r="BP25" i="12"/>
  <c r="BP26" i="12"/>
  <c r="BP27" i="12"/>
  <c r="BP28" i="12"/>
  <c r="BP29" i="12"/>
  <c r="BP30" i="12"/>
  <c r="BP31" i="12"/>
  <c r="BP32" i="12"/>
  <c r="BP33" i="12"/>
  <c r="BP34" i="12"/>
  <c r="BP35" i="12"/>
  <c r="BP36" i="12"/>
  <c r="BP37" i="12"/>
  <c r="BP38" i="12"/>
  <c r="BP39" i="12"/>
  <c r="BP40" i="12"/>
  <c r="BP41" i="12"/>
  <c r="BP42" i="12"/>
  <c r="BP43" i="12"/>
  <c r="BP44" i="12"/>
  <c r="BP45" i="12"/>
  <c r="BP46" i="12"/>
  <c r="BP47" i="12"/>
  <c r="BP48" i="12"/>
  <c r="BP49" i="12"/>
  <c r="BP50" i="12"/>
  <c r="BP51" i="12"/>
  <c r="BP52" i="12"/>
  <c r="BP53" i="12"/>
  <c r="BP54" i="12"/>
  <c r="BP55" i="12"/>
  <c r="BP56" i="12"/>
  <c r="BP57" i="12"/>
  <c r="BP58" i="12"/>
  <c r="BP59" i="12"/>
  <c r="BP60" i="12"/>
  <c r="BP61" i="12"/>
  <c r="BP62" i="12"/>
  <c r="BP63" i="12"/>
  <c r="BP64" i="12"/>
  <c r="BP65" i="12"/>
  <c r="BP66" i="12"/>
  <c r="BP67" i="12"/>
  <c r="BP68" i="12"/>
  <c r="BP69" i="12"/>
  <c r="BP70" i="12"/>
  <c r="BP2" i="12"/>
  <c r="BN71" i="12"/>
  <c r="BN72" i="12"/>
  <c r="BN2" i="12"/>
  <c r="BN3" i="12"/>
  <c r="BN4" i="12"/>
  <c r="BN5" i="12"/>
  <c r="BN6" i="12"/>
  <c r="BN7" i="12"/>
  <c r="BN8" i="12"/>
  <c r="BN9" i="12"/>
  <c r="BN10" i="12"/>
  <c r="BN11" i="12"/>
  <c r="BN12" i="12"/>
  <c r="BN13" i="12"/>
  <c r="BN14" i="12"/>
  <c r="BN15" i="12"/>
  <c r="BN16" i="12"/>
  <c r="BN17" i="12"/>
  <c r="BN18" i="12"/>
  <c r="BN19" i="12"/>
  <c r="BN20" i="12"/>
  <c r="BN21" i="12"/>
  <c r="BN22" i="12"/>
  <c r="BN23" i="12"/>
  <c r="BN24" i="12"/>
  <c r="BN25" i="12"/>
  <c r="BN26" i="12"/>
  <c r="BN27" i="12"/>
  <c r="BN28" i="12"/>
  <c r="BN29" i="12"/>
  <c r="BN30" i="12"/>
  <c r="BN31" i="12"/>
  <c r="BN32" i="12"/>
  <c r="BN33" i="12"/>
  <c r="BN34" i="12"/>
  <c r="BN35" i="12"/>
  <c r="BN36" i="12"/>
  <c r="BN37" i="12"/>
  <c r="BN38" i="12"/>
  <c r="BN39" i="12"/>
  <c r="BN40" i="12"/>
  <c r="BN41" i="12"/>
  <c r="BN42" i="12"/>
  <c r="BN43" i="12"/>
  <c r="BN44" i="12"/>
  <c r="BN45" i="12"/>
  <c r="BN46" i="12"/>
  <c r="BN47" i="12"/>
  <c r="BN48" i="12"/>
  <c r="BN49" i="12"/>
  <c r="BN50" i="12"/>
  <c r="BN51" i="12"/>
  <c r="BN52" i="12"/>
  <c r="BN53" i="12"/>
  <c r="BN54" i="12"/>
  <c r="BN55" i="12"/>
  <c r="BN56" i="12"/>
  <c r="BN57" i="12"/>
  <c r="BN58" i="12"/>
  <c r="BN59" i="12"/>
  <c r="BN60" i="12"/>
  <c r="BN61" i="12"/>
  <c r="BN62" i="12"/>
  <c r="BN63" i="12"/>
  <c r="BN64" i="12"/>
  <c r="BN65" i="12"/>
  <c r="BN66" i="12"/>
  <c r="BN67" i="12"/>
  <c r="BN68" i="12"/>
  <c r="BN69" i="12"/>
  <c r="BN70" i="12"/>
  <c r="G11" i="15" l="1"/>
  <c r="L3" i="15" s="1"/>
  <c r="M3" i="15" s="1"/>
  <c r="C11" i="14"/>
  <c r="F11" i="14"/>
  <c r="E11" i="14"/>
  <c r="D11" i="14"/>
  <c r="G15" i="15" l="1"/>
  <c r="G23" i="15"/>
  <c r="G22" i="15"/>
  <c r="G21" i="15"/>
  <c r="J21" i="15" s="1"/>
  <c r="H11" i="15"/>
  <c r="M37" i="5"/>
  <c r="H15" i="15" l="1"/>
  <c r="H22" i="15"/>
  <c r="H23" i="15"/>
  <c r="I23" i="15"/>
  <c r="J23" i="15"/>
  <c r="J22" i="15"/>
  <c r="I22" i="15"/>
  <c r="H21" i="15"/>
  <c r="M38" i="5"/>
  <c r="M78" i="5"/>
  <c r="F24" i="5"/>
  <c r="J21" i="5"/>
  <c r="J24" i="5" l="1"/>
  <c r="J67" i="5"/>
  <c r="F69" i="5"/>
  <c r="F70" i="5"/>
  <c r="K13" i="12"/>
  <c r="K21" i="12"/>
  <c r="K29" i="12"/>
  <c r="K37" i="12"/>
  <c r="K14" i="12"/>
  <c r="K22" i="12"/>
  <c r="K30" i="12"/>
  <c r="K38" i="12"/>
  <c r="K46" i="12"/>
  <c r="K54" i="12"/>
  <c r="K62" i="12"/>
  <c r="L62" i="12" s="1"/>
  <c r="K45" i="12"/>
  <c r="K15" i="12"/>
  <c r="K23" i="12"/>
  <c r="K31" i="12"/>
  <c r="K39" i="12"/>
  <c r="K47" i="12"/>
  <c r="K55" i="12"/>
  <c r="K63" i="12"/>
  <c r="L63" i="12" s="1"/>
  <c r="K26" i="12"/>
  <c r="K50" i="12"/>
  <c r="K11" i="12"/>
  <c r="K43" i="12"/>
  <c r="K67" i="12"/>
  <c r="L67" i="12" s="1"/>
  <c r="K12" i="12"/>
  <c r="K44" i="12"/>
  <c r="K60" i="12"/>
  <c r="K61" i="12"/>
  <c r="L61" i="12" s="1"/>
  <c r="K8" i="12"/>
  <c r="K16" i="12"/>
  <c r="K24" i="12"/>
  <c r="K32" i="12"/>
  <c r="K40" i="12"/>
  <c r="K48" i="12"/>
  <c r="K56" i="12"/>
  <c r="K64" i="12"/>
  <c r="K18" i="12"/>
  <c r="K34" i="12"/>
  <c r="K58" i="12"/>
  <c r="K27" i="12"/>
  <c r="K51" i="12"/>
  <c r="K20" i="12"/>
  <c r="K36" i="12"/>
  <c r="K52" i="12"/>
  <c r="K53" i="12"/>
  <c r="K9" i="12"/>
  <c r="K17" i="12"/>
  <c r="K25" i="12"/>
  <c r="K33" i="12"/>
  <c r="K41" i="12"/>
  <c r="K49" i="12"/>
  <c r="K57" i="12"/>
  <c r="K65" i="12"/>
  <c r="L65" i="12" s="1"/>
  <c r="K10" i="12"/>
  <c r="K42" i="12"/>
  <c r="K66" i="12"/>
  <c r="L66" i="12" s="1"/>
  <c r="K19" i="12"/>
  <c r="K35" i="12"/>
  <c r="K59" i="12"/>
  <c r="K28" i="12"/>
  <c r="K68" i="12"/>
  <c r="K69" i="12"/>
  <c r="K70" i="12"/>
  <c r="L70" i="12" s="1"/>
  <c r="K71" i="12"/>
  <c r="L71" i="12" s="1"/>
  <c r="K72" i="12"/>
  <c r="O17" i="12" l="1"/>
  <c r="L72" i="12"/>
  <c r="Z68" i="12"/>
  <c r="L68" i="12"/>
  <c r="Z57" i="12"/>
  <c r="L57" i="12"/>
  <c r="Z26" i="12"/>
  <c r="L26" i="12"/>
  <c r="Z59" i="12"/>
  <c r="L59" i="12"/>
  <c r="Z36" i="12"/>
  <c r="L36" i="12"/>
  <c r="Z60" i="12"/>
  <c r="L60" i="12"/>
  <c r="Z29" i="12"/>
  <c r="L29" i="12"/>
  <c r="Z35" i="12"/>
  <c r="L35" i="12"/>
  <c r="Z41" i="12"/>
  <c r="L41" i="12"/>
  <c r="Z20" i="12"/>
  <c r="L20" i="12"/>
  <c r="Z48" i="12"/>
  <c r="L48" i="12"/>
  <c r="Z44" i="12"/>
  <c r="L44" i="12"/>
  <c r="Z55" i="12"/>
  <c r="L55" i="12"/>
  <c r="Z54" i="12"/>
  <c r="L54" i="12"/>
  <c r="Z21" i="12"/>
  <c r="L21" i="12"/>
  <c r="Z53" i="12"/>
  <c r="L53" i="12"/>
  <c r="Z14" i="12"/>
  <c r="L14" i="12"/>
  <c r="Z28" i="12"/>
  <c r="L28" i="12"/>
  <c r="U63" i="12"/>
  <c r="N63" i="12"/>
  <c r="Z19" i="12"/>
  <c r="L19" i="12"/>
  <c r="Z40" i="12"/>
  <c r="L40" i="12"/>
  <c r="Z46" i="12"/>
  <c r="L46" i="12"/>
  <c r="N66" i="12"/>
  <c r="Z27" i="12"/>
  <c r="L27" i="12"/>
  <c r="Z32" i="12"/>
  <c r="L32" i="12"/>
  <c r="U67" i="12"/>
  <c r="N67" i="12"/>
  <c r="Z39" i="12"/>
  <c r="L39" i="12"/>
  <c r="Z38" i="12"/>
  <c r="L38" i="12"/>
  <c r="Z8" i="12"/>
  <c r="L8" i="12"/>
  <c r="Z50" i="12"/>
  <c r="L50" i="12"/>
  <c r="Z64" i="12"/>
  <c r="L64" i="12"/>
  <c r="Z37" i="12"/>
  <c r="L37" i="12"/>
  <c r="Z49" i="12"/>
  <c r="L49" i="12"/>
  <c r="Z56" i="12"/>
  <c r="L56" i="12"/>
  <c r="N72" i="12"/>
  <c r="Z51" i="12"/>
  <c r="L51" i="12"/>
  <c r="Z12" i="12"/>
  <c r="L12" i="12"/>
  <c r="Z13" i="12"/>
  <c r="L13" i="12"/>
  <c r="Z25" i="12"/>
  <c r="L25" i="12"/>
  <c r="Z42" i="12"/>
  <c r="AA42" i="12" s="1"/>
  <c r="L42" i="12"/>
  <c r="Z17" i="12"/>
  <c r="L17" i="12"/>
  <c r="Z58" i="12"/>
  <c r="L58" i="12"/>
  <c r="Z24" i="12"/>
  <c r="L24" i="12"/>
  <c r="Z43" i="12"/>
  <c r="L43" i="12"/>
  <c r="Z31" i="12"/>
  <c r="L31" i="12"/>
  <c r="Z30" i="12"/>
  <c r="L30" i="12"/>
  <c r="Z18" i="12"/>
  <c r="L18" i="12"/>
  <c r="Z15" i="12"/>
  <c r="L15" i="12"/>
  <c r="Z52" i="12"/>
  <c r="L52" i="12"/>
  <c r="Z45" i="12"/>
  <c r="L45" i="12"/>
  <c r="N62" i="12"/>
  <c r="Z33" i="12"/>
  <c r="L33" i="12"/>
  <c r="Z47" i="12"/>
  <c r="AA47" i="12" s="1"/>
  <c r="L47" i="12"/>
  <c r="N71" i="12"/>
  <c r="Z69" i="12"/>
  <c r="L69" i="12"/>
  <c r="Z10" i="12"/>
  <c r="L10" i="12"/>
  <c r="Z9" i="12"/>
  <c r="L9" i="12"/>
  <c r="Z34" i="12"/>
  <c r="L34" i="12"/>
  <c r="Z16" i="12"/>
  <c r="L16" i="12"/>
  <c r="Z11" i="12"/>
  <c r="L11" i="12"/>
  <c r="Z23" i="12"/>
  <c r="L23" i="12"/>
  <c r="Z22" i="12"/>
  <c r="L22" i="12"/>
  <c r="Z65" i="12"/>
  <c r="Z61" i="12"/>
  <c r="AA61" i="12" s="1"/>
  <c r="Z67" i="12"/>
  <c r="Z63" i="12"/>
  <c r="Z70" i="12"/>
  <c r="Z62" i="12"/>
  <c r="Z71" i="12"/>
  <c r="Z66" i="12"/>
  <c r="Z72" i="12"/>
  <c r="J26" i="5"/>
  <c r="J70" i="5"/>
  <c r="BF27" i="12"/>
  <c r="BF24" i="12"/>
  <c r="BF26" i="12"/>
  <c r="BF23" i="12"/>
  <c r="BF25" i="12"/>
  <c r="BF22" i="12"/>
  <c r="T10" i="12"/>
  <c r="W41" i="12"/>
  <c r="W60" i="12"/>
  <c r="W26" i="12"/>
  <c r="W51" i="12"/>
  <c r="W25" i="12"/>
  <c r="W62" i="12"/>
  <c r="W37" i="12"/>
  <c r="W44" i="12"/>
  <c r="W66" i="12"/>
  <c r="W55" i="12"/>
  <c r="W32" i="12"/>
  <c r="W67" i="12"/>
  <c r="W47" i="12"/>
  <c r="W54" i="12"/>
  <c r="W29" i="12"/>
  <c r="W68" i="12"/>
  <c r="W58" i="12"/>
  <c r="W24" i="12"/>
  <c r="W43" i="12"/>
  <c r="W39" i="12"/>
  <c r="W46" i="12"/>
  <c r="V72" i="12"/>
  <c r="W72" i="12"/>
  <c r="V56" i="12"/>
  <c r="W56" i="12"/>
  <c r="W33" i="12"/>
  <c r="W45" i="12"/>
  <c r="W27" i="12"/>
  <c r="W42" i="12"/>
  <c r="W28" i="12"/>
  <c r="W34" i="12"/>
  <c r="W31" i="12"/>
  <c r="W38" i="12"/>
  <c r="W63" i="12"/>
  <c r="W70" i="12"/>
  <c r="W69" i="12"/>
  <c r="W65" i="12"/>
  <c r="W57" i="12"/>
  <c r="W52" i="12"/>
  <c r="W23" i="12"/>
  <c r="W30" i="12"/>
  <c r="V35" i="12"/>
  <c r="W35" i="12"/>
  <c r="V20" i="12"/>
  <c r="W71" i="12"/>
  <c r="W48" i="12"/>
  <c r="W40" i="12"/>
  <c r="W53" i="12"/>
  <c r="W59" i="12"/>
  <c r="W49" i="12"/>
  <c r="W36" i="12"/>
  <c r="W64" i="12"/>
  <c r="W61" i="12"/>
  <c r="W50" i="12"/>
  <c r="W22" i="12"/>
  <c r="V60" i="12"/>
  <c r="V26" i="12"/>
  <c r="T71" i="12"/>
  <c r="V71" i="12"/>
  <c r="T19" i="12"/>
  <c r="V19" i="12"/>
  <c r="T33" i="12"/>
  <c r="V33" i="12"/>
  <c r="T51" i="12"/>
  <c r="V51" i="12"/>
  <c r="T48" i="12"/>
  <c r="V48" i="12"/>
  <c r="T44" i="12"/>
  <c r="V44" i="12"/>
  <c r="T63" i="12"/>
  <c r="V63" i="12"/>
  <c r="V45" i="12"/>
  <c r="T70" i="12"/>
  <c r="V70" i="12"/>
  <c r="V66" i="12"/>
  <c r="T25" i="12"/>
  <c r="V25" i="12"/>
  <c r="V27" i="12"/>
  <c r="T40" i="12"/>
  <c r="V40" i="12"/>
  <c r="T12" i="12"/>
  <c r="T55" i="12"/>
  <c r="V55" i="12"/>
  <c r="V62" i="12"/>
  <c r="V37" i="12"/>
  <c r="V68" i="12"/>
  <c r="V58" i="12"/>
  <c r="T24" i="12"/>
  <c r="V24" i="12"/>
  <c r="V43" i="12"/>
  <c r="V39" i="12"/>
  <c r="V46" i="12"/>
  <c r="V21" i="12"/>
  <c r="V42" i="12"/>
  <c r="V47" i="12"/>
  <c r="V28" i="12"/>
  <c r="V34" i="12"/>
  <c r="V31" i="12"/>
  <c r="V38" i="12"/>
  <c r="T41" i="12"/>
  <c r="V41" i="12"/>
  <c r="T17" i="12"/>
  <c r="V67" i="12"/>
  <c r="V29" i="12"/>
  <c r="V53" i="12"/>
  <c r="V57" i="12"/>
  <c r="V52" i="12"/>
  <c r="V18" i="12"/>
  <c r="V23" i="12"/>
  <c r="V30" i="12"/>
  <c r="T69" i="12"/>
  <c r="V69" i="12"/>
  <c r="T32" i="12"/>
  <c r="V32" i="12"/>
  <c r="V54" i="12"/>
  <c r="V65" i="12"/>
  <c r="V59" i="12"/>
  <c r="V49" i="12"/>
  <c r="V36" i="12"/>
  <c r="V64" i="12"/>
  <c r="V61" i="12"/>
  <c r="V50" i="12"/>
  <c r="V22" i="12"/>
  <c r="T72" i="12"/>
  <c r="T35" i="12"/>
  <c r="T20" i="12"/>
  <c r="T56" i="12"/>
  <c r="T60" i="12"/>
  <c r="T26" i="12"/>
  <c r="T14" i="12"/>
  <c r="T66" i="12"/>
  <c r="T54" i="12"/>
  <c r="T59" i="12"/>
  <c r="T45" i="12"/>
  <c r="T27" i="12"/>
  <c r="T62" i="12"/>
  <c r="T67" i="12"/>
  <c r="T29" i="12"/>
  <c r="T68" i="12"/>
  <c r="T58" i="12"/>
  <c r="T43" i="12"/>
  <c r="T39" i="12"/>
  <c r="T46" i="12"/>
  <c r="T21" i="12"/>
  <c r="T37" i="12"/>
  <c r="T42" i="12"/>
  <c r="T47" i="12"/>
  <c r="T65" i="12"/>
  <c r="T34" i="12"/>
  <c r="T16" i="12"/>
  <c r="T11" i="12"/>
  <c r="T31" i="12"/>
  <c r="T38" i="12"/>
  <c r="T13" i="12"/>
  <c r="T28" i="12"/>
  <c r="T53" i="12"/>
  <c r="T57" i="12"/>
  <c r="T52" i="12"/>
  <c r="T18" i="12"/>
  <c r="T23" i="12"/>
  <c r="T30" i="12"/>
  <c r="T49" i="12"/>
  <c r="T36" i="12"/>
  <c r="T64" i="12"/>
  <c r="T61" i="12"/>
  <c r="T50" i="12"/>
  <c r="T15" i="12"/>
  <c r="T22" i="12"/>
  <c r="E12" i="13"/>
  <c r="F12" i="13"/>
  <c r="F11" i="13"/>
  <c r="G11" i="13"/>
  <c r="H11" i="13"/>
  <c r="D11" i="13"/>
  <c r="E11" i="13"/>
  <c r="C10" i="13"/>
  <c r="D10" i="13"/>
  <c r="B10" i="13"/>
  <c r="C8" i="13"/>
  <c r="F8" i="13"/>
  <c r="G8" i="13"/>
  <c r="H8" i="13"/>
  <c r="B8" i="13"/>
  <c r="P32" i="12" l="1"/>
  <c r="P66" i="12"/>
  <c r="P22" i="12"/>
  <c r="P23" i="12"/>
  <c r="AA51" i="12"/>
  <c r="P67" i="12"/>
  <c r="AA50" i="12"/>
  <c r="AA72" i="12"/>
  <c r="AA69" i="12"/>
  <c r="AA48" i="12"/>
  <c r="P37" i="12"/>
  <c r="P43" i="12"/>
  <c r="P29" i="12"/>
  <c r="P68" i="12"/>
  <c r="P52" i="12"/>
  <c r="P24" i="12"/>
  <c r="P64" i="12"/>
  <c r="P28" i="12"/>
  <c r="P44" i="12"/>
  <c r="N61" i="12"/>
  <c r="P60" i="12"/>
  <c r="P72" i="12"/>
  <c r="AA58" i="12"/>
  <c r="P48" i="12"/>
  <c r="P36" i="12"/>
  <c r="P62" i="12"/>
  <c r="P18" i="12"/>
  <c r="AA36" i="12"/>
  <c r="P45" i="12"/>
  <c r="P55" i="12"/>
  <c r="P69" i="12"/>
  <c r="P58" i="12"/>
  <c r="P51" i="12"/>
  <c r="P50" i="12"/>
  <c r="P27" i="12"/>
  <c r="AA44" i="12"/>
  <c r="P63" i="12"/>
  <c r="AA66" i="12"/>
  <c r="AA71" i="12"/>
  <c r="P47" i="12"/>
  <c r="U72" i="12"/>
  <c r="P46" i="12"/>
  <c r="P53" i="12"/>
  <c r="P20" i="12"/>
  <c r="P59" i="12"/>
  <c r="AA62" i="12"/>
  <c r="P30" i="12"/>
  <c r="P42" i="12"/>
  <c r="P56" i="12"/>
  <c r="P38" i="12"/>
  <c r="AA46" i="12"/>
  <c r="AA53" i="12"/>
  <c r="P65" i="12"/>
  <c r="P33" i="12"/>
  <c r="AA56" i="12"/>
  <c r="AA38" i="12"/>
  <c r="P40" i="12"/>
  <c r="P21" i="12"/>
  <c r="P41" i="12"/>
  <c r="P26" i="12"/>
  <c r="P70" i="12"/>
  <c r="P34" i="12"/>
  <c r="P31" i="12"/>
  <c r="P25" i="12"/>
  <c r="P49" i="12"/>
  <c r="P39" i="12"/>
  <c r="AA40" i="12"/>
  <c r="AA41" i="12"/>
  <c r="P61" i="12"/>
  <c r="P19" i="12"/>
  <c r="P54" i="12"/>
  <c r="P35" i="12"/>
  <c r="P57" i="12"/>
  <c r="P71" i="12"/>
  <c r="AA59" i="12"/>
  <c r="AA70" i="12"/>
  <c r="AA67" i="12"/>
  <c r="AA49" i="12"/>
  <c r="AA39" i="12"/>
  <c r="AA63" i="12"/>
  <c r="AA54" i="12"/>
  <c r="AA57" i="12"/>
  <c r="AA65" i="12"/>
  <c r="AA45" i="12"/>
  <c r="AA43" i="12"/>
  <c r="AA37" i="12"/>
  <c r="AA55" i="12"/>
  <c r="AA68" i="12"/>
  <c r="AA52" i="12"/>
  <c r="AA64" i="12"/>
  <c r="AA60" i="12"/>
  <c r="U62" i="12"/>
  <c r="U66" i="12"/>
  <c r="U70" i="12"/>
  <c r="U65" i="12"/>
  <c r="U59" i="12"/>
  <c r="N59" i="12"/>
  <c r="N11" i="12"/>
  <c r="U11" i="12"/>
  <c r="U43" i="12"/>
  <c r="N43" i="12"/>
  <c r="N49" i="12"/>
  <c r="U49" i="12"/>
  <c r="U46" i="12"/>
  <c r="N46" i="12"/>
  <c r="U48" i="12"/>
  <c r="N48" i="12"/>
  <c r="U26" i="12"/>
  <c r="N26" i="12"/>
  <c r="U69" i="12"/>
  <c r="N69" i="12"/>
  <c r="U18" i="12"/>
  <c r="N18" i="12"/>
  <c r="N70" i="12"/>
  <c r="U61" i="12"/>
  <c r="U37" i="12"/>
  <c r="N37" i="12"/>
  <c r="N65" i="12"/>
  <c r="U32" i="12"/>
  <c r="N32" i="12"/>
  <c r="U40" i="12"/>
  <c r="N40" i="12"/>
  <c r="U28" i="12"/>
  <c r="N28" i="12"/>
  <c r="U54" i="12"/>
  <c r="N54" i="12"/>
  <c r="U20" i="12"/>
  <c r="N20" i="12"/>
  <c r="U60" i="12"/>
  <c r="N60" i="12"/>
  <c r="N57" i="12"/>
  <c r="U57" i="12"/>
  <c r="U50" i="12"/>
  <c r="N50" i="12"/>
  <c r="U44" i="12"/>
  <c r="N44" i="12"/>
  <c r="U33" i="12"/>
  <c r="N33" i="12"/>
  <c r="U42" i="12"/>
  <c r="N42" i="12"/>
  <c r="U21" i="12"/>
  <c r="N21" i="12"/>
  <c r="U29" i="12"/>
  <c r="N29" i="12"/>
  <c r="U16" i="12"/>
  <c r="N16" i="12"/>
  <c r="U24" i="12"/>
  <c r="N24" i="12"/>
  <c r="U51" i="12"/>
  <c r="N51" i="12"/>
  <c r="U22" i="12"/>
  <c r="N22" i="12"/>
  <c r="U34" i="12"/>
  <c r="N34" i="12"/>
  <c r="U45" i="12"/>
  <c r="N45" i="12"/>
  <c r="U30" i="12"/>
  <c r="N30" i="12"/>
  <c r="U58" i="12"/>
  <c r="N58" i="12"/>
  <c r="N25" i="12"/>
  <c r="U25" i="12"/>
  <c r="U56" i="12"/>
  <c r="N56" i="12"/>
  <c r="U53" i="12"/>
  <c r="N53" i="12"/>
  <c r="U10" i="12"/>
  <c r="N10" i="12"/>
  <c r="U39" i="12"/>
  <c r="N39" i="12"/>
  <c r="N35" i="12"/>
  <c r="U35" i="12"/>
  <c r="U15" i="12"/>
  <c r="N15" i="12"/>
  <c r="U12" i="12"/>
  <c r="N12" i="12"/>
  <c r="U71" i="12"/>
  <c r="U64" i="12"/>
  <c r="N64" i="12"/>
  <c r="N38" i="12"/>
  <c r="U38" i="12"/>
  <c r="U27" i="12"/>
  <c r="N27" i="12"/>
  <c r="U19" i="12"/>
  <c r="N19" i="12"/>
  <c r="N14" i="12"/>
  <c r="U14" i="12"/>
  <c r="N55" i="12"/>
  <c r="U55" i="12"/>
  <c r="U41" i="12"/>
  <c r="N41" i="12"/>
  <c r="U36" i="12"/>
  <c r="N36" i="12"/>
  <c r="U68" i="12"/>
  <c r="N68" i="12"/>
  <c r="U23" i="12"/>
  <c r="N23" i="12"/>
  <c r="N9" i="12"/>
  <c r="N47" i="12"/>
  <c r="U47" i="12"/>
  <c r="U52" i="12"/>
  <c r="N52" i="12"/>
  <c r="U31" i="12"/>
  <c r="N31" i="12"/>
  <c r="N17" i="12"/>
  <c r="U17" i="12"/>
  <c r="U13" i="12"/>
  <c r="N13" i="12"/>
  <c r="C11" i="73"/>
  <c r="H12" i="13"/>
  <c r="G12" i="13"/>
  <c r="D12" i="13"/>
  <c r="H9" i="13" l="1"/>
  <c r="C111" i="1" l="1"/>
  <c r="C93" i="1"/>
  <c r="B32" i="13"/>
  <c r="D32" i="13"/>
  <c r="C32" i="13"/>
  <c r="E32" i="13"/>
  <c r="E40" i="13" s="1"/>
  <c r="G32" i="13"/>
  <c r="F32" i="13"/>
  <c r="H32" i="13"/>
  <c r="N111" i="1" l="1"/>
  <c r="O112" i="1"/>
  <c r="O111" i="1"/>
  <c r="M111" i="1"/>
  <c r="M112" i="1"/>
  <c r="N112" i="1"/>
  <c r="E10" i="29"/>
  <c r="D39" i="13"/>
  <c r="E41" i="13"/>
  <c r="D40" i="13"/>
  <c r="B37" i="13"/>
  <c r="D41" i="13"/>
  <c r="B39" i="13"/>
  <c r="C39" i="13"/>
  <c r="C37" i="13"/>
  <c r="H41" i="13"/>
  <c r="H40" i="13"/>
  <c r="H37" i="13"/>
  <c r="H38" i="13"/>
  <c r="F40" i="13"/>
  <c r="F37" i="13"/>
  <c r="F41" i="13"/>
  <c r="G37" i="13"/>
  <c r="G40" i="13"/>
  <c r="G41" i="13"/>
  <c r="B25" i="14"/>
  <c r="B27" i="14" s="1"/>
  <c r="C65" i="13"/>
  <c r="D65" i="13"/>
  <c r="E65" i="13"/>
  <c r="F65" i="13"/>
  <c r="G65" i="13"/>
  <c r="H65" i="13"/>
  <c r="C66" i="13"/>
  <c r="D66" i="13"/>
  <c r="E66" i="13"/>
  <c r="F66" i="13"/>
  <c r="G66" i="13"/>
  <c r="H66" i="13"/>
  <c r="C67" i="13"/>
  <c r="D67" i="13"/>
  <c r="E67" i="13"/>
  <c r="F67" i="13"/>
  <c r="G67" i="13"/>
  <c r="H67" i="13"/>
  <c r="C68" i="13"/>
  <c r="D68" i="13"/>
  <c r="E68" i="13"/>
  <c r="F68" i="13"/>
  <c r="G68" i="13"/>
  <c r="H68" i="13"/>
  <c r="C69" i="13"/>
  <c r="D69" i="13"/>
  <c r="E69" i="13"/>
  <c r="F69" i="13"/>
  <c r="G69" i="13"/>
  <c r="H69" i="13"/>
  <c r="C70" i="13"/>
  <c r="D70" i="13"/>
  <c r="E70" i="13"/>
  <c r="F70" i="13"/>
  <c r="G70" i="13"/>
  <c r="H70" i="13"/>
  <c r="C73" i="13"/>
  <c r="D73" i="13"/>
  <c r="E73" i="13"/>
  <c r="F73" i="13"/>
  <c r="G73" i="13"/>
  <c r="H73" i="13"/>
  <c r="C74" i="13"/>
  <c r="D74" i="13"/>
  <c r="E74" i="13"/>
  <c r="F74" i="13"/>
  <c r="G74" i="13"/>
  <c r="H74" i="13"/>
  <c r="C75" i="13"/>
  <c r="D75" i="13"/>
  <c r="E75" i="13"/>
  <c r="F75" i="13"/>
  <c r="G75" i="13"/>
  <c r="H75" i="13"/>
  <c r="C76" i="13"/>
  <c r="D76" i="13"/>
  <c r="E76" i="13"/>
  <c r="F76" i="13"/>
  <c r="G76" i="13"/>
  <c r="H76" i="13"/>
  <c r="C77" i="13"/>
  <c r="D77" i="13"/>
  <c r="E77" i="13"/>
  <c r="F77" i="13"/>
  <c r="G77" i="13"/>
  <c r="H77" i="13"/>
  <c r="C78" i="13"/>
  <c r="D78" i="13"/>
  <c r="E78" i="13"/>
  <c r="F78" i="13"/>
  <c r="G78" i="13"/>
  <c r="H78" i="13"/>
  <c r="B78" i="13"/>
  <c r="B77" i="13"/>
  <c r="B76" i="13"/>
  <c r="B75" i="13"/>
  <c r="B74" i="13"/>
  <c r="B73" i="13"/>
  <c r="B70" i="13"/>
  <c r="B69" i="13"/>
  <c r="B68" i="13"/>
  <c r="B67" i="13"/>
  <c r="B66" i="13"/>
  <c r="B65" i="13"/>
  <c r="F54" i="13"/>
  <c r="C45" i="13"/>
  <c r="B49" i="13"/>
  <c r="C28" i="13"/>
  <c r="C57" i="13" s="1"/>
  <c r="D28" i="13"/>
  <c r="D57" i="13" s="1"/>
  <c r="E28" i="13"/>
  <c r="E57" i="13" s="1"/>
  <c r="F28" i="13"/>
  <c r="F57" i="13" s="1"/>
  <c r="G28" i="13"/>
  <c r="G57" i="13" s="1"/>
  <c r="H28" i="13"/>
  <c r="H57" i="13" s="1"/>
  <c r="B28" i="13"/>
  <c r="B57" i="13" s="1"/>
  <c r="C27" i="13"/>
  <c r="C56" i="13" s="1"/>
  <c r="D27" i="13"/>
  <c r="D56" i="13" s="1"/>
  <c r="E27" i="13"/>
  <c r="E56" i="13" s="1"/>
  <c r="P56" i="13" s="1"/>
  <c r="F27" i="13"/>
  <c r="F56" i="13" s="1"/>
  <c r="G27" i="13"/>
  <c r="G56" i="13" s="1"/>
  <c r="H27" i="13"/>
  <c r="H56" i="13" s="1"/>
  <c r="B27" i="13"/>
  <c r="B56" i="13" s="1"/>
  <c r="C26" i="13"/>
  <c r="C55" i="13" s="1"/>
  <c r="D26" i="13"/>
  <c r="D55" i="13" s="1"/>
  <c r="E26" i="13"/>
  <c r="E55" i="13" s="1"/>
  <c r="F26" i="13"/>
  <c r="F55" i="13" s="1"/>
  <c r="G26" i="13"/>
  <c r="G55" i="13" s="1"/>
  <c r="H26" i="13"/>
  <c r="H55" i="13" s="1"/>
  <c r="B26" i="13"/>
  <c r="B55" i="13" s="1"/>
  <c r="C25" i="13"/>
  <c r="C54" i="13" s="1"/>
  <c r="D25" i="13"/>
  <c r="D54" i="13" s="1"/>
  <c r="E25" i="13"/>
  <c r="E54" i="13" s="1"/>
  <c r="F25" i="13"/>
  <c r="G25" i="13"/>
  <c r="G54" i="13" s="1"/>
  <c r="H25" i="13"/>
  <c r="H54" i="13" s="1"/>
  <c r="B25" i="13"/>
  <c r="B54" i="13" s="1"/>
  <c r="C24" i="13"/>
  <c r="C53" i="13" s="1"/>
  <c r="D24" i="13"/>
  <c r="D53" i="13" s="1"/>
  <c r="E24" i="13"/>
  <c r="E53" i="13" s="1"/>
  <c r="F24" i="13"/>
  <c r="F53" i="13" s="1"/>
  <c r="G24" i="13"/>
  <c r="G53" i="13" s="1"/>
  <c r="H24" i="13"/>
  <c r="H53" i="13" s="1"/>
  <c r="B24" i="13"/>
  <c r="B53" i="13" s="1"/>
  <c r="C29" i="13"/>
  <c r="C58" i="13" s="1"/>
  <c r="D29" i="13"/>
  <c r="D58" i="13" s="1"/>
  <c r="E29" i="13"/>
  <c r="E58" i="13" s="1"/>
  <c r="F29" i="13"/>
  <c r="F58" i="13" s="1"/>
  <c r="G29" i="13"/>
  <c r="G58" i="13" s="1"/>
  <c r="H29" i="13"/>
  <c r="H58" i="13" s="1"/>
  <c r="B29" i="13"/>
  <c r="B58" i="13" s="1"/>
  <c r="C20" i="13"/>
  <c r="C49" i="13" s="1"/>
  <c r="D20" i="13"/>
  <c r="D49" i="13" s="1"/>
  <c r="E20" i="13"/>
  <c r="E49" i="13" s="1"/>
  <c r="F20" i="13"/>
  <c r="F49" i="13" s="1"/>
  <c r="G20" i="13"/>
  <c r="G49" i="13" s="1"/>
  <c r="H20" i="13"/>
  <c r="H49" i="13" s="1"/>
  <c r="B20" i="13"/>
  <c r="C21" i="13"/>
  <c r="C50" i="13" s="1"/>
  <c r="D21" i="13"/>
  <c r="D50" i="13" s="1"/>
  <c r="E21" i="13"/>
  <c r="E50" i="13" s="1"/>
  <c r="F21" i="13"/>
  <c r="F50" i="13" s="1"/>
  <c r="G21" i="13"/>
  <c r="G50" i="13" s="1"/>
  <c r="H21" i="13"/>
  <c r="H50" i="13" s="1"/>
  <c r="B21" i="13"/>
  <c r="B50" i="13" s="1"/>
  <c r="C19" i="13"/>
  <c r="C48" i="13" s="1"/>
  <c r="D19" i="13"/>
  <c r="D48" i="13" s="1"/>
  <c r="E19" i="13"/>
  <c r="E48" i="13" s="1"/>
  <c r="P48" i="13" s="1"/>
  <c r="F19" i="13"/>
  <c r="F48" i="13" s="1"/>
  <c r="G19" i="13"/>
  <c r="G48" i="13" s="1"/>
  <c r="H19" i="13"/>
  <c r="H48" i="13" s="1"/>
  <c r="B19" i="13"/>
  <c r="B48" i="13" s="1"/>
  <c r="C18" i="13"/>
  <c r="C47" i="13" s="1"/>
  <c r="D18" i="13"/>
  <c r="D47" i="13" s="1"/>
  <c r="E18" i="13"/>
  <c r="E47" i="13" s="1"/>
  <c r="F18" i="13"/>
  <c r="F47" i="13" s="1"/>
  <c r="G18" i="13"/>
  <c r="G47" i="13" s="1"/>
  <c r="H18" i="13"/>
  <c r="H47" i="13" s="1"/>
  <c r="B18" i="13"/>
  <c r="B47" i="13" s="1"/>
  <c r="B17" i="13"/>
  <c r="B46" i="13" s="1"/>
  <c r="C17" i="13"/>
  <c r="C46" i="13" s="1"/>
  <c r="D17" i="13"/>
  <c r="D46" i="13" s="1"/>
  <c r="E17" i="13"/>
  <c r="E46" i="13" s="1"/>
  <c r="F17" i="13"/>
  <c r="F46" i="13" s="1"/>
  <c r="G17" i="13"/>
  <c r="G46" i="13" s="1"/>
  <c r="H17" i="13"/>
  <c r="H46" i="13" s="1"/>
  <c r="C16" i="13"/>
  <c r="D16" i="13"/>
  <c r="D45" i="13" s="1"/>
  <c r="E16" i="13"/>
  <c r="E45" i="13" s="1"/>
  <c r="F16" i="13"/>
  <c r="F45" i="13" s="1"/>
  <c r="G16" i="13"/>
  <c r="G45" i="13" s="1"/>
  <c r="H16" i="13"/>
  <c r="H45" i="13" s="1"/>
  <c r="B16" i="13"/>
  <c r="B45" i="13" s="1"/>
  <c r="L40" i="1"/>
  <c r="K44" i="5"/>
  <c r="K43" i="5" s="1"/>
  <c r="L42" i="1" l="1"/>
  <c r="L81" i="1"/>
  <c r="S76" i="1"/>
  <c r="C11" i="13"/>
  <c r="C40" i="13" s="1"/>
  <c r="N48" i="13" s="1"/>
  <c r="Q57" i="13"/>
  <c r="P49" i="13"/>
  <c r="B53" i="11"/>
  <c r="D53" i="11"/>
  <c r="F53" i="11"/>
  <c r="J53" i="11"/>
  <c r="H53" i="11"/>
  <c r="L53" i="11"/>
  <c r="L55" i="11" s="1"/>
  <c r="F46" i="11"/>
  <c r="D46" i="11"/>
  <c r="J46" i="11"/>
  <c r="H46" i="11"/>
  <c r="H29" i="11"/>
  <c r="Q29" i="11" s="1"/>
  <c r="F29" i="11"/>
  <c r="P29" i="11" s="1"/>
  <c r="B29" i="11"/>
  <c r="D29" i="11"/>
  <c r="O29" i="11" s="1"/>
  <c r="L46" i="11"/>
  <c r="B46" i="11"/>
  <c r="L29" i="11"/>
  <c r="S29" i="11" s="1"/>
  <c r="J29" i="11"/>
  <c r="R29" i="11" s="1"/>
  <c r="L32" i="11"/>
  <c r="S32" i="11" s="1"/>
  <c r="H32" i="11"/>
  <c r="Q32" i="11" s="1"/>
  <c r="D32" i="11"/>
  <c r="O32" i="11" s="1"/>
  <c r="B32" i="11"/>
  <c r="F49" i="11"/>
  <c r="L49" i="11"/>
  <c r="H49" i="11"/>
  <c r="B49" i="11"/>
  <c r="J49" i="11"/>
  <c r="J32" i="11"/>
  <c r="R32" i="11" s="1"/>
  <c r="D49" i="11"/>
  <c r="F32" i="11"/>
  <c r="P32" i="11" s="1"/>
  <c r="B43" i="11"/>
  <c r="C43" i="11" s="1"/>
  <c r="D43" i="11"/>
  <c r="H43" i="11"/>
  <c r="J26" i="11"/>
  <c r="R26" i="11" s="1"/>
  <c r="H26" i="11"/>
  <c r="Q26" i="11" s="1"/>
  <c r="B26" i="11"/>
  <c r="L26" i="11"/>
  <c r="S26" i="11" s="1"/>
  <c r="F26" i="11"/>
  <c r="P26" i="11" s="1"/>
  <c r="L43" i="11"/>
  <c r="D26" i="11"/>
  <c r="O26" i="11" s="1"/>
  <c r="F43" i="11"/>
  <c r="J43" i="11"/>
  <c r="H48" i="11"/>
  <c r="H31" i="11"/>
  <c r="Q31" i="11" s="1"/>
  <c r="D48" i="11"/>
  <c r="J31" i="11"/>
  <c r="R31" i="11" s="1"/>
  <c r="L31" i="11"/>
  <c r="S31" i="11" s="1"/>
  <c r="B31" i="11"/>
  <c r="L48" i="11"/>
  <c r="J48" i="11"/>
  <c r="F31" i="11"/>
  <c r="P31" i="11" s="1"/>
  <c r="D31" i="11"/>
  <c r="O31" i="11" s="1"/>
  <c r="F48" i="11"/>
  <c r="B48" i="11"/>
  <c r="J51" i="11"/>
  <c r="B34" i="11"/>
  <c r="D51" i="11"/>
  <c r="J34" i="11"/>
  <c r="R34" i="11" s="1"/>
  <c r="F51" i="11"/>
  <c r="F34" i="11"/>
  <c r="P34" i="11" s="1"/>
  <c r="L51" i="11"/>
  <c r="B51" i="11"/>
  <c r="L34" i="11"/>
  <c r="S34" i="11" s="1"/>
  <c r="H34" i="11"/>
  <c r="Q34" i="11" s="1"/>
  <c r="H51" i="11"/>
  <c r="D34" i="11"/>
  <c r="O34" i="11" s="1"/>
  <c r="F33" i="11"/>
  <c r="P33" i="11" s="1"/>
  <c r="D33" i="11"/>
  <c r="O33" i="11" s="1"/>
  <c r="J33" i="11"/>
  <c r="R33" i="11" s="1"/>
  <c r="L33" i="11"/>
  <c r="S33" i="11" s="1"/>
  <c r="L50" i="11"/>
  <c r="F50" i="11"/>
  <c r="H33" i="11"/>
  <c r="Q33" i="11" s="1"/>
  <c r="B33" i="11"/>
  <c r="B50" i="11"/>
  <c r="J50" i="11"/>
  <c r="H50" i="11"/>
  <c r="D50" i="11"/>
  <c r="J28" i="11"/>
  <c r="R28" i="11" s="1"/>
  <c r="J45" i="11"/>
  <c r="B45" i="11"/>
  <c r="F28" i="11"/>
  <c r="P28" i="11" s="1"/>
  <c r="L28" i="11"/>
  <c r="S28" i="11" s="1"/>
  <c r="L45" i="11"/>
  <c r="F45" i="11"/>
  <c r="D28" i="11"/>
  <c r="O28" i="11" s="1"/>
  <c r="H28" i="11"/>
  <c r="Q28" i="11" s="1"/>
  <c r="H45" i="11"/>
  <c r="D45" i="11"/>
  <c r="B28" i="11"/>
  <c r="D47" i="11"/>
  <c r="L47" i="11"/>
  <c r="F30" i="11"/>
  <c r="P30" i="11" s="1"/>
  <c r="B30" i="11"/>
  <c r="H30" i="11"/>
  <c r="B47" i="11"/>
  <c r="C47" i="11" s="1"/>
  <c r="D30" i="11"/>
  <c r="O30" i="11" s="1"/>
  <c r="F47" i="11"/>
  <c r="L30" i="11"/>
  <c r="S30" i="11" s="1"/>
  <c r="H47" i="11"/>
  <c r="J30" i="11"/>
  <c r="J47" i="11"/>
  <c r="F35" i="11"/>
  <c r="P35" i="11" s="1"/>
  <c r="F52" i="11"/>
  <c r="B35" i="11"/>
  <c r="D52" i="11"/>
  <c r="E52" i="11" s="1"/>
  <c r="D35" i="11"/>
  <c r="O35" i="11" s="1"/>
  <c r="L52" i="11"/>
  <c r="H35" i="11"/>
  <c r="Q35" i="11" s="1"/>
  <c r="J52" i="11"/>
  <c r="B52" i="11"/>
  <c r="C52" i="11" s="1"/>
  <c r="J35" i="11"/>
  <c r="R35" i="11" s="1"/>
  <c r="H52" i="11"/>
  <c r="I52" i="11" s="1"/>
  <c r="D42" i="11"/>
  <c r="F25" i="11"/>
  <c r="P25" i="11" s="1"/>
  <c r="F42" i="11"/>
  <c r="H25" i="11"/>
  <c r="Q25" i="11" s="1"/>
  <c r="D25" i="11"/>
  <c r="O25" i="11" s="1"/>
  <c r="B25" i="11"/>
  <c r="J25" i="11"/>
  <c r="R25" i="11" s="1"/>
  <c r="H42" i="11"/>
  <c r="L25" i="11"/>
  <c r="S25" i="11" s="1"/>
  <c r="J42" i="11"/>
  <c r="F44" i="11"/>
  <c r="L44" i="11"/>
  <c r="B44" i="11"/>
  <c r="C44" i="11" s="1"/>
  <c r="H27" i="11"/>
  <c r="H44" i="11"/>
  <c r="I44" i="11" s="1"/>
  <c r="J27" i="11"/>
  <c r="F27" i="11"/>
  <c r="P27" i="11" s="1"/>
  <c r="J44" i="11"/>
  <c r="K44" i="11" s="1"/>
  <c r="D27" i="11"/>
  <c r="O27" i="11" s="1"/>
  <c r="L27" i="11"/>
  <c r="S27" i="11" s="1"/>
  <c r="B27" i="11"/>
  <c r="D44" i="11"/>
  <c r="O47" i="13"/>
  <c r="O55" i="13"/>
  <c r="M45" i="13"/>
  <c r="O48" i="13"/>
  <c r="O56" i="13"/>
  <c r="P57" i="13"/>
  <c r="M53" i="13"/>
  <c r="S54" i="13"/>
  <c r="O57" i="13"/>
  <c r="N47" i="13"/>
  <c r="R49" i="13"/>
  <c r="N55" i="13"/>
  <c r="M47" i="13"/>
  <c r="M55" i="13"/>
  <c r="R57" i="13"/>
  <c r="O49" i="13"/>
  <c r="N45" i="13"/>
  <c r="N53" i="13"/>
  <c r="S56" i="13"/>
  <c r="R48" i="13"/>
  <c r="S45" i="13"/>
  <c r="E10" i="13"/>
  <c r="E39" i="13" s="1"/>
  <c r="P55" i="13" s="1"/>
  <c r="Q45" i="13"/>
  <c r="S53" i="13"/>
  <c r="Q53" i="13"/>
  <c r="Q49" i="13"/>
  <c r="R56" i="13"/>
  <c r="Q56" i="13"/>
  <c r="R45" i="13"/>
  <c r="R53" i="13"/>
  <c r="Q99" i="1"/>
  <c r="S49" i="13"/>
  <c r="S46" i="13"/>
  <c r="Q48" i="13"/>
  <c r="F10" i="13"/>
  <c r="F39" i="13" s="1"/>
  <c r="Q55" i="13" s="1"/>
  <c r="S48" i="13"/>
  <c r="S57" i="13"/>
  <c r="K47" i="11" l="1"/>
  <c r="I50" i="11"/>
  <c r="G44" i="11"/>
  <c r="I47" i="11"/>
  <c r="K50" i="11"/>
  <c r="G52" i="11"/>
  <c r="J55" i="11"/>
  <c r="K30" i="11"/>
  <c r="R30" i="11"/>
  <c r="E55" i="11"/>
  <c r="D55" i="11"/>
  <c r="K27" i="11"/>
  <c r="R27" i="11"/>
  <c r="E44" i="11"/>
  <c r="I27" i="11"/>
  <c r="Q27" i="11"/>
  <c r="I30" i="11"/>
  <c r="Q30" i="11"/>
  <c r="C27" i="11"/>
  <c r="C30" i="11"/>
  <c r="E50" i="11"/>
  <c r="I45" i="11"/>
  <c r="I34" i="11"/>
  <c r="G34" i="11"/>
  <c r="C34" i="11"/>
  <c r="C46" i="11"/>
  <c r="E46" i="11"/>
  <c r="N56" i="13"/>
  <c r="K28" i="11"/>
  <c r="C50" i="11"/>
  <c r="K45" i="11"/>
  <c r="K51" i="11"/>
  <c r="C51" i="11"/>
  <c r="G32" i="11"/>
  <c r="G30" i="11"/>
  <c r="K33" i="11"/>
  <c r="G50" i="11"/>
  <c r="K52" i="11"/>
  <c r="E33" i="11"/>
  <c r="E43" i="11"/>
  <c r="C31" i="11"/>
  <c r="E26" i="11"/>
  <c r="G49" i="11"/>
  <c r="E28" i="11"/>
  <c r="E48" i="11"/>
  <c r="E31" i="11"/>
  <c r="G47" i="11"/>
  <c r="I28" i="11"/>
  <c r="G46" i="11"/>
  <c r="C48" i="11"/>
  <c r="K31" i="11"/>
  <c r="G26" i="11"/>
  <c r="C32" i="11"/>
  <c r="E29" i="11"/>
  <c r="G35" i="11"/>
  <c r="G36" i="11"/>
  <c r="E27" i="11"/>
  <c r="I35" i="11"/>
  <c r="I36" i="11"/>
  <c r="G45" i="11"/>
  <c r="G48" i="11"/>
  <c r="E49" i="11"/>
  <c r="E32" i="11"/>
  <c r="C29" i="11"/>
  <c r="I53" i="11"/>
  <c r="K35" i="11"/>
  <c r="K36" i="11"/>
  <c r="I31" i="11"/>
  <c r="C26" i="11"/>
  <c r="K32" i="11"/>
  <c r="I32" i="11"/>
  <c r="G29" i="11"/>
  <c r="K53" i="11"/>
  <c r="G27" i="11"/>
  <c r="E35" i="11"/>
  <c r="E36" i="11"/>
  <c r="E47" i="11"/>
  <c r="G33" i="11"/>
  <c r="G51" i="11"/>
  <c r="G31" i="11"/>
  <c r="I48" i="11"/>
  <c r="I26" i="11"/>
  <c r="K49" i="11"/>
  <c r="I29" i="11"/>
  <c r="G53" i="11"/>
  <c r="C28" i="11"/>
  <c r="G28" i="11"/>
  <c r="C33" i="11"/>
  <c r="E34" i="11"/>
  <c r="K34" i="11"/>
  <c r="K48" i="11"/>
  <c r="K43" i="11"/>
  <c r="K26" i="11"/>
  <c r="C49" i="11"/>
  <c r="K29" i="11"/>
  <c r="I46" i="11"/>
  <c r="E53" i="11"/>
  <c r="C35" i="11"/>
  <c r="C36" i="11"/>
  <c r="E30" i="11"/>
  <c r="E45" i="11"/>
  <c r="C45" i="11"/>
  <c r="I33" i="11"/>
  <c r="I51" i="11"/>
  <c r="E51" i="11"/>
  <c r="G43" i="11"/>
  <c r="I43" i="11"/>
  <c r="I49" i="11"/>
  <c r="K46" i="11"/>
  <c r="C53" i="11"/>
  <c r="L59" i="11"/>
  <c r="L61" i="11"/>
  <c r="L58" i="11"/>
  <c r="H58" i="11"/>
  <c r="H59" i="11"/>
  <c r="H61" i="11"/>
  <c r="J58" i="11"/>
  <c r="J61" i="11"/>
  <c r="J59" i="11"/>
  <c r="F61" i="11"/>
  <c r="F58" i="11"/>
  <c r="F59" i="11"/>
  <c r="D61" i="11"/>
  <c r="D59" i="11"/>
  <c r="D58" i="11"/>
  <c r="B13" i="13"/>
  <c r="B42" i="13" s="1"/>
  <c r="M50" i="13" s="1"/>
  <c r="P47" i="13"/>
  <c r="E9" i="13"/>
  <c r="E38" i="13" s="1"/>
  <c r="Q47" i="13"/>
  <c r="G10" i="13"/>
  <c r="G39" i="13" s="1"/>
  <c r="M58" i="13" l="1"/>
  <c r="P54" i="13"/>
  <c r="P46" i="13"/>
  <c r="R55" i="13"/>
  <c r="R47" i="13"/>
  <c r="H10" i="13"/>
  <c r="H39" i="13" s="1"/>
  <c r="Q45" i="5"/>
  <c r="Q47" i="5"/>
  <c r="S47" i="13" l="1"/>
  <c r="S55" i="13"/>
  <c r="D8" i="13" l="1"/>
  <c r="D37" i="13" s="1"/>
  <c r="CC54" i="12" l="1"/>
  <c r="O61" i="12"/>
  <c r="O67" i="12"/>
  <c r="O59" i="12"/>
  <c r="O69" i="12"/>
  <c r="M68" i="12"/>
  <c r="O68" i="12"/>
  <c r="O58" i="12"/>
  <c r="O72" i="12"/>
  <c r="O65" i="12"/>
  <c r="O57" i="12"/>
  <c r="O48" i="12"/>
  <c r="O66" i="12"/>
  <c r="O71" i="12"/>
  <c r="O64" i="12"/>
  <c r="O56" i="12"/>
  <c r="O47" i="12"/>
  <c r="O70" i="12"/>
  <c r="O55" i="12"/>
  <c r="M60" i="12"/>
  <c r="O60" i="12"/>
  <c r="O63" i="12"/>
  <c r="O62" i="12"/>
  <c r="M52" i="12"/>
  <c r="M69" i="12"/>
  <c r="M61" i="12"/>
  <c r="M53" i="12"/>
  <c r="M44" i="12"/>
  <c r="O40" i="12"/>
  <c r="M43" i="12"/>
  <c r="O53" i="12"/>
  <c r="M70" i="12"/>
  <c r="M63" i="12"/>
  <c r="M55" i="12"/>
  <c r="M46" i="12"/>
  <c r="M38" i="12"/>
  <c r="M54" i="12"/>
  <c r="M45" i="12"/>
  <c r="M37" i="12"/>
  <c r="M66" i="12"/>
  <c r="M58" i="12"/>
  <c r="M64" i="12"/>
  <c r="M47" i="12"/>
  <c r="M39" i="12"/>
  <c r="M59" i="12"/>
  <c r="M51" i="12"/>
  <c r="M56" i="12"/>
  <c r="M65" i="12"/>
  <c r="M57" i="12"/>
  <c r="M48" i="12"/>
  <c r="M40" i="12"/>
  <c r="M32" i="12"/>
  <c r="M72" i="12"/>
  <c r="M71" i="12"/>
  <c r="CC53" i="12"/>
  <c r="M67" i="12"/>
  <c r="M62" i="12"/>
  <c r="O45" i="13"/>
  <c r="O53" i="13"/>
  <c r="L37" i="5"/>
  <c r="L38" i="5" l="1"/>
  <c r="L78" i="5"/>
  <c r="O31" i="12"/>
  <c r="O34" i="12"/>
  <c r="O50" i="12"/>
  <c r="O13" i="12"/>
  <c r="M41" i="12"/>
  <c r="O41" i="12"/>
  <c r="O36" i="12"/>
  <c r="M20" i="12"/>
  <c r="O20" i="12"/>
  <c r="O54" i="12"/>
  <c r="O37" i="12"/>
  <c r="M29" i="12"/>
  <c r="O28" i="12"/>
  <c r="O39" i="12"/>
  <c r="O24" i="12"/>
  <c r="O46" i="12"/>
  <c r="O38" i="12"/>
  <c r="M19" i="12"/>
  <c r="O18" i="12"/>
  <c r="M36" i="12"/>
  <c r="O35" i="12"/>
  <c r="O45" i="12"/>
  <c r="O51" i="12"/>
  <c r="O29" i="12"/>
  <c r="M30" i="12"/>
  <c r="O30" i="12"/>
  <c r="O44" i="12"/>
  <c r="O15" i="12"/>
  <c r="O25" i="12"/>
  <c r="O14" i="12"/>
  <c r="M27" i="12"/>
  <c r="O26" i="12"/>
  <c r="O52" i="12"/>
  <c r="O32" i="12"/>
  <c r="O42" i="12"/>
  <c r="M50" i="12"/>
  <c r="O49" i="12"/>
  <c r="M33" i="12"/>
  <c r="O33" i="12"/>
  <c r="M22" i="12"/>
  <c r="O22" i="12"/>
  <c r="O23" i="12"/>
  <c r="M16" i="12"/>
  <c r="O16" i="12"/>
  <c r="O19" i="12"/>
  <c r="O21" i="12"/>
  <c r="O27" i="12"/>
  <c r="O43" i="12"/>
  <c r="M24" i="12"/>
  <c r="M21" i="12"/>
  <c r="CC52" i="12"/>
  <c r="M9" i="12"/>
  <c r="M31" i="12"/>
  <c r="M49" i="12"/>
  <c r="M25" i="12"/>
  <c r="M17" i="12"/>
  <c r="M11" i="12"/>
  <c r="M23" i="12"/>
  <c r="M28" i="12"/>
  <c r="CC51" i="12"/>
  <c r="M35" i="12"/>
  <c r="M12" i="12"/>
  <c r="M10" i="12"/>
  <c r="M18" i="12"/>
  <c r="M34" i="12"/>
  <c r="M14" i="12"/>
  <c r="M13" i="12"/>
  <c r="M42" i="12"/>
  <c r="M15" i="12"/>
  <c r="M26" i="12"/>
  <c r="CC13" i="12"/>
  <c r="N24" i="5" l="1"/>
  <c r="N67" i="5"/>
  <c r="D15" i="14"/>
  <c r="B106" i="5"/>
  <c r="N70" i="5" l="1"/>
  <c r="N26" i="5"/>
  <c r="G48" i="5"/>
  <c r="G88" i="5" s="1"/>
  <c r="S88" i="5" s="1"/>
  <c r="K37" i="5" l="1"/>
  <c r="J37" i="5"/>
  <c r="I37" i="5"/>
  <c r="H37" i="5"/>
  <c r="G37" i="5"/>
  <c r="G38" i="5" l="1"/>
  <c r="G78" i="5"/>
  <c r="H38" i="5"/>
  <c r="H78" i="5"/>
  <c r="I38" i="5"/>
  <c r="I78" i="5"/>
  <c r="J38" i="5"/>
  <c r="J78" i="5"/>
  <c r="K38" i="5"/>
  <c r="K78" i="5"/>
  <c r="H21" i="5"/>
  <c r="I21" i="5"/>
  <c r="G21" i="5"/>
  <c r="G24" i="5" l="1"/>
  <c r="G67" i="5"/>
  <c r="M24" i="5"/>
  <c r="M67" i="5"/>
  <c r="L24" i="5"/>
  <c r="L67" i="5"/>
  <c r="K24" i="5"/>
  <c r="K67" i="5"/>
  <c r="I24" i="5"/>
  <c r="I67" i="5"/>
  <c r="H24" i="5"/>
  <c r="H67" i="5"/>
  <c r="O24" i="5"/>
  <c r="O26" i="5" s="1"/>
  <c r="O67" i="5"/>
  <c r="P24" i="5"/>
  <c r="P26" i="5" s="1"/>
  <c r="P67" i="5"/>
  <c r="B111" i="5"/>
  <c r="B110" i="5"/>
  <c r="B105" i="5"/>
  <c r="B101" i="5"/>
  <c r="B100" i="5"/>
  <c r="B96" i="5"/>
  <c r="B95" i="5"/>
  <c r="M54" i="5"/>
  <c r="L54" i="5"/>
  <c r="K54" i="5"/>
  <c r="J54" i="5"/>
  <c r="I54" i="5"/>
  <c r="H54" i="5"/>
  <c r="G54" i="5"/>
  <c r="F54" i="5"/>
  <c r="E54" i="5"/>
  <c r="D54" i="5"/>
  <c r="C54" i="5"/>
  <c r="B54" i="5"/>
  <c r="H26" i="5" l="1"/>
  <c r="H70" i="5"/>
  <c r="I26" i="5"/>
  <c r="I70" i="5"/>
  <c r="K26" i="5"/>
  <c r="K70" i="5"/>
  <c r="L26" i="5"/>
  <c r="L70" i="5"/>
  <c r="M26" i="5"/>
  <c r="M70" i="5"/>
  <c r="G26" i="5"/>
  <c r="G70" i="5"/>
  <c r="E15" i="14"/>
  <c r="O70" i="5"/>
  <c r="F15" i="14"/>
  <c r="P70" i="5"/>
  <c r="B109" i="5"/>
  <c r="B107" i="5"/>
  <c r="B104" i="5"/>
  <c r="B102" i="5"/>
  <c r="B103" i="5"/>
  <c r="B99" i="5"/>
  <c r="B98" i="5"/>
  <c r="B108" i="5"/>
  <c r="B94" i="5"/>
  <c r="B97" i="5"/>
  <c r="H41" i="1"/>
  <c r="H82" i="1" s="1"/>
  <c r="F111" i="1" l="1"/>
  <c r="K40" i="1"/>
  <c r="K42" i="1" l="1"/>
  <c r="K81" i="1"/>
  <c r="R81" i="1" s="1"/>
  <c r="R76" i="1"/>
  <c r="B11" i="13"/>
  <c r="B40" i="13" s="1"/>
  <c r="J108" i="1"/>
  <c r="F94" i="1"/>
  <c r="I98" i="1"/>
  <c r="I108" i="1"/>
  <c r="J94" i="1"/>
  <c r="F93" i="1"/>
  <c r="D98" i="1"/>
  <c r="I111" i="1"/>
  <c r="E98" i="1"/>
  <c r="L108" i="1"/>
  <c r="M98" i="1"/>
  <c r="J58" i="5"/>
  <c r="J61" i="5"/>
  <c r="K64" i="5"/>
  <c r="K61" i="5"/>
  <c r="K58" i="5"/>
  <c r="K62" i="5"/>
  <c r="K65" i="5"/>
  <c r="K60" i="5"/>
  <c r="L64" i="5"/>
  <c r="L60" i="5"/>
  <c r="L61" i="5"/>
  <c r="L58" i="5"/>
  <c r="L62" i="5"/>
  <c r="L65" i="5"/>
  <c r="N60" i="5"/>
  <c r="N61" i="5"/>
  <c r="N65" i="5"/>
  <c r="N64" i="5"/>
  <c r="N58" i="5"/>
  <c r="N62" i="5"/>
  <c r="I58" i="5"/>
  <c r="I61" i="5"/>
  <c r="G61" i="5"/>
  <c r="G58" i="5"/>
  <c r="M60" i="5"/>
  <c r="M61" i="5"/>
  <c r="M65" i="5"/>
  <c r="M64" i="5"/>
  <c r="M58" i="5"/>
  <c r="M62" i="5"/>
  <c r="H58" i="5"/>
  <c r="H61" i="5"/>
  <c r="K98" i="1"/>
  <c r="H93" i="1"/>
  <c r="H94" i="1"/>
  <c r="G98" i="1"/>
  <c r="H98" i="1"/>
  <c r="J93" i="1"/>
  <c r="L98" i="1"/>
  <c r="M108" i="1"/>
  <c r="C94" i="1"/>
  <c r="G93" i="1"/>
  <c r="G94" i="1"/>
  <c r="F98" i="1"/>
  <c r="D111" i="1"/>
  <c r="C98" i="1"/>
  <c r="H111" i="1"/>
  <c r="D93" i="1"/>
  <c r="J98" i="1"/>
  <c r="D94" i="1"/>
  <c r="E93" i="1"/>
  <c r="G111" i="1"/>
  <c r="H108" i="1"/>
  <c r="E111" i="1"/>
  <c r="K108" i="1"/>
  <c r="J111" i="1"/>
  <c r="I93" i="1"/>
  <c r="K111" i="1"/>
  <c r="L111" i="1"/>
  <c r="I94" i="1"/>
  <c r="E94" i="1"/>
  <c r="M107" i="1"/>
  <c r="L107" i="1" l="1"/>
  <c r="H113" i="5"/>
  <c r="M105" i="5"/>
  <c r="L109" i="5"/>
  <c r="L114" i="5"/>
  <c r="L120" i="5"/>
  <c r="L113" i="5"/>
  <c r="K114" i="5"/>
  <c r="K117" i="5"/>
  <c r="L117" i="5"/>
  <c r="K115" i="5"/>
  <c r="L115" i="5"/>
  <c r="M48" i="13"/>
  <c r="M56" i="13"/>
  <c r="I107" i="5"/>
  <c r="I110" i="5"/>
  <c r="M127" i="5"/>
  <c r="K126" i="5"/>
  <c r="H115" i="5"/>
  <c r="H99" i="5"/>
  <c r="G105" i="5"/>
  <c r="L105" i="5"/>
  <c r="M109" i="5"/>
  <c r="L98" i="5"/>
  <c r="M99" i="5"/>
  <c r="M107" i="5"/>
  <c r="K120" i="5"/>
  <c r="H109" i="5"/>
  <c r="K125" i="5"/>
  <c r="G107" i="5"/>
  <c r="M96" i="5"/>
  <c r="L110" i="5"/>
  <c r="K124" i="5"/>
  <c r="H127" i="5"/>
  <c r="M126" i="5"/>
  <c r="K96" i="5"/>
  <c r="M98" i="5"/>
  <c r="K113" i="5"/>
  <c r="K109" i="5"/>
  <c r="L99" i="5"/>
  <c r="L103" i="5"/>
  <c r="L100" i="5"/>
  <c r="L126" i="5"/>
  <c r="H114" i="5"/>
  <c r="H105" i="5"/>
  <c r="N107" i="5"/>
  <c r="J110" i="5"/>
  <c r="H117" i="5"/>
  <c r="J107" i="5"/>
  <c r="M125" i="5"/>
  <c r="L124" i="5"/>
  <c r="H120" i="5"/>
  <c r="H124" i="5"/>
  <c r="L125" i="5"/>
  <c r="M102" i="5"/>
  <c r="H125" i="5"/>
  <c r="L96" i="5"/>
  <c r="H96" i="5"/>
  <c r="M124" i="5"/>
  <c r="K99" i="5"/>
  <c r="M100" i="5"/>
  <c r="L107" i="5"/>
  <c r="H126" i="5"/>
  <c r="G120" i="5"/>
  <c r="K105" i="5"/>
  <c r="K127" i="5"/>
  <c r="L127" i="5"/>
  <c r="I105" i="5"/>
  <c r="I117" i="5"/>
  <c r="I109" i="5"/>
  <c r="I99" i="5"/>
  <c r="I126" i="5"/>
  <c r="I125" i="5"/>
  <c r="I124" i="5"/>
  <c r="I114" i="5"/>
  <c r="I120" i="5"/>
  <c r="I113" i="5"/>
  <c r="I127" i="5"/>
  <c r="I115" i="5"/>
  <c r="I96" i="5"/>
  <c r="N105" i="5"/>
  <c r="N106" i="5"/>
  <c r="N100" i="5"/>
  <c r="N127" i="5"/>
  <c r="N126" i="5"/>
  <c r="N102" i="5"/>
  <c r="N125" i="5"/>
  <c r="N124" i="5"/>
  <c r="K110" i="5"/>
  <c r="K107" i="5"/>
  <c r="H110" i="5"/>
  <c r="H107" i="5"/>
  <c r="M110" i="5"/>
  <c r="J105" i="5"/>
  <c r="J117" i="5"/>
  <c r="J113" i="5"/>
  <c r="J125" i="5"/>
  <c r="J99" i="5"/>
  <c r="J124" i="5"/>
  <c r="J114" i="5"/>
  <c r="J109" i="5"/>
  <c r="J127" i="5"/>
  <c r="J115" i="5"/>
  <c r="J96" i="5"/>
  <c r="J120" i="5"/>
  <c r="J126" i="5"/>
  <c r="O107" i="5"/>
  <c r="O127" i="5"/>
  <c r="O124" i="5"/>
  <c r="O62" i="5"/>
  <c r="O100" i="5" s="1"/>
  <c r="O125" i="5"/>
  <c r="O64" i="5"/>
  <c r="O102" i="5" s="1"/>
  <c r="O126" i="5"/>
  <c r="O105" i="5"/>
  <c r="P107" i="5" l="1"/>
  <c r="P127" i="5"/>
  <c r="P124" i="5"/>
  <c r="P125" i="5"/>
  <c r="P126" i="5"/>
  <c r="P64" i="5"/>
  <c r="P102" i="5" s="1"/>
  <c r="P62" i="5"/>
  <c r="P100" i="5" s="1"/>
  <c r="P108" i="1" l="1"/>
  <c r="Q108" i="1"/>
  <c r="P105" i="5"/>
  <c r="B92" i="1"/>
  <c r="B93" i="1"/>
  <c r="B99" i="1"/>
  <c r="B113" i="1"/>
  <c r="P96" i="1"/>
  <c r="C17" i="1" l="1"/>
  <c r="C65" i="1" s="1"/>
  <c r="D17" i="1"/>
  <c r="D65" i="1" s="1"/>
  <c r="E17" i="1"/>
  <c r="E65" i="1" s="1"/>
  <c r="F17" i="1"/>
  <c r="F65" i="1" s="1"/>
  <c r="G17" i="1"/>
  <c r="G65" i="1" s="1"/>
  <c r="H17" i="1"/>
  <c r="H65" i="1" s="1"/>
  <c r="B17" i="1"/>
  <c r="B65" i="1" s="1"/>
  <c r="I99" i="1" l="1"/>
  <c r="H21" i="28"/>
  <c r="H22" i="28" s="1"/>
  <c r="G21" i="28"/>
  <c r="G22" i="28" s="1"/>
  <c r="F99" i="1"/>
  <c r="F21" i="28"/>
  <c r="F22" i="28" s="1"/>
  <c r="D99" i="1"/>
  <c r="L99" i="1"/>
  <c r="J99" i="1"/>
  <c r="M99" i="1"/>
  <c r="F11" i="48" s="1"/>
  <c r="C99" i="1"/>
  <c r="E99" i="1"/>
  <c r="K99" i="1"/>
  <c r="B94" i="1"/>
  <c r="B95" i="1"/>
  <c r="C48" i="1"/>
  <c r="C87" i="1" s="1"/>
  <c r="D48" i="1"/>
  <c r="D87" i="1" s="1"/>
  <c r="E48" i="1"/>
  <c r="E87" i="1" s="1"/>
  <c r="F48" i="1"/>
  <c r="F87" i="1" s="1"/>
  <c r="G48" i="1"/>
  <c r="G87" i="1" s="1"/>
  <c r="H48" i="1"/>
  <c r="H87" i="1" s="1"/>
  <c r="I48" i="1"/>
  <c r="I87" i="1" s="1"/>
  <c r="B12" i="13"/>
  <c r="B41" i="13" s="1"/>
  <c r="B48" i="1"/>
  <c r="B87" i="1" s="1"/>
  <c r="G99" i="1" l="1"/>
  <c r="H99" i="1"/>
  <c r="C12" i="13"/>
  <c r="C41" i="13" s="1"/>
  <c r="N57" i="13" s="1"/>
  <c r="M57" i="13"/>
  <c r="M49" i="13"/>
  <c r="C11" i="29" l="1"/>
  <c r="C10" i="29"/>
  <c r="N49" i="13"/>
  <c r="H112" i="1"/>
  <c r="J112" i="1"/>
  <c r="B9" i="13"/>
  <c r="B38" i="13" s="1"/>
  <c r="M54" i="13" s="1"/>
  <c r="C9" i="13"/>
  <c r="C38" i="13" s="1"/>
  <c r="L112" i="1"/>
  <c r="F112" i="1"/>
  <c r="D112" i="1"/>
  <c r="I112" i="1"/>
  <c r="K112" i="1"/>
  <c r="G112" i="1"/>
  <c r="C112" i="1"/>
  <c r="E112" i="1"/>
  <c r="M55" i="1"/>
  <c r="B55" i="1"/>
  <c r="C55" i="1"/>
  <c r="D55" i="1"/>
  <c r="E55" i="1"/>
  <c r="F55" i="1"/>
  <c r="G55" i="1"/>
  <c r="H55" i="1"/>
  <c r="I55" i="1"/>
  <c r="J55" i="1"/>
  <c r="K55" i="1"/>
  <c r="L55" i="1"/>
  <c r="M46" i="13" l="1"/>
  <c r="N46" i="13"/>
  <c r="N54" i="13"/>
  <c r="B112" i="1"/>
  <c r="B96" i="1"/>
  <c r="B110" i="1"/>
  <c r="B100" i="1"/>
  <c r="B97" i="1"/>
  <c r="B101" i="1"/>
  <c r="B103" i="1"/>
  <c r="B111" i="1"/>
  <c r="B98" i="1"/>
  <c r="B102" i="1"/>
  <c r="J40" i="1" l="1"/>
  <c r="I40" i="1"/>
  <c r="H40" i="1"/>
  <c r="G40" i="1"/>
  <c r="F40" i="1"/>
  <c r="K93" i="1"/>
  <c r="F81" i="1" l="1"/>
  <c r="G81" i="1"/>
  <c r="G107" i="1" s="1"/>
  <c r="H81" i="1"/>
  <c r="I42" i="1"/>
  <c r="I81" i="1"/>
  <c r="J42" i="1"/>
  <c r="J81" i="1"/>
  <c r="J107" i="1" l="1"/>
  <c r="I107" i="1"/>
  <c r="K107" i="1"/>
  <c r="H107" i="1"/>
  <c r="L93" i="1"/>
  <c r="N107" i="1"/>
  <c r="K94" i="1" l="1"/>
  <c r="C13" i="13"/>
  <c r="C42" i="13" s="1"/>
  <c r="N50" i="13" s="1"/>
  <c r="N58" i="13" l="1"/>
  <c r="M93" i="1"/>
  <c r="N108" i="1" l="1"/>
  <c r="O108" i="1"/>
  <c r="D9" i="13" l="1"/>
  <c r="D38" i="13" s="1"/>
  <c r="O46" i="13" l="1"/>
  <c r="O54" i="13"/>
  <c r="N99" i="1" l="1"/>
  <c r="F12" i="48" s="1"/>
  <c r="E8" i="13"/>
  <c r="E37" i="13" s="1"/>
  <c r="P53" i="13" s="1"/>
  <c r="O99" i="1"/>
  <c r="F13" i="48" s="1"/>
  <c r="N98" i="1"/>
  <c r="P45" i="13" l="1"/>
  <c r="I21" i="15" l="1"/>
  <c r="E40" i="15"/>
  <c r="C43" i="15" l="1"/>
  <c r="B43" i="15"/>
  <c r="B47" i="15" s="1"/>
  <c r="B40" i="15" s="1"/>
  <c r="C46" i="15" l="1"/>
  <c r="C42" i="15"/>
  <c r="C47" i="15"/>
  <c r="C41" i="15"/>
  <c r="C40" i="15" l="1"/>
  <c r="G9" i="13"/>
  <c r="G38" i="13" s="1"/>
  <c r="R46" i="13" l="1"/>
  <c r="R54" i="13"/>
  <c r="F9" i="13" l="1"/>
  <c r="F38" i="13" s="1"/>
  <c r="Q46" i="13" l="1"/>
  <c r="Q54" i="13"/>
  <c r="Y73" i="12" l="1"/>
  <c r="K73" i="12"/>
  <c r="BN73" i="12"/>
  <c r="BP73" i="12"/>
  <c r="Z73" i="12" l="1"/>
  <c r="O74" i="12"/>
  <c r="M74" i="12"/>
  <c r="V74" i="12"/>
  <c r="W74" i="12"/>
  <c r="O73" i="12"/>
  <c r="V73" i="12"/>
  <c r="W73" i="12"/>
  <c r="T73" i="12"/>
  <c r="M73" i="12"/>
  <c r="T74" i="12"/>
  <c r="AA73" i="12" l="1"/>
  <c r="AA74" i="12"/>
  <c r="K7" i="12"/>
  <c r="AL7" i="12"/>
  <c r="AR7" i="12" s="1"/>
  <c r="AI7" i="12"/>
  <c r="AQ7" i="12" s="1"/>
  <c r="J7" i="12"/>
  <c r="J8" i="12"/>
  <c r="AO7" i="12" l="1"/>
  <c r="O12" i="12"/>
  <c r="L7" i="12"/>
  <c r="P17" i="12" s="1"/>
  <c r="AL6" i="12"/>
  <c r="AR6" i="12" s="1"/>
  <c r="AI6" i="12"/>
  <c r="AQ6" i="12" s="1"/>
  <c r="J5" i="12"/>
  <c r="AI5" i="12"/>
  <c r="AQ5" i="12" s="1"/>
  <c r="AL5" i="12"/>
  <c r="AR5" i="12" s="1"/>
  <c r="K5" i="12"/>
  <c r="Z7" i="12"/>
  <c r="M8" i="12"/>
  <c r="V17" i="12"/>
  <c r="K6" i="12"/>
  <c r="L6" i="12" s="1"/>
  <c r="T9" i="12"/>
  <c r="J6" i="12"/>
  <c r="W21" i="12"/>
  <c r="P16" i="12" l="1"/>
  <c r="AO5" i="12"/>
  <c r="AO6" i="12"/>
  <c r="U8" i="12"/>
  <c r="N7" i="12"/>
  <c r="N8" i="12"/>
  <c r="U9" i="12"/>
  <c r="T7" i="12"/>
  <c r="L5" i="12"/>
  <c r="V16" i="12"/>
  <c r="M6" i="12"/>
  <c r="W20" i="12"/>
  <c r="T8" i="12"/>
  <c r="Z6" i="12"/>
  <c r="O11" i="12"/>
  <c r="AL4" i="12"/>
  <c r="AR4" i="12" s="1"/>
  <c r="AI4" i="12"/>
  <c r="AQ4" i="12" s="1"/>
  <c r="K4" i="12"/>
  <c r="W19" i="12"/>
  <c r="V15" i="12"/>
  <c r="Z5" i="12"/>
  <c r="O10" i="12"/>
  <c r="M7" i="12"/>
  <c r="N6" i="12" l="1"/>
  <c r="P15" i="12"/>
  <c r="AO4" i="12"/>
  <c r="U7" i="12"/>
  <c r="T6" i="12"/>
  <c r="L4" i="12"/>
  <c r="P14" i="12" s="1"/>
  <c r="M5" i="12"/>
  <c r="AI3" i="12"/>
  <c r="AQ3" i="12" s="1"/>
  <c r="K3" i="12"/>
  <c r="J3" i="12"/>
  <c r="AL3" i="12"/>
  <c r="AR3" i="12" s="1"/>
  <c r="O9" i="12"/>
  <c r="W18" i="12"/>
  <c r="V14" i="12"/>
  <c r="Z4" i="12"/>
  <c r="J4" i="12"/>
  <c r="AO3" i="12" l="1"/>
  <c r="N5" i="12"/>
  <c r="M4" i="12"/>
  <c r="L3" i="12"/>
  <c r="U6" i="12"/>
  <c r="V13" i="12"/>
  <c r="W17" i="12"/>
  <c r="O8" i="12"/>
  <c r="Z3" i="12"/>
  <c r="T5" i="12"/>
  <c r="AL2" i="12"/>
  <c r="K2" i="12"/>
  <c r="AI2" i="12"/>
  <c r="K83" i="12" l="1"/>
  <c r="CC50" i="12"/>
  <c r="N4" i="12"/>
  <c r="P13" i="12"/>
  <c r="L2" i="12"/>
  <c r="P12" i="12" s="1"/>
  <c r="U5" i="12"/>
  <c r="M3" i="12"/>
  <c r="AL82" i="12"/>
  <c r="AR2" i="12"/>
  <c r="AR82" i="12" s="1"/>
  <c r="AO2" i="12"/>
  <c r="AO82" i="12" s="1"/>
  <c r="AF82" i="12"/>
  <c r="AQ2" i="12"/>
  <c r="AQ82" i="12" s="1"/>
  <c r="AI82" i="12"/>
  <c r="CC17" i="12"/>
  <c r="CC49" i="12" s="1"/>
  <c r="V12" i="12"/>
  <c r="K80" i="12"/>
  <c r="Z2" i="12"/>
  <c r="Z82" i="12" s="1"/>
  <c r="O7" i="12"/>
  <c r="N3" i="12" l="1"/>
  <c r="U3" i="12"/>
  <c r="U2" i="12"/>
  <c r="U4" i="12"/>
  <c r="L75" i="12"/>
  <c r="B71" i="12" l="1" a="1"/>
  <c r="B72" i="12" s="1"/>
  <c r="O11" i="1"/>
  <c r="O49" i="1"/>
  <c r="O19" i="1"/>
  <c r="P19" i="1"/>
  <c r="P49" i="1"/>
  <c r="P11" i="1"/>
  <c r="Q11" i="1"/>
  <c r="Q19" i="1"/>
  <c r="Q49" i="1"/>
  <c r="H13" i="13"/>
  <c r="H42" i="13" s="1"/>
  <c r="S58" i="13" s="1"/>
  <c r="M34" i="32"/>
  <c r="M38" i="32" s="1"/>
  <c r="N34" i="32"/>
  <c r="N42" i="32" s="1"/>
  <c r="N46" i="32" s="1"/>
  <c r="G13" i="13"/>
  <c r="G42" i="13" s="1"/>
  <c r="R50" i="13" s="1"/>
  <c r="C12" i="32" a="1"/>
  <c r="C12" i="32" s="1"/>
  <c r="I12" i="32" s="1"/>
  <c r="F13" i="13"/>
  <c r="F42" i="13" s="1"/>
  <c r="Q58" i="13" s="1"/>
  <c r="O60" i="1"/>
  <c r="O93" i="1" s="1"/>
  <c r="P60" i="1"/>
  <c r="Q93" i="1" s="1"/>
  <c r="L34" i="32"/>
  <c r="L42" i="32" s="1"/>
  <c r="L46" i="32" s="1"/>
  <c r="P58" i="1"/>
  <c r="Q94" i="1" l="1"/>
  <c r="M42" i="32"/>
  <c r="M46" i="32" s="1"/>
  <c r="C28" i="32" a="1"/>
  <c r="C30" i="32" s="1"/>
  <c r="I30" i="32" s="1"/>
  <c r="C14" i="32"/>
  <c r="I14" i="32" s="1"/>
  <c r="R58" i="13"/>
  <c r="B73" i="12"/>
  <c r="B75" i="12"/>
  <c r="B71" i="12"/>
  <c r="B74" i="12"/>
  <c r="B76" i="12"/>
  <c r="B77" i="12"/>
  <c r="Q50" i="13"/>
  <c r="S50" i="13"/>
  <c r="O58" i="1"/>
  <c r="N38" i="32"/>
  <c r="Q58" i="1"/>
  <c r="P93" i="1"/>
  <c r="C13" i="32"/>
  <c r="I13" i="32" s="1"/>
  <c r="P94" i="1"/>
  <c r="L38" i="32"/>
  <c r="C29" i="32" l="1"/>
  <c r="I29" i="32" s="1"/>
  <c r="C28" i="32"/>
  <c r="I28" i="32" s="1"/>
  <c r="L74" i="12" l="1"/>
  <c r="L73" i="12"/>
  <c r="U75" i="12" l="1"/>
  <c r="U73" i="12"/>
  <c r="N73" i="12"/>
  <c r="N74" i="12"/>
  <c r="N75" i="12"/>
  <c r="U74" i="12"/>
  <c r="M60" i="1"/>
  <c r="M94" i="1" s="1"/>
  <c r="D13" i="13"/>
  <c r="D42" i="13" s="1"/>
  <c r="O58" i="13" s="1"/>
  <c r="M11" i="1"/>
  <c r="M13" i="1"/>
  <c r="O50" i="13" l="1"/>
  <c r="D71" i="12"/>
  <c r="E13" i="13"/>
  <c r="E42" i="13" s="1"/>
  <c r="N10" i="1"/>
  <c r="N11" i="1"/>
  <c r="N13" i="1"/>
  <c r="N60" i="1"/>
  <c r="N94" i="1" s="1"/>
  <c r="R60" i="1" l="1"/>
  <c r="P58" i="13"/>
  <c r="P50" i="13"/>
  <c r="D75" i="12"/>
  <c r="O94" i="1"/>
  <c r="D74" i="12"/>
  <c r="D73" i="12"/>
  <c r="D76" i="12"/>
  <c r="D77" i="12"/>
  <c r="D72" i="12"/>
  <c r="E72" i="12" s="1"/>
  <c r="E76" i="12" l="1"/>
  <c r="G76" i="12" s="1"/>
  <c r="BP76" i="12" s="1"/>
  <c r="E73" i="12"/>
  <c r="E74" i="12"/>
  <c r="E75" i="12"/>
  <c r="K75" i="12" s="1"/>
  <c r="E77" i="12"/>
  <c r="G77" i="12" s="1"/>
  <c r="L77" i="12" s="1"/>
  <c r="E79" i="12"/>
  <c r="D79" i="12"/>
  <c r="L76" i="12" l="1"/>
  <c r="V75" i="12"/>
  <c r="Z75" i="12"/>
  <c r="AA75" i="12" s="1"/>
  <c r="T75" i="12"/>
  <c r="CC55" i="12"/>
  <c r="O75" i="12"/>
  <c r="W75" i="12"/>
  <c r="K76" i="12"/>
  <c r="M75" i="12"/>
  <c r="N76" i="12"/>
  <c r="U76" i="12"/>
  <c r="P80" i="12" l="1"/>
  <c r="P79" i="12"/>
  <c r="P81" i="12"/>
  <c r="U77" i="12"/>
  <c r="N77" i="12"/>
  <c r="V76" i="12"/>
  <c r="Z76" i="12"/>
  <c r="W76" i="12"/>
  <c r="T76" i="12"/>
  <c r="M76" i="12"/>
  <c r="K77" i="12"/>
  <c r="O76" i="12"/>
  <c r="CC56" i="12" l="1"/>
  <c r="O77" i="12"/>
  <c r="T77" i="12"/>
  <c r="V77" i="12"/>
  <c r="W77" i="12"/>
  <c r="M77" i="12"/>
  <c r="X10" i="62" l="1"/>
  <c r="AD10" i="62" s="1"/>
  <c r="C14" i="74" s="1"/>
  <c r="X6" i="62"/>
  <c r="AD6" i="62" s="1"/>
  <c r="C10" i="74" s="1"/>
  <c r="Y6" i="62" l="1"/>
  <c r="AE6" i="62" s="1"/>
  <c r="D10" i="74" s="1"/>
  <c r="Y18" i="62"/>
  <c r="AE18" i="62" s="1"/>
  <c r="Z6" i="62"/>
  <c r="AF6" i="62" s="1"/>
  <c r="AF18" i="62"/>
  <c r="Q10" i="62"/>
  <c r="Z10" i="62" s="1"/>
  <c r="AF10" i="62" s="1"/>
  <c r="P10" i="62"/>
  <c r="Y10" i="62" s="1"/>
  <c r="AE10" i="62" s="1"/>
  <c r="D14" i="74" s="1"/>
  <c r="P9" i="62"/>
  <c r="Y9" i="62" s="1"/>
  <c r="AE9" i="62" s="1"/>
  <c r="D13" i="74" s="1"/>
  <c r="Q9" i="62"/>
  <c r="Z9" i="62" s="1"/>
  <c r="X9" i="62"/>
  <c r="AD9" i="62" s="1"/>
  <c r="C13" i="74" s="1"/>
  <c r="P15" i="62"/>
  <c r="Y15" i="62" s="1"/>
  <c r="AE15" i="62" s="1"/>
  <c r="D19" i="74" s="1"/>
  <c r="X15" i="62"/>
  <c r="AD15" i="62" s="1"/>
  <c r="C19" i="74" s="1"/>
  <c r="Q15" i="62"/>
  <c r="Z15" i="62" s="1"/>
  <c r="AF15" i="62" s="1"/>
  <c r="X16" i="62"/>
  <c r="AD16" i="62" s="1"/>
  <c r="C20" i="74" s="1"/>
  <c r="P16" i="62"/>
  <c r="Q16" i="62"/>
  <c r="P12" i="62"/>
  <c r="Q12" i="62"/>
  <c r="X12" i="62"/>
  <c r="AD12" i="62" s="1"/>
  <c r="C16" i="74" s="1"/>
  <c r="Q14" i="62"/>
  <c r="Z14" i="62" s="1"/>
  <c r="AF14" i="62" s="1"/>
  <c r="X14" i="62"/>
  <c r="AD14" i="62" s="1"/>
  <c r="C18" i="74" s="1"/>
  <c r="P14" i="62"/>
  <c r="Y14" i="62" s="1"/>
  <c r="AE14" i="62" s="1"/>
  <c r="D18" i="74" s="1"/>
  <c r="X13" i="62"/>
  <c r="AD13" i="62" s="1"/>
  <c r="C17" i="74" s="1"/>
  <c r="P13" i="62"/>
  <c r="Y13" i="62" s="1"/>
  <c r="AE13" i="62" s="1"/>
  <c r="D17" i="74" s="1"/>
  <c r="Q13" i="62"/>
  <c r="Z13" i="62" s="1"/>
  <c r="AF13" i="62" s="1"/>
  <c r="P11" i="62"/>
  <c r="X11" i="62"/>
  <c r="AD11" i="62" s="1"/>
  <c r="C15" i="74" s="1"/>
  <c r="Q11" i="62"/>
  <c r="P8" i="62"/>
  <c r="Y8" i="62" s="1"/>
  <c r="AE8" i="62" s="1"/>
  <c r="D12" i="74" s="1"/>
  <c r="X8" i="62"/>
  <c r="AD8" i="62" s="1"/>
  <c r="C12" i="74" s="1"/>
  <c r="Q8" i="62"/>
  <c r="Z8" i="62" s="1"/>
  <c r="P7" i="62"/>
  <c r="X7" i="62"/>
  <c r="AD7" i="62" s="1"/>
  <c r="C11" i="74" s="1"/>
  <c r="Q7" i="62"/>
  <c r="P17" i="62"/>
  <c r="X17" i="62"/>
  <c r="AD17" i="62" s="1"/>
  <c r="C21" i="74" s="1"/>
  <c r="C23" i="74"/>
  <c r="Q17" i="62"/>
  <c r="P26" i="62" l="1"/>
  <c r="P25" i="62"/>
  <c r="P23" i="62"/>
  <c r="D23" i="74" s="1"/>
  <c r="Q22" i="62"/>
  <c r="Q24" i="62"/>
  <c r="Q28" i="62"/>
  <c r="Q27" i="62"/>
  <c r="Q23" i="62"/>
  <c r="E23" i="74" s="1"/>
  <c r="P28" i="62"/>
  <c r="P24" i="62"/>
  <c r="P27" i="62"/>
  <c r="Q25" i="62"/>
  <c r="Q26" i="62"/>
  <c r="P22" i="62"/>
  <c r="Y11" i="62"/>
  <c r="AE11" i="62" s="1"/>
  <c r="D15" i="74" s="1"/>
  <c r="Z11" i="62"/>
  <c r="AF11" i="62" s="1"/>
  <c r="Y7" i="62"/>
  <c r="AE7" i="62" s="1"/>
  <c r="D11" i="74" s="1"/>
  <c r="Z7" i="62"/>
  <c r="AF7" i="62" s="1"/>
  <c r="P19" i="62"/>
  <c r="Z16" i="62"/>
  <c r="Y16" i="62"/>
  <c r="AE16" i="62" s="1"/>
  <c r="D20" i="74" s="1"/>
  <c r="D22" i="74"/>
  <c r="E22" i="74"/>
  <c r="E14" i="74"/>
  <c r="E10" i="74"/>
  <c r="Q19" i="62"/>
  <c r="Y17" i="62"/>
  <c r="AE17" i="62" s="1"/>
  <c r="D21" i="74" s="1"/>
  <c r="AF8" i="62"/>
  <c r="Z17" i="62"/>
  <c r="AF17" i="62" s="1"/>
  <c r="Z12" i="62"/>
  <c r="AF12" i="62" s="1"/>
  <c r="AF9" i="62"/>
  <c r="Y12" i="62"/>
  <c r="AE12" i="62" s="1"/>
  <c r="D16" i="74" s="1"/>
  <c r="AF16" i="62" l="1"/>
  <c r="E20" i="74" s="1"/>
  <c r="E17" i="74"/>
  <c r="E15" i="74"/>
  <c r="E19" i="74"/>
  <c r="E13" i="74"/>
  <c r="E12" i="74"/>
  <c r="E11" i="74"/>
  <c r="E18" i="74"/>
  <c r="E16" i="74" l="1"/>
  <c r="E21" i="74"/>
  <c r="R25" i="58"/>
  <c r="R24" i="58" l="1"/>
  <c r="U25" i="58"/>
  <c r="R27"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tc={C6E0BD54-02FA-4F63-BDB1-7A2F39AEAB6A}</author>
    <author>tc={834C4256-EF69-4380-9282-23CDD1269F8A}</author>
    <author>tc={EA9713AA-A9DE-429E-8384-8B2F4B1C257E}</author>
  </authors>
  <commentList>
    <comment ref="T59" authorId="0" shapeId="0" xr:uid="{C6E0BD54-02FA-4F63-BDB1-7A2F39AEAB6A}">
      <text>
        <t>[Threaded comment]
Your version of Excel allows you to read this threaded comment; however, any edits to it will get removed if the file is opened in a newer version of Excel. Learn more: https://go.microsoft.com/fwlink/?linkid=870924
Comment:
    Additional pensions adjustment removed</t>
      </text>
    </comment>
    <comment ref="T62" authorId="1" shapeId="0" xr:uid="{834C4256-EF69-4380-9282-23CDD1269F8A}">
      <text>
        <t>[Threaded comment]
Your version of Excel allows you to read this threaded comment; however, any edits to it will get removed if the file is opened in a newer version of Excel. Learn more: https://go.microsoft.com/fwlink/?linkid=870924
Comment:
    Historic spend and growth is using different deflator series (though shouldn't make a difference to growth rates)
Reply:
    Different deflator base year used for 'historic spend growth' tab compared to 'Autumn 24' tab. This is not an issue as will not impact growth rates.</t>
      </text>
    </comment>
    <comment ref="T65" authorId="2" shapeId="0" xr:uid="{EA9713AA-A9DE-429E-8384-8B2F4B1C257E}">
      <text>
        <t>[Threaded comment]
Your version of Excel allows you to read this threaded comment; however, any edits to it will get removed if the file is opened in a newer version of Excel. Learn more: https://go.microsoft.com/fwlink/?linkid=870924
Comment:
    Check which dates we want to consider for Starmer govt (e.g. only 24/25 - 25/26?)
Reply:
    I can see the argument for this but the others all have overlapping years (e.g. one gov ends in 2018/19, the next starts in 2018/19) where this one doesn't
Reply:
    Corrected by Toby to 2023/24 to 2025/26</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tc={0F87B04C-0345-4AA8-BF15-10A5D296417F}</author>
    <author>tc={A59143EF-F855-41BB-B2D5-1FE99EBC137F}</author>
  </authors>
  <commentList>
    <comment ref="S12" authorId="0" shapeId="0" xr:uid="{0F87B04C-0345-4AA8-BF15-10A5D296417F}">
      <text>
        <t>[Threaded comment]
Your version of Excel allows you to read this threaded comment; however, any edits to it will get removed if the file is opened in a newer version of Excel. Learn more: https://go.microsoft.com/fwlink/?linkid=870924
Comment:
    https://www.gov.uk/government/publications/2024-to-2025-financial-directions-to-nhs-england/2024-to-2025-financial-directions-to-nhs-england</t>
      </text>
    </comment>
    <comment ref="K63" authorId="1" shapeId="0" xr:uid="{A59143EF-F855-41BB-B2D5-1FE99EBC137F}">
      <text>
        <t>[Threaded comment]
Your version of Excel allows you to read this threaded comment; however, any edits to it will get removed if the file is opened in a newer version of Excel. Learn more: https://go.microsoft.com/fwlink/?linkid=870924
Comment:
    Actual numbers from 2018/19 excl provider depreciation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tc={20CA3212-569D-4496-8B8F-C29B80F99705}</author>
    <author>tc={3E0A5A7D-78A2-4231-BE76-24B36432C841}</author>
    <author>tc={F99BC174-FB6A-48C5-B3DE-D68B835B8E7E}</author>
  </authors>
  <commentList>
    <comment ref="N10" authorId="0" shapeId="0" xr:uid="{20CA3212-569D-4496-8B8F-C29B80F99705}">
      <text>
        <t>[Threaded comment]
Your version of Excel allows you to read this threaded comment; however, any edits to it will get removed if the file is opened in a newer version of Excel. Learn more: https://go.microsoft.com/fwlink/?linkid=870924
Comment:
    https://statics.teams.cdn.office.net/evergreen-assets/safelinks/1/atp-safelinks.html</t>
      </text>
    </comment>
    <comment ref="N18" authorId="1" shapeId="0" xr:uid="{3E0A5A7D-78A2-4231-BE76-24B36432C841}">
      <text>
        <t>[Threaded comment]
Your version of Excel allows you to read this threaded comment; however, any edits to it will get removed if the file is opened in a newer version of Excel. Learn more: https://go.microsoft.com/fwlink/?linkid=870924
Comment:
    https://obr.uk/efo/economic-and-fiscal-outlook-march-2024/</t>
      </text>
    </comment>
    <comment ref="G42" authorId="2" shapeId="0" xr:uid="{F99BC174-FB6A-48C5-B3DE-D68B835B8E7E}">
      <text>
        <t>[Threaded comment]
Your version of Excel allows you to read this threaded comment; however, any edits to it will get removed if the file is opened in a newer version of Excel. Learn more: https://go.microsoft.com/fwlink/?linkid=870924
Comment:
    Actual numbers from 2018/19 excl provider depreciation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tc={1E29344D-9973-4C93-A58A-0EFCD2ED6348}</author>
    <author>tc={BAB4160D-83AC-4085-A6E6-DA43C9BB1FCF}</author>
  </authors>
  <commentList>
    <comment ref="N10" authorId="0" shapeId="0" xr:uid="{1E29344D-9973-4C93-A58A-0EFCD2ED6348}">
      <text>
        <t>[Threaded comment]
Your version of Excel allows you to read this threaded comment; however, any edits to it will get removed if the file is opened in a newer version of Excel. Learn more: https://go.microsoft.com/fwlink/?linkid=870924
Comment:
    https://www.gov.uk/government/publications/2024-to-2025-financial-directions-to-nhs-england/2024-to-2025-financial-directions-to-nhs-england</t>
      </text>
    </comment>
    <comment ref="G50" authorId="1" shapeId="0" xr:uid="{BAB4160D-83AC-4085-A6E6-DA43C9BB1FCF}">
      <text>
        <t>[Threaded comment]
Your version of Excel allows you to read this threaded comment; however, any edits to it will get removed if the file is opened in a newer version of Excel. Learn more: https://go.microsoft.com/fwlink/?linkid=870924
Comment:
    Actual numbers from 2018/19 excl provider depreciation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tc={BDB5022F-1DF5-44FE-B358-C694A92EE187}</author>
    <author>tc={8C1FA196-5C4A-4386-AB98-3FF7C4BE326E}</author>
  </authors>
  <commentList>
    <comment ref="N10" authorId="0" shapeId="0" xr:uid="{BDB5022F-1DF5-44FE-B358-C694A92EE187}">
      <text>
        <t>[Threaded comment]
Your version of Excel allows you to read this threaded comment; however, any edits to it will get removed if the file is opened in a newer version of Excel. Learn more: https://go.microsoft.com/fwlink/?linkid=870924
Comment:
    https://www.gov.uk/government/publications/2024-to-2025-financial-directions-to-nhs-england/2024-to-2025-financial-directions-to-nhs-england</t>
      </text>
    </comment>
    <comment ref="G50" authorId="1" shapeId="0" xr:uid="{8C1FA196-5C4A-4386-AB98-3FF7C4BE326E}">
      <text>
        <t>[Threaded comment]
Your version of Excel allows you to read this threaded comment; however, any edits to it will get removed if the file is opened in a newer version of Excel. Learn more: https://go.microsoft.com/fwlink/?linkid=870924
Comment:
    Actual numbers from 2018/19 excl provider depreciation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tc={0CD29567-C496-4B78-81B5-4663B9E4DD1F}</author>
    <author>tc={10F6EE8C-1D1E-41FF-B2E9-B3CD021C96A2}</author>
    <author>tc={1E5C07C2-DAF7-426A-9210-B9DC05A11903}</author>
  </authors>
  <commentList>
    <comment ref="N10" authorId="0" shapeId="0" xr:uid="{0CD29567-C496-4B78-81B5-4663B9E4DD1F}">
      <text>
        <t>[Threaded comment]
Your version of Excel allows you to read this threaded comment; however, any edits to it will get removed if the file is opened in a newer version of Excel. Learn more: https://go.microsoft.com/fwlink/?linkid=870924
Comment:
    https://statics.teams.cdn.office.net/evergreen-assets/safelinks/1/atp-safelinks.html</t>
      </text>
    </comment>
    <comment ref="N18" authorId="1" shapeId="0" xr:uid="{10F6EE8C-1D1E-41FF-B2E9-B3CD021C96A2}">
      <text>
        <t>[Threaded comment]
Your version of Excel allows you to read this threaded comment; however, any edits to it will get removed if the file is opened in a newer version of Excel. Learn more: https://go.microsoft.com/fwlink/?linkid=870924
Comment:
    https://obr.uk/efo/economic-and-fiscal-outlook-march-2024/</t>
      </text>
    </comment>
    <comment ref="G42" authorId="2" shapeId="0" xr:uid="{1E5C07C2-DAF7-426A-9210-B9DC05A11903}">
      <text>
        <t>[Threaded comment]
Your version of Excel allows you to read this threaded comment; however, any edits to it will get removed if the file is opened in a newer version of Excel. Learn more: https://go.microsoft.com/fwlink/?linkid=870924
Comment:
    Actual numbers from 2018/19 excl provider depreciation</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Toby Watt</author>
  </authors>
  <commentList>
    <comment ref="D12" authorId="0" shapeId="0" xr:uid="{6B9B7216-5A43-4DB1-A06B-60E4D1D71323}">
      <text>
        <r>
          <rPr>
            <b/>
            <sz val="9"/>
            <color indexed="81"/>
            <rFont val="Tahoma"/>
            <family val="2"/>
          </rPr>
          <t>Toby Watt:</t>
        </r>
        <r>
          <rPr>
            <sz val="9"/>
            <color indexed="81"/>
            <rFont val="Tahoma"/>
            <family val="2"/>
          </rPr>
          <t xml:space="preserve">
https://committees.parliament.uk/publications/43659/documents/216773/default/   section 1.8</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tc={00421BB3-3B99-4B8D-BA00-BE674BD0C3E4}</author>
    <author>tc={750EE01C-3D65-40C5-A836-8129D2200065}</author>
    <author>tc={46E4A5F0-03B7-4685-B5BD-E69F3F23C06B}</author>
  </authors>
  <commentList>
    <comment ref="N10" authorId="0" shapeId="0" xr:uid="{00421BB3-3B99-4B8D-BA00-BE674BD0C3E4}">
      <text>
        <t>[Threaded comment]
Your version of Excel allows you to read this threaded comment; however, any edits to it will get removed if the file is opened in a newer version of Excel. Learn more: https://go.microsoft.com/fwlink/?linkid=870924
Comment:
    https://statics.teams.cdn.office.net/evergreen-assets/safelinks/1/atp-safelinks.html</t>
      </text>
    </comment>
    <comment ref="N18" authorId="1" shapeId="0" xr:uid="{750EE01C-3D65-40C5-A836-8129D2200065}">
      <text>
        <t>[Threaded comment]
Your version of Excel allows you to read this threaded comment; however, any edits to it will get removed if the file is opened in a newer version of Excel. Learn more: https://go.microsoft.com/fwlink/?linkid=870924
Comment:
    https://obr.uk/download/november-2023-economic-and-fiscal-outlook-supplementary-economy-tables/?tmstv=1701265964</t>
      </text>
    </comment>
    <comment ref="G42" authorId="2" shapeId="0" xr:uid="{46E4A5F0-03B7-4685-B5BD-E69F3F23C06B}">
      <text>
        <t>[Threaded comment]
Your version of Excel allows you to read this threaded comment; however, any edits to it will get removed if the file is opened in a newer version of Excel. Learn more: https://go.microsoft.com/fwlink/?linkid=870924
Comment:
    Actual numbers from 2018/19 excl provider depreciation</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tc={3C042713-8567-4DFD-BA2E-568537194FE4}</author>
    <author>tc={BB309E25-BA06-49ED-BB03-CF81FCF12F50}</author>
    <author>tc={2D5D29A8-827E-4C45-B3E0-CFBE642CAB63}</author>
    <author>tc={938D11BC-86FB-45A2-B49F-D85C84461612}</author>
    <author>tc={599BF2EE-2BFB-4B2A-983F-2AC4DE76EA91}</author>
  </authors>
  <commentList>
    <comment ref="K6" authorId="0" shapeId="0" xr:uid="{3C042713-8567-4DFD-BA2E-568537194FE4}">
      <text>
        <t>[Threaded comment]
Your version of Excel allows you to read this threaded comment; however, any edits to it will get removed if the file is opened in a newer version of Excel. Learn more: https://go.microsoft.com/fwlink/?linkid=870924
Comment:
    Makes a very minor difference but this is the population figure for mid-1980, which is outside of this financial year. Is it worth using the previous year?</t>
      </text>
    </comment>
    <comment ref="C48" authorId="1" shapeId="0" xr:uid="{BB309E25-BA06-49ED-BB03-CF81FCF12F50}">
      <text>
        <t>[Threaded comment]
Your version of Excel allows you to read this threaded comment; however, any edits to it will get removed if the file is opened in a newer version of Excel. Learn more: https://go.microsoft.com/fwlink/?linkid=870924
Comment:
    summing up RDEL 144.1 and CDEL 133.7 from SB</t>
      </text>
    </comment>
    <comment ref="F48" authorId="2" shapeId="0" xr:uid="{2D5D29A8-827E-4C45-B3E0-CFBE642CAB63}">
      <text>
        <t>[Threaded comment]
Your version of Excel allows you to read this threaded comment; however, any edits to it will get removed if the file is opened in a newer version of Excel. Learn more: https://go.microsoft.com/fwlink/?linkid=870924
Comment:
    I don't recognise these numbers?</t>
      </text>
    </comment>
    <comment ref="F52" authorId="3" shapeId="0" xr:uid="{938D11BC-86FB-45A2-B49F-D85C84461612}">
      <text>
        <t>[Threaded comment]
Your version of Excel allows you to read this threaded comment; however, any edits to it will get removed if the file is opened in a newer version of Excel. Learn more: https://go.microsoft.com/fwlink/?linkid=870924
Comment:
    Shouldn't make a difference to growth rates but this is pulling from column E, should it be column D (HMT deflator)?</t>
      </text>
    </comment>
    <comment ref="C62" authorId="4" shapeId="0" xr:uid="{599BF2EE-2BFB-4B2A-983F-2AC4DE76EA91}">
      <text>
        <t>[Threaded comment]
Your version of Excel allows you to read this threaded comment; however, any edits to it will get removed if the file is opened in a newer version of Excel. Learn more: https://go.microsoft.com/fwlink/?linkid=870924
Comment:
    Are both years technically still planned? Should we highlight in the flourish?</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tc={3448DA06-623E-446B-B274-4BC971496BFB}</author>
  </authors>
  <commentList>
    <comment ref="C15" authorId="0" shapeId="0" xr:uid="{3448DA06-623E-446B-B274-4BC971496BFB}">
      <text>
        <t>[Threaded comment]
Your version of Excel allows you to read this threaded comment; however, any edits to it will get removed if the file is opened in a newer version of Excel. Learn more: https://go.microsoft.com/fwlink/?linkid=870924
Comment:
    Note that this is 3.8% in flourish chart as this was the official published figure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tc={97C97CCB-59D9-4A5B-8C4D-B577D6E79956}</author>
    <author>tc={6B5C1006-8917-40B9-B60D-0A8580D483B5}</author>
    <author>tc={E98D2FBC-6CF4-447E-A5F4-AA8F4CA4CD01}</author>
    <author>tc={9DCE5BBA-A272-4966-ABBF-F735A137FDCB}</author>
    <author>Stephen Rocks</author>
    <author>tc={8A894A03-0DA8-4DA6-9BBD-17B0083A6F0A}</author>
    <author>tc={607507D2-7642-435E-86FE-52B367047B9B}</author>
    <author>tc={D28F3F36-A13F-4FC9-BA93-EC13820D1C73}</author>
    <author>tc={7050579B-9F8F-4771-948F-C77CF663AF36}</author>
    <author>tc={2C4087FF-8AAF-42EA-BC8E-F42EEB8C938F}</author>
    <author>tc={35627FFE-7470-4637-916A-C63E77F20199}</author>
    <author>tc={3AED5F1F-2F2D-4F1E-81E2-FAB077435EF0}</author>
    <author>tc={B0BC70B0-B704-4262-ABDB-23EDD410CCF5}</author>
    <author>tc={7A166C48-6930-4421-9BF6-D9CE4566B652}</author>
    <author>tc={CAADCBF9-014E-46C3-9D69-C1BC707C079A}</author>
    <author>tc={F62E349F-0701-41B5-9C20-8A0A4E36E238}</author>
    <author>tc={DCD2EC36-33BA-423E-8559-2F1EB0F4E14F}</author>
    <author>tc={015D19E9-07C5-43C0-9838-740BD1CF6887}</author>
  </authors>
  <commentList>
    <comment ref="M17" authorId="0" shapeId="0" xr:uid="{97C97CCB-59D9-4A5B-8C4D-B577D6E79956}">
      <text>
        <t>[Threaded comment]
Your version of Excel allows you to read this threaded comment; however, any edits to it will get removed if the file is opened in a newer version of Excel. Learn more: https://go.microsoft.com/fwlink/?linkid=870924
Comment:
    from memoranda doc https://committees.parliament.uk/committee/81/health-and-social-care-committee/publications/10/estimate-memoranda/ Feb 2023</t>
      </text>
    </comment>
    <comment ref="N17" authorId="1" shapeId="0" xr:uid="{6B5C1006-8917-40B9-B60D-0A8580D483B5}">
      <text>
        <t>[Threaded comment]
Your version of Excel allows you to read this threaded comment; however, any edits to it will get removed if the file is opened in a newer version of Excel. Learn more: https://go.microsoft.com/fwlink/?linkid=870924
Comment:
    from memoranda doc https://committees.parliament.uk/committee/81/health-and-social-care-committee/publications/10/estimate-memoranda/ Feb 2023</t>
      </text>
    </comment>
    <comment ref="A21" authorId="2" shapeId="0" xr:uid="{E98D2FBC-6CF4-447E-A5F4-AA8F4CA4CD01}">
      <text>
        <t>[Threaded comment]
Your version of Excel allows you to read this threaded comment; however, any edits to it will get removed if the file is opened in a newer version of Excel. Learn more: https://go.microsoft.com/fwlink/?linkid=870924
Comment:
    Resource DEL (exc depreciation)</t>
      </text>
    </comment>
    <comment ref="F40" authorId="3" shapeId="0" xr:uid="{9DCE5BBA-A272-4966-ABBF-F735A137FDCB}">
      <text>
        <t>[Threaded comment]
Your version of Excel allows you to read this threaded comment; however, any edits to it will get removed if the file is opened in a newer version of Excel. Learn more: https://go.microsoft.com/fwlink/?linkid=870924
Comment:
    figures up to 2019-20 included are from ARA. beyond that point, we are using the latest HEE business plan</t>
      </text>
    </comment>
    <comment ref="K40" authorId="4" shapeId="0" xr:uid="{815C4126-3FBC-43D3-9703-ED81CAB0757D}">
      <text>
        <r>
          <rPr>
            <b/>
            <sz val="9"/>
            <color indexed="81"/>
            <rFont val="Tahoma"/>
            <family val="2"/>
          </rPr>
          <t>Stephen Rocks:</t>
        </r>
        <r>
          <rPr>
            <sz val="9"/>
            <color indexed="81"/>
            <rFont val="Tahoma"/>
            <family val="2"/>
          </rPr>
          <t xml:space="preserve">
https://assets.publishing.service.gov.uk/government/uploads/system/uploads/attachment_data/file/832765/dhsc-annual-report-and-accounts-2018-to-2019.pdf</t>
        </r>
      </text>
    </comment>
    <comment ref="L40" authorId="5" shapeId="0" xr:uid="{8A894A03-0DA8-4DA6-9BBD-17B0083A6F0A}">
      <text>
        <t xml:space="preserve">[Threaded comment]
Your version of Excel allows you to read this threaded comment; however, any edits to it will get removed if the file is opened in a newer version of Excel. Learn more: https://go.microsoft.com/fwlink/?linkid=870924
Comment:
    ARA 2019-20
</t>
      </text>
    </comment>
    <comment ref="M40" authorId="4" shapeId="0" xr:uid="{D813DFC3-D7F3-448D-B465-AC359BBFD212}">
      <text>
        <r>
          <rPr>
            <b/>
            <sz val="9"/>
            <color indexed="81"/>
            <rFont val="Tahoma"/>
            <family val="2"/>
          </rPr>
          <t>Stephen Rocks:</t>
        </r>
        <r>
          <rPr>
            <sz val="9"/>
            <color indexed="81"/>
            <rFont val="Tahoma"/>
            <family val="2"/>
          </rPr>
          <t xml:space="preserve">
https://www.hee.nhs.uk/news-blogs-events/news/health-education-england-welcomes-funding-boost-202021</t>
        </r>
      </text>
    </comment>
    <comment ref="N40" authorId="6" shapeId="0" xr:uid="{607507D2-7642-435E-86FE-52B367047B9B}">
      <text>
        <t>[Threaded comment]
Your version of Excel allows you to read this threaded comment; however, any edits to it will get removed if the file is opened in a newer version of Excel. Learn more: https://go.microsoft.com/fwlink/?linkid=870924
Comment:
    https://www.hee.nhs.uk/sites/default/files/HEE%20Business%20Plan%202021-22.pdf</t>
      </text>
    </comment>
    <comment ref="O40" authorId="7" shapeId="0" xr:uid="{D28F3F36-A13F-4FC9-BA93-EC13820D1C73}">
      <text>
        <t>[Threaded comment]
Your version of Excel allows you to read this threaded comment; however, any edits to it will get removed if the file is opened in a newer version of Excel. Learn more: https://go.microsoft.com/fwlink/?linkid=870924
Comment:
    https://www.hee.nhs.uk/sites/default/files/HEE%20Business%20Plan%202022-23.pdf</t>
      </text>
    </comment>
    <comment ref="P40" authorId="8" shapeId="0" xr:uid="{7050579B-9F8F-4771-948F-C77CF663AF36}">
      <text>
        <t>[Threaded comment]
Your version of Excel allows you to read this threaded comment; however, any edits to it will get removed if the file is opened in a newer version of Excel. Learn more: https://go.microsoft.com/fwlink/?linkid=870924
Comment:
    https://assets.publishing.service.gov.uk/government/uploads/system/uploads/attachment_data/file/1147806/2023_to_2024_NHS_financial_directions.pdf</t>
      </text>
    </comment>
    <comment ref="H41" authorId="4" shapeId="0" xr:uid="{49D32A43-E811-4E7E-B0C4-587E403C31B8}">
      <text>
        <r>
          <rPr>
            <b/>
            <sz val="9"/>
            <color indexed="81"/>
            <rFont val="Tahoma"/>
            <family val="2"/>
          </rPr>
          <t>Stephen Rocks:</t>
        </r>
        <r>
          <rPr>
            <sz val="9"/>
            <color indexed="81"/>
            <rFont val="Tahoma"/>
            <family val="2"/>
          </rPr>
          <t xml:space="preserve">
Child grant introduced</t>
        </r>
      </text>
    </comment>
    <comment ref="I41" authorId="9" shapeId="0" xr:uid="{2C4087FF-8AAF-42EA-BC8E-F42EEB8C938F}">
      <text>
        <t>[Threaded comment]
Your version of Excel allows you to read this threaded comment; however, any edits to it will get removed if the file is opened in a newer version of Excel. Learn more: https://go.microsoft.com/fwlink/?linkid=870924
Comment:
    numbers in purple are from PESA</t>
      </text>
    </comment>
    <comment ref="N41" authorId="10" shapeId="0" xr:uid="{35627FFE-7470-4637-916A-C63E77F20199}">
      <text>
        <t>[Threaded comment]
Your version of Excel allows you to read this threaded comment; however, any edits to it will get removed if the file is opened in a newer version of Excel. Learn more: https://go.microsoft.com/fwlink/?linkid=870924
Comment:
    https://www.gov.uk/government/publications/public-health-grants-to-local-authorities-2021-to-2022/public-health-ring-fenced-grant-2021-to-2022-local-authority-circular#annexb</t>
      </text>
    </comment>
    <comment ref="O41" authorId="11" shapeId="0" xr:uid="{3AED5F1F-2F2D-4F1E-81E2-FAB077435EF0}">
      <text>
        <t>[Threaded comment]
Your version of Excel allows you to read this threaded comment; however, any edits to it will get removed if the file is opened in a newer version of Excel. Learn more: https://go.microsoft.com/fwlink/?linkid=870924
Comment:
    https://www.gov.uk/government/publications/public-health-grants-to-local-authorities-2022-to-2023/public-health-ringfenced-grant-2022-to-2023-local-authority-circular</t>
      </text>
    </comment>
    <comment ref="P41" authorId="12" shapeId="0" xr:uid="{B0BC70B0-B704-4262-ABDB-23EDD410CCF5}">
      <text>
        <t>[Threaded comment]
Your version of Excel allows you to read this threaded comment; however, any edits to it will get removed if the file is opened in a newer version of Excel. Learn more: https://go.microsoft.com/fwlink/?linkid=870924
Comment:
    https://www.gov.uk/government/publications/public-health-grants-to-local-authorities-2023-to-2024</t>
      </text>
    </comment>
    <comment ref="M47" authorId="13" shapeId="0" xr:uid="{7A166C48-6930-4421-9BF6-D9CE4566B652}">
      <text>
        <t>[Threaded comment]
Your version of Excel allows you to read this threaded comment; however, any edits to it will get removed if the file is opened in a newer version of Excel. Learn more: https://go.microsoft.com/fwlink/?linkid=870924
Comment:
    https://assets.publishing.service.gov.uk/government/uploads/system/uploads/attachment_data/file/1135637/dhsc-annual-report-and-accounts-2021-2022_web-accessible.pdf see table 59</t>
      </text>
    </comment>
    <comment ref="N47" authorId="14" shapeId="0" xr:uid="{CAADCBF9-014E-46C3-9D69-C1BC707C079A}">
      <text>
        <t>[Threaded comment]
Your version of Excel allows you to read this threaded comment; however, any edits to it will get removed if the file is opened in a newer version of Excel. Learn more: https://go.microsoft.com/fwlink/?linkid=870924
Comment:
    https://assets.publishing.service.gov.uk/government/uploads/system/uploads/attachment_data/file/1135637/dhsc-annual-report-and-accounts-2021-2022_web-accessible.pdf see table 59</t>
      </text>
    </comment>
    <comment ref="M48" authorId="15" shapeId="0" xr:uid="{F62E349F-0701-41B5-9C20-8A0A4E36E238}">
      <text>
        <t>[Threaded comment]
Your version of Excel allows you to read this threaded comment; however, any edits to it will get removed if the file is opened in a newer version of Excel. Learn more: https://go.microsoft.com/fwlink/?linkid=870924
Comment:
    from memoranda doc https://committees.parliament.uk/committee/81/health-and-social-care-committee/publications/10/estimate-memoranda/ Feb 2023</t>
      </text>
    </comment>
    <comment ref="N48" authorId="16" shapeId="0" xr:uid="{DCD2EC36-33BA-423E-8559-2F1EB0F4E14F}">
      <text>
        <t>[Threaded comment]
Your version of Excel allows you to read this threaded comment; however, any edits to it will get removed if the file is opened in a newer version of Excel. Learn more: https://go.microsoft.com/fwlink/?linkid=870924
Comment:
    Indicate 9.0 in SP2023 (Table 2.2)</t>
      </text>
    </comment>
    <comment ref="P82" authorId="17" shapeId="0" xr:uid="{015D19E9-07C5-43C0-9838-740BD1CF6887}">
      <text>
        <t>[Threaded comment]
Your version of Excel allows you to read this threaded comment; however, any edits to it will get removed if the file is opened in a newer version of Excel. Learn more: https://go.microsoft.com/fwlink/?linkid=870924
Comment:
    https://www.gov.uk/government/publications/public-health-grants-to-local-authorities-2023-to-2024/public-health-ring-fenced-grant-2023-to-2024-local-authority-circular#:~:text=In%202023%20to%202024%2C%20the,coronavirus%20(COVID%2D19).</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tc={4CBAE69D-85BC-4406-AB30-D1CE34413795}</author>
  </authors>
  <commentList>
    <comment ref="C90" authorId="0" shapeId="0" xr:uid="{4CBAE69D-85BC-4406-AB30-D1CE34413795}">
      <text>
        <t>[Threaded comment]
Your version of Excel allows you to read this threaded comment; however, any edits to it will get removed if the file is opened in a newer version of Excel. Learn more: https://go.microsoft.com/fwlink/?linkid=870924
Comment:
    from autumn statement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tc={CAAAA881-2254-4D6A-A7F7-6814CF02830A}</author>
  </authors>
  <commentList>
    <comment ref="T48" authorId="0" shapeId="0" xr:uid="{CAAAA881-2254-4D6A-A7F7-6814CF02830A}">
      <text>
        <t>[Threaded comment]
Your version of Excel allows you to read this threaded comment; however, any edits to it will get removed if the file is opened in a newer version of Excel. Learn more: https://go.microsoft.com/fwlink/?linkid=870924
Comment:
    summing up RDEL 144.1 and CDEL 133.7 from SB</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tc={0E7A0B84-B055-4A7F-BB11-362FA0E64CD1}</author>
    <author>tc={F6B87BC7-F314-433E-ADFD-BBDA5FCBBAEF}</author>
    <author>tc={19E859F6-F883-4A99-B01E-E77935D79243}</author>
  </authors>
  <commentList>
    <comment ref="N10" authorId="0" shapeId="0" xr:uid="{0E7A0B84-B055-4A7F-BB11-362FA0E64CD1}">
      <text>
        <t>[Threaded comment]
Your version of Excel allows you to read this threaded comment; however, any edits to it will get removed if the file is opened in a newer version of Excel. Learn more: https://go.microsoft.com/fwlink/?linkid=870924
Comment:
    https://statics.teams.cdn.office.net/evergreen-assets/safelinks/1/atp-safelinks.html</t>
      </text>
    </comment>
    <comment ref="N18" authorId="1" shapeId="0" xr:uid="{F6B87BC7-F314-433E-ADFD-BBDA5FCBBAEF}">
      <text>
        <t>[Threaded comment]
Your version of Excel allows you to read this threaded comment; however, any edits to it will get removed if the file is opened in a newer version of Excel. Learn more: https://go.microsoft.com/fwlink/?linkid=870924
Comment:
    https://obr.uk/download/november-2023-economic-and-fiscal-outlook-supplementary-economy-tables/?tmstv=1701265964</t>
      </text>
    </comment>
    <comment ref="G42" authorId="2" shapeId="0" xr:uid="{19E859F6-F883-4A99-B01E-E77935D79243}">
      <text>
        <t>[Threaded comment]
Your version of Excel allows you to read this threaded comment; however, any edits to it will get removed if the file is opened in a newer version of Excel. Learn more: https://go.microsoft.com/fwlink/?linkid=870924
Comment:
    Actual numbers from 2018/19 excl provider depreciation</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tc={C5D6468D-2143-43AE-89B9-6BD7BCEE261A}</author>
  </authors>
  <commentList>
    <comment ref="N13" authorId="0" shapeId="0" xr:uid="{C5D6468D-2143-43AE-89B9-6BD7BCEE261A}">
      <text>
        <t>[Threaded comment]
Your version of Excel allows you to read this threaded comment; however, any edits to it will get removed if the file is opened in a newer version of Excel. Learn more: https://go.microsoft.com/fwlink/?linkid=870924
Comment:
    Indicates 133.7 in Spring Budget 2023 (Table 2.1)</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George Stevenson</author>
    <author>tc={2399C137-290A-4C26-B85F-3F95C9E1C9DE}</author>
    <author>tc={5A404E3F-EA3B-47BB-BC1F-4DAD6FC3394A}</author>
    <author>tc={41FE8789-6552-47C1-B104-E01A829F84D8}</author>
  </authors>
  <commentList>
    <comment ref="N16" authorId="0" shapeId="0" xr:uid="{F36B2F5F-06E4-41AC-9C0B-2AC6522E40F1}">
      <text>
        <r>
          <rPr>
            <b/>
            <sz val="9"/>
            <color indexed="81"/>
            <rFont val="Tahoma"/>
            <family val="2"/>
          </rPr>
          <t>George Stevenson:</t>
        </r>
        <r>
          <rPr>
            <sz val="9"/>
            <color indexed="81"/>
            <rFont val="Tahoma"/>
            <family val="2"/>
          </rPr>
          <t xml:space="preserve">
COVID-19 Inventory +£16.7bn
</t>
        </r>
      </text>
    </comment>
    <comment ref="K27" authorId="1" shapeId="0" xr:uid="{2399C137-290A-4C26-B85F-3F95C9E1C9DE}">
      <text>
        <t xml:space="preserve">[Threaded comment]
Your version of Excel allows you to read this threaded comment; however, any edits to it will get removed if the file is opened in a newer version of Excel. Learn more: https://go.microsoft.com/fwlink/?linkid=870924
Comment:
    Note that R&amp;D is included in Other </t>
      </text>
    </comment>
    <comment ref="H37" authorId="2" shapeId="0" xr:uid="{5A404E3F-EA3B-47BB-BC1F-4DAD6FC3394A}">
      <text>
        <t>[Threaded comment]
Your version of Excel allows you to read this threaded comment; however, any edits to it will get removed if the file is opened in a newer version of Excel. Learn more: https://go.microsoft.com/fwlink/?linkid=870924
Comment:
    this should absorb DH central programmes and ALB</t>
      </text>
    </comment>
    <comment ref="H41" authorId="3" shapeId="0" xr:uid="{41FE8789-6552-47C1-B104-E01A829F84D8}">
      <text>
        <t>[Threaded comment]
Your version of Excel allows you to read this threaded comment; however, any edits to it will get removed if the file is opened in a newer version of Excel. Learn more: https://go.microsoft.com/fwlink/?linkid=870924
Comment:
    probably depreciation?</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tc={A21CFDE7-18F6-4C8B-8929-D3BC134ECE17}</author>
  </authors>
  <commentList>
    <comment ref="H52" authorId="0" shapeId="0" xr:uid="{A21CFDE7-18F6-4C8B-8929-D3BC134ECE17}">
      <text>
        <t>[Threaded comment]
Your version of Excel allows you to read this threaded comment; however, any edits to it will get removed if the file is opened in a newer version of Excel. Learn more: https://go.microsoft.com/fwlink/?linkid=870924
Comment:
    compare with nuffield trust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Stephen Rocks</author>
  </authors>
  <commentList>
    <comment ref="G45" authorId="0" shapeId="0" xr:uid="{35AA0F51-813A-4DEA-B3F4-DA8F761ABED5}">
      <text>
        <r>
          <rPr>
            <b/>
            <sz val="9"/>
            <color indexed="81"/>
            <rFont val="Tahoma"/>
            <family val="2"/>
          </rPr>
          <t>Stephen Rocks:</t>
        </r>
        <r>
          <rPr>
            <sz val="9"/>
            <color indexed="81"/>
            <rFont val="Tahoma"/>
            <family val="2"/>
          </rPr>
          <t xml:space="preserve">
programme plus admin</t>
        </r>
      </text>
    </comment>
    <comment ref="G46" authorId="0" shapeId="0" xr:uid="{70D52EE5-87E6-4839-BBCD-B7C1CAFED7AC}">
      <text>
        <r>
          <rPr>
            <b/>
            <sz val="9"/>
            <color indexed="81"/>
            <rFont val="Tahoma"/>
            <family val="2"/>
          </rPr>
          <t>Stephen Rocks:</t>
        </r>
        <r>
          <rPr>
            <sz val="9"/>
            <color indexed="81"/>
            <rFont val="Tahoma"/>
            <family val="2"/>
          </rPr>
          <t xml:space="preserve">
GP services only</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Stephen Rocks</author>
  </authors>
  <commentList>
    <comment ref="G42" authorId="0" shapeId="0" xr:uid="{099EE6AA-964B-4093-8FB0-CFAC252A0308}">
      <text>
        <r>
          <rPr>
            <b/>
            <sz val="9"/>
            <color indexed="81"/>
            <rFont val="Tahoma"/>
            <family val="2"/>
          </rPr>
          <t>Stephen Rocks:</t>
        </r>
        <r>
          <rPr>
            <sz val="9"/>
            <color indexed="81"/>
            <rFont val="Tahoma"/>
            <family val="2"/>
          </rPr>
          <t xml:space="preserve">
https://assets.publishing.service.gov.uk/government/uploads/system/uploads/attachment_data/file/717765/nhs-settlement-numbers.pdf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<sst xmlns="http://schemas.openxmlformats.org/spreadsheetml/2006/main" count="6021" uniqueCount="1987">
  <si>
    <t>This spreadsheet records DHSC and NHS budgets for the time-series starting 2009/10.</t>
  </si>
  <si>
    <t>These figures are updated when new data becomes available, at a Spending Review for example.</t>
  </si>
  <si>
    <t>The GDP Deflator needs to be updated regularly also, in the GDP Deflator tab and also in the appropriate row in the DHSC NHS Budgets tab.</t>
  </si>
  <si>
    <t>WHEN DATA IS UPDATED IN THIS FILE, PLEASE COMPLETE THE LOG TAB WITH DETAILS OF WHAT HAS BEEN UPDATED</t>
  </si>
  <si>
    <t>The data in this spreadsheet is a mixture of actual spends, planned spends and our own calculations of future or current year spend.</t>
  </si>
  <si>
    <t>The colour coding shows:</t>
  </si>
  <si>
    <t>Actual spend</t>
  </si>
  <si>
    <t>Planned budget</t>
  </si>
  <si>
    <t>HF estimate or projection</t>
  </si>
  <si>
    <t>Calculation</t>
  </si>
  <si>
    <t>PLEASE ENSURE ALL UPDATES ARE RECORDED IN THE LOG. PLEASE ALSO AMEND NOTES OR COLOUR CODING FOR UPDATED DATA SO THE DATA SOURCE OR METHOD IS CLEAR</t>
  </si>
  <si>
    <t>Details of update</t>
  </si>
  <si>
    <t>Date</t>
  </si>
  <si>
    <t>User name</t>
  </si>
  <si>
    <t>Data</t>
  </si>
  <si>
    <t>Actual/Planned/Calculated</t>
  </si>
  <si>
    <t>Other</t>
  </si>
  <si>
    <t>Source</t>
  </si>
  <si>
    <t>Link</t>
  </si>
  <si>
    <t>Mark Carter</t>
  </si>
  <si>
    <t>Archived Josh Kraindler handover notes on calculating Capital Productivity and list of finance contacts</t>
  </si>
  <si>
    <t>N/A</t>
  </si>
  <si>
    <t>Josh's handover notes linked in Link column</t>
  </si>
  <si>
    <t>https://thehealthfoundation98.sharepoint.com/:w:/r/sites/thf_project/projects_programmes/00638/2020/20202311%20-%20JK%20Handover%20notes/Handover%20notes.docx?d=we9fd3b0d55a441fbb641f5f501289f1e&amp;csf=1&amp;web=1&amp;e=NffHHE</t>
  </si>
  <si>
    <t>Stephen Rocks</t>
  </si>
  <si>
    <t>Added breakdown of health spend and estimates of cost-weighted activity. Added links and notes column to the tabs.</t>
  </si>
  <si>
    <t>All</t>
  </si>
  <si>
    <t>Various</t>
  </si>
  <si>
    <t>https://thehealthfoundation98.sharepoint.com/:x:/r/sites/thf_project/projects_programmes/00667/_layouts/15/Doc.aspx?sourcedoc=%7BCE9F19A8-166A-4095-98EA-A33E59D316DE%7D&amp;file=New%20Model.xlsx&amp;action=default&amp;mobileredirect=true</t>
  </si>
  <si>
    <t>Stephen Rocks and Giulia Boccarini</t>
  </si>
  <si>
    <t>Updated following Budget 2021</t>
  </si>
  <si>
    <t>Actual/Planned</t>
  </si>
  <si>
    <t>Giulia Boccarini</t>
  </si>
  <si>
    <t>Updated following SR21, 2020-21 ARA &amp; Board papers (jan)</t>
  </si>
  <si>
    <t>George Stevenson</t>
  </si>
  <si>
    <t>Tidied the spreadsheet and updated following AS 2022 and ARA 2023</t>
  </si>
  <si>
    <t>Funding update</t>
  </si>
  <si>
    <t>The REAL Centre funding page is here:</t>
  </si>
  <si>
    <t>https://www.health.org.uk/publications/long-reads/health-care-funding</t>
  </si>
  <si>
    <t>The page is update following fiscal events, currently these are in March (Budget) and November (Autumn Statement)</t>
  </si>
  <si>
    <t>Note, the departmental spending data can also be updated based on the latest PESA (July) and from Supplementary Estimates (February)</t>
  </si>
  <si>
    <t>To update the current funding page, follow the steps below:</t>
  </si>
  <si>
    <t>The core spreadsheet is this one, 'NHS_DHSC_Budget'. This is not specific to any fiscal event and is a live document</t>
  </si>
  <si>
    <t>Copy the folder in Non-KeyedIn from the previous fiscal event, rename folder and files for the latest fiscal event (e.g. copy Budget 2024 and rename AS 2024)</t>
  </si>
  <si>
    <t>Note, the previous folder can be identified based on the previous fiscal event. Non keyedin folders are on calendar years.</t>
  </si>
  <si>
    <t>https://thehealthfoundation98.sharepoint.com/sites/thf_project/projects_programmes/00638/default.aspx</t>
  </si>
  <si>
    <t>The relevant docs for each fiscal event are:</t>
  </si>
  <si>
    <t>WORD DOC: e.g. 3 key questions about health funding - Budget 2024</t>
  </si>
  <si>
    <t>EXCEL FILE: e.g. HealthFunding_Charts_Budget24</t>
  </si>
  <si>
    <t>Update data</t>
  </si>
  <si>
    <t>To update the data, use the tabs in this spreadsheet following 'Latest funding page update'</t>
  </si>
  <si>
    <t>y</t>
  </si>
  <si>
    <t>1) Make a copy of the latest budget tab, rename it with the event source the update is based on (budget, autumn statement, supplementary estimates, PESA) , e.g. copy 'Latest budget' and rename tab as 'AS 2024'</t>
  </si>
  <si>
    <t>2) Keep a copy of the tab, named according to the document on which it is based. This gives us a record of past numbers.</t>
  </si>
  <si>
    <t>3) Copy all the data from that tab, and paste into previous budget (i.e. the previous budget tab should be based on the previous event)</t>
  </si>
  <si>
    <t>4) When necessary, add extra columns for new year(s) to the latest budget tab. This could be one extra year if there is one extra year of planned spend, up to five extra years if there is a comprehensive spending review. It could also be the document on gives an updated value for the existing year, in which case no extra columns are needed.</t>
  </si>
  <si>
    <t>5) In the latest budget tab, update the departmental spending numbers in cash terms (DHSC RDEL excl. deprn, DHSC CDEL, NHSE RDEL). In the top row, add a link to the new source doc. This is the central task for updating the numbers.</t>
  </si>
  <si>
    <t>note, we include numbers for DHSC RDEL excl depreciation, NHS England (RDEL) and DHSC CDEL</t>
  </si>
  <si>
    <t>6) In the deflator tab, update the GDP deflator. The longer historic series is from HMT (source in the tab), the format should be consistent.</t>
  </si>
  <si>
    <t>7) In the deflator tab, future values are given as growth rates and not as part of the index. Multiply the index by future years' growth to get a consistent index into the future.</t>
  </si>
  <si>
    <t>8) Check for new ONS population mid-year estimates and where possible update with new population projections</t>
  </si>
  <si>
    <t>note, ONS population estimates for mid-year are published annually, population projections are produced less frequently</t>
  </si>
  <si>
    <t>https://www.ons.gov.uk/peoplepopulationandcommunity/populationandmigration/populationestimates</t>
  </si>
  <si>
    <t>9) Update the formulae in the "Diff_..." tab - this is used to compare number from the latest and previous fiscal event</t>
  </si>
  <si>
    <t>note, we do not use this for the charts but may be relevant for the text</t>
  </si>
  <si>
    <t>10) Update the time period for the historic spend data, including the latest year of current fiscal plans</t>
  </si>
  <si>
    <t>note, we may also want to update the historic spend number up to the latest outturn</t>
  </si>
  <si>
    <t>At this point the numbers should all be updated for the current funding page</t>
  </si>
  <si>
    <t>The charts should all be updated in the tabs following 'CHARTS'</t>
  </si>
  <si>
    <t>Check the links are working correctly and is reading the latest data</t>
  </si>
  <si>
    <t>Update the word document and excel file</t>
  </si>
  <si>
    <t>1) Once the data is all checked, only then copy the chart tabs (figures 1-4) into the relevant data file in the folder in nonkeyedin</t>
  </si>
  <si>
    <t>2) Break all data links, such that this is pasted as values rather than being linked by formulate</t>
  </si>
  <si>
    <t>3) Update the text in the file, e.g. the year the prices are in, the sources, the update date</t>
  </si>
  <si>
    <t>4) Share the file with Comms; this is the datasheet to accompany the update</t>
  </si>
  <si>
    <t>5) Agree with Comms who will update the relevant Flourish charts (links to chart are in the word document)</t>
  </si>
  <si>
    <t>6) Update the data in the word document</t>
  </si>
  <si>
    <r>
      <t>CHECKLIST</t>
    </r>
    <r>
      <rPr>
        <sz val="11"/>
        <color theme="1"/>
        <rFont val="Calibri"/>
        <family val="2"/>
        <scheme val="minor"/>
      </rPr>
      <t xml:space="preserve"> (performed by one person, checked by another)</t>
    </r>
  </si>
  <si>
    <t>mark when complete</t>
  </si>
  <si>
    <t>Author check</t>
  </si>
  <si>
    <t>QA check</t>
  </si>
  <si>
    <t>Latest and historical departmental figures in cash terms match the latest relevant document (e.g. budget, autumn statement, supplementary estimates, PESA)</t>
  </si>
  <si>
    <t>Y</t>
  </si>
  <si>
    <r>
      <rPr>
        <b/>
        <i/>
        <sz val="11"/>
        <color rgb="FF000000"/>
        <rFont val="Calibri"/>
        <family val="2"/>
      </rPr>
      <t xml:space="preserve">NOTE </t>
    </r>
    <r>
      <rPr>
        <i/>
        <sz val="11"/>
        <color rgb="FF000000"/>
        <rFont val="Calibri"/>
        <family val="2"/>
      </rPr>
      <t>An important consideration is consistency in the data series. Recent changes include pensions and provider depreciation. See notes below on 'Consistency of data'. Look out for any future changes in definitions that make data less comparable across time. For instance, at some point in the future, HEE - health education england - may be absorbed into NHSE, which will appear as a transfer from other DHSC RDEL to NHSE RDEL.</t>
    </r>
  </si>
  <si>
    <t>GDP deflator matches latest GDP deflator from HMT</t>
  </si>
  <si>
    <t>formula for converting data into real terms figures is working correctly</t>
  </si>
  <si>
    <t>check all real terms values are reading off the same GDP deflator</t>
  </si>
  <si>
    <t>confirm what year's prices the real terms numbers should be expressed in (rule of thumb, use existing financial year in November; use coming year for a budget published in March)</t>
  </si>
  <si>
    <t>ensure planned and outrun titles are accurate (i.e. update the headings if a previously planned value is now actual)</t>
  </si>
  <si>
    <t>check that historic spending is reading a) the right historic period, b) the right planned year (pay attention if more future years are added)</t>
  </si>
  <si>
    <t>Once the data is correct and the document signed off</t>
  </si>
  <si>
    <t>provide datasheet to Comms</t>
  </si>
  <si>
    <t>agree with Comms who will update Flourish charts</t>
  </si>
  <si>
    <t>Final checks</t>
  </si>
  <si>
    <t>check the datasheet vs. DHSC spreadsheet</t>
  </si>
  <si>
    <t>check the word doc vs. the datasheet</t>
  </si>
  <si>
    <t>check with Comms that datasheet is up to date (meaning the data download is updated)</t>
  </si>
  <si>
    <t>check author list with Comms</t>
  </si>
  <si>
    <t>Consistency of data</t>
  </si>
  <si>
    <t>Recent adjustments include pensions and provider depreciation.</t>
  </si>
  <si>
    <t>See here on the pensions adjustment</t>
  </si>
  <si>
    <t>https://www.gov.uk/government/publications/2024-to-2025-financial-directions-to-nhs-england/2024-to-2025-financial-directions-to-nhs-england</t>
  </si>
  <si>
    <t>See here on provider depreciation</t>
  </si>
  <si>
    <t>chrome-extension://efaidnbmnnnibpcajpcglclefindmkaj/https://assets.publishing.service.gov.uk/media/64b69e320ea2cb001315e4f6/E02929310_HMT_PESA_2023_Accessible.pdf</t>
  </si>
  <si>
    <t>DHSC values are announced at fiscal events</t>
  </si>
  <si>
    <t>PESA is published in the summer</t>
  </si>
  <si>
    <t>DHSC values are revised as part of supplementary estimates, published towards the end of the financial year</t>
  </si>
  <si>
    <t>Following a fiscal event, the government will give the NHS its mandate for the year ahead</t>
  </si>
  <si>
    <t>This is accompanied by Finanical Directions, which contain the NHS RDEL and its breakdown</t>
  </si>
  <si>
    <t>The Finanical Directions can be revised across the year, with the last revision usually coming at the end of the financial year</t>
  </si>
  <si>
    <t>The core spreadsheet is this one, 'NHS_DHSC_Budget'</t>
  </si>
  <si>
    <t xml:space="preserve">The chart data should be updated in the excel file in the relevant folder (e.g. </t>
  </si>
  <si>
    <t>The relevant docs are</t>
  </si>
  <si>
    <t>WORD DOC: 3 key questions about health funding - Budget 2024</t>
  </si>
  <si>
    <t>EXCEL FILE: HealthFunding_Charts_Budget24</t>
  </si>
  <si>
    <t>To update the data</t>
  </si>
  <si>
    <t>note, this ensures we have a record of past fiscal events</t>
  </si>
  <si>
    <t>Table 2a</t>
  </si>
  <si>
    <t>5 and 10 year funding projections for the sustained improvement scenario</t>
  </si>
  <si>
    <t>Sustained improvement scenario</t>
  </si>
  <si>
    <t>2024/25*</t>
  </si>
  <si>
    <t>2029/30 (5 year projection)</t>
  </si>
  <si>
    <t>2024/25–2029/30</t>
  </si>
  <si>
    <t>2034/35 (10 year projection)</t>
  </si>
  <si>
    <t>2029/30–2034/35</t>
  </si>
  <si>
    <t>2024/25–2034/35</t>
  </si>
  <si>
    <t>£bn (24/25 prices)</t>
  </si>
  <si>
    <t>Annual growth</t>
  </si>
  <si>
    <t>DHSC RDEL</t>
  </si>
  <si>
    <t>Of which: NHS England</t>
  </si>
  <si>
    <t>DHSC CDEL</t>
  </si>
  <si>
    <t>DHSC TDEL</t>
  </si>
  <si>
    <t>Table 2b</t>
  </si>
  <si>
    <t>5 and 10 year funding projections for the minimal change scenario</t>
  </si>
  <si>
    <t>Minimal change scenario</t>
  </si>
  <si>
    <t>How does the Autumn planned 24/25 compare to Spring planned</t>
  </si>
  <si>
    <t>Nominal funding projections - calculated from the real growth oon the new 24/25 planned</t>
  </si>
  <si>
    <t>Autumn</t>
  </si>
  <si>
    <t>Nominal</t>
  </si>
  <si>
    <t>2025-26</t>
  </si>
  <si>
    <t>Sustained improvement</t>
  </si>
  <si>
    <t>Minimal Change</t>
  </si>
  <si>
    <t>DHSC RDEL (excl. pensions)</t>
  </si>
  <si>
    <t>Pay</t>
  </si>
  <si>
    <t>Pensions</t>
  </si>
  <si>
    <t>Social security</t>
  </si>
  <si>
    <t>Deflator</t>
  </si>
  <si>
    <t>FUNDING PROJECTIONS</t>
  </si>
  <si>
    <t xml:space="preserve">NHSE Pay number from budget? </t>
  </si>
  <si>
    <t>annual growth</t>
  </si>
  <si>
    <t>Projected growth rate</t>
  </si>
  <si>
    <t>2025-26 (following projeciton growth</t>
  </si>
  <si>
    <t>plans</t>
  </si>
  <si>
    <t>period</t>
  </si>
  <si>
    <t>measure</t>
  </si>
  <si>
    <t>Outrun</t>
  </si>
  <si>
    <t>Planned</t>
  </si>
  <si>
    <t>deflator</t>
  </si>
  <si>
    <t>real_outrun</t>
  </si>
  <si>
    <t>real_planned</t>
  </si>
  <si>
    <t>Real Percentage difference of outrun / planned</t>
  </si>
  <si>
    <t>Real difference in outrun to plan (£bn)</t>
  </si>
  <si>
    <t>Row Labels</t>
  </si>
  <si>
    <t>Sum of Real Percentage difference of outrun / planned</t>
  </si>
  <si>
    <t>Sum of Real difference in outrun to plan (£bn)</t>
  </si>
  <si>
    <t>2016-17</t>
  </si>
  <si>
    <t>RDEL</t>
  </si>
  <si>
    <t>2017-18</t>
  </si>
  <si>
    <t>2018-19</t>
  </si>
  <si>
    <t>2019-20</t>
  </si>
  <si>
    <t>2020-21</t>
  </si>
  <si>
    <t>2021-22</t>
  </si>
  <si>
    <t>2022-23</t>
  </si>
  <si>
    <t>2023-24</t>
  </si>
  <si>
    <t>2024-25</t>
  </si>
  <si>
    <t>NA</t>
  </si>
  <si>
    <t>Grand Total</t>
  </si>
  <si>
    <t>Source:</t>
  </si>
  <si>
    <t>PESA 2024</t>
  </si>
  <si>
    <t>Budget 2024</t>
  </si>
  <si>
    <t>Suplementary estimates</t>
  </si>
  <si>
    <t>Notes</t>
  </si>
  <si>
    <t>https://assets.publishing.service.gov.uk/media/66a8dd93ab418ab055592fb9/E03149684_PESA_2024_Web_Accessible.pdf</t>
  </si>
  <si>
    <t>https://assets.publishing.service.gov.uk/media/65e8578eb559930011ade2cb/E03057752_HMT_Spring_Budget_Mar_24_Web_Accessible__2_.pdf</t>
  </si>
  <si>
    <t>https://www.gov.uk/government/publications/supplementary-estimates-2023-24#:~:text=The%20Supplementary%20Estimates%2C%20presented%20to,for%20any%20necessary%20new%20services.</t>
  </si>
  <si>
    <t>Published</t>
  </si>
  <si>
    <t>Total DEL is given by Resource DEL excluding depreciation (Table 1.5) plus Capital DEL</t>
  </si>
  <si>
    <t>Cash terms (£bn) Health and Social Care</t>
  </si>
  <si>
    <t>2010-11</t>
  </si>
  <si>
    <t>2011-12</t>
  </si>
  <si>
    <t>2012-13</t>
  </si>
  <si>
    <t>2013-14</t>
  </si>
  <si>
    <t>2014-15</t>
  </si>
  <si>
    <t>2015-16</t>
  </si>
  <si>
    <t>% change</t>
  </si>
  <si>
    <t>Absolute</t>
  </si>
  <si>
    <t>outturn</t>
  </si>
  <si>
    <t>baseline</t>
  </si>
  <si>
    <t>2023/24 vs. 2022/23</t>
  </si>
  <si>
    <t>2024/25 vs. 2023/24</t>
  </si>
  <si>
    <t>2023/24 vs. 2022/25</t>
  </si>
  <si>
    <t>2023/24 vs. 2022/26</t>
  </si>
  <si>
    <t>DHSC total budget</t>
  </si>
  <si>
    <t>DHSC total budget less pension adjustment and transfers</t>
  </si>
  <si>
    <t>Resource DEL excluding depreciation</t>
  </si>
  <si>
    <t>Table 1.5 Resource DEL excluding depreciation - Table 2.1: Resource Departmental Expenditure Limits (DEL) excluding depreciation</t>
  </si>
  <si>
    <t>Table called NHS England - Departmental Expenditure Limits</t>
  </si>
  <si>
    <t>Pensions adjustment I</t>
  </si>
  <si>
    <t>Pensions adjustment II</t>
  </si>
  <si>
    <t>see Financial Directions</t>
  </si>
  <si>
    <t>Transfers</t>
  </si>
  <si>
    <t>Resource DEL (DHSC) excl. pensions adjustment</t>
  </si>
  <si>
    <t>NHS England (excl. pensions)</t>
  </si>
  <si>
    <t>RDEL of which: Other (non-NHS England)</t>
  </si>
  <si>
    <t>Capital DEL</t>
  </si>
  <si>
    <t>Table 1.8 Capital budgets, 2019-20 to 2024-25 - Table 2.2: Capital Departmental Expenditure Limits (DEL) - https://view.officeapps.live.com/op/view.aspx?src=https%3A%2F%2Fobr.uk%2Fdocs%2Fdlm_uploads%2FChapter_5_charts_and_tables_October_2024.xlsx&amp;wdOrigin=BROWSELINK</t>
  </si>
  <si>
    <t>PH grant</t>
  </si>
  <si>
    <t>Pay from DHSC accounts</t>
  </si>
  <si>
    <t>Table 39</t>
  </si>
  <si>
    <t>Salaries and wages</t>
  </si>
  <si>
    <t>Look out for the £3.4bn promissed captial spend on digitising NHS (over 3 years from 2025/26)</t>
  </si>
  <si>
    <t xml:space="preserve">Pensions </t>
  </si>
  <si>
    <t>https://assets.publishing.service.gov.uk/media/65b236c81702b10013cb1289/DHSC-Annual-report-and-accounts-2022-2023-web-accessible.pdf</t>
  </si>
  <si>
    <t>Laurie NHSE pay bill</t>
  </si>
  <si>
    <t>Laurie to fill</t>
  </si>
  <si>
    <t>Share of funding for NHS England</t>
  </si>
  <si>
    <t>GDP deflator</t>
  </si>
  <si>
    <t>https://obr.uk/download/october-2024-economic-and-fiscal-outlook-detailed-forecast-tables-economy/?tmstv=1730298074</t>
  </si>
  <si>
    <t>Non-consolidated pay award</t>
  </si>
  <si>
    <t>Real terms, 24/25 prices (£bn)</t>
  </si>
  <si>
    <t>2025 - 26</t>
  </si>
  <si>
    <t>Health and Social Care</t>
  </si>
  <si>
    <t>Pensions adjustment</t>
  </si>
  <si>
    <t>Resource DEL excluding depreciation (adjusted for pensions)</t>
  </si>
  <si>
    <t>Of which: Other (non-NHS England)</t>
  </si>
  <si>
    <t>CAGR, real terms</t>
  </si>
  <si>
    <t>2013/14-2018/19</t>
  </si>
  <si>
    <t>2018/19-2022/23</t>
  </si>
  <si>
    <t>2018/19-2023/24</t>
  </si>
  <si>
    <t>2018/19-2024/25</t>
  </si>
  <si>
    <t>2019/20-2022/23</t>
  </si>
  <si>
    <t>2019/20-2023/24</t>
  </si>
  <si>
    <t>2019/20-2024/25</t>
  </si>
  <si>
    <t>n/a</t>
  </si>
  <si>
    <t>Cash</t>
  </si>
  <si>
    <t xml:space="preserve"> 2013-14 </t>
  </si>
  <si>
    <t>PESA 2023</t>
  </si>
  <si>
    <t>provider depreciation (actual)</t>
  </si>
  <si>
    <t>provider depreciation (estimated 13/14-17/18)</t>
  </si>
  <si>
    <t>NHS England (excl. pensions, excl provider depreciation)</t>
  </si>
  <si>
    <t>NHS England (excl. pensions, incl provider depreciation)</t>
  </si>
  <si>
    <t>Real</t>
  </si>
  <si>
    <t>Table for sally</t>
  </si>
  <si>
    <t>nominal</t>
  </si>
  <si>
    <t>DHSC TDEL less pensions</t>
  </si>
  <si>
    <t>DHSC RDEL less pensions</t>
  </si>
  <si>
    <t xml:space="preserve">NHSE RDEL </t>
  </si>
  <si>
    <t>NHSE RDEL less pensions</t>
  </si>
  <si>
    <t>real</t>
  </si>
  <si>
    <t>Growth from 23/24 to 24/25</t>
  </si>
  <si>
    <t>Growth from 24/25 to 25/26</t>
  </si>
  <si>
    <t>Growth from 23/24 to 25/26</t>
  </si>
  <si>
    <t>https://assets.publishing.service.gov.uk/government/uploads/system/uploads/attachment_data/file/1171658/E02929310_HMT_PESA_2023_Accessible.pdf</t>
  </si>
  <si>
    <t>Cash terms (£bn)</t>
  </si>
  <si>
    <t>OBR, EFO</t>
  </si>
  <si>
    <t>Real terms, 23/24 prices (£bn)</t>
  </si>
  <si>
    <t>provider depreciation</t>
  </si>
  <si>
    <t>estimated</t>
  </si>
  <si>
    <t>Used in final chart</t>
  </si>
  <si>
    <t>PESA 2022</t>
  </si>
  <si>
    <t>Table 1.5 Resource DEL excluding depreciation</t>
  </si>
  <si>
    <t>Table 2.1: Resource Departmental Expenditure Limits (DEL) excluding depreciation</t>
  </si>
  <si>
    <t>Table 1.8 Capital budgets, 2018-19 to 2024-25</t>
  </si>
  <si>
    <t>Table 2.2: Capital Departmental Expenditure Limits (DEL)</t>
  </si>
  <si>
    <t>2023/24</t>
  </si>
  <si>
    <t>2024/25</t>
  </si>
  <si>
    <t>2025/26</t>
  </si>
  <si>
    <t>23/24 to 24/25</t>
  </si>
  <si>
    <t>24/25 to 25/26</t>
  </si>
  <si>
    <t>CAGR 23/24 to 25/26</t>
  </si>
  <si>
    <t>Nominal figures</t>
  </si>
  <si>
    <t>DHS RDEL</t>
  </si>
  <si>
    <t>Adjustments for pentions</t>
  </si>
  <si>
    <t>Real terms</t>
  </si>
  <si>
    <t xml:space="preserve">Real growth rate </t>
  </si>
  <si>
    <t>NHSE RDEL</t>
  </si>
  <si>
    <t>Adjustments</t>
  </si>
  <si>
    <t>Pension</t>
  </si>
  <si>
    <t>Adjustments for pensions</t>
  </si>
  <si>
    <t>Transfers to DHSC</t>
  </si>
  <si>
    <t>NHSE internal transfers</t>
  </si>
  <si>
    <t>HMT replication</t>
  </si>
  <si>
    <t>HMT post edits</t>
  </si>
  <si>
    <t>Diff</t>
  </si>
  <si>
    <t>Figure 1 for dundin chart</t>
  </si>
  <si>
    <t>Overall</t>
  </si>
  <si>
    <t>Filter</t>
  </si>
  <si>
    <t>Cash terms</t>
  </si>
  <si>
    <t>Cash terms (excl. pension)</t>
  </si>
  <si>
    <t xml:space="preserve">Growth </t>
  </si>
  <si>
    <t>2022/23</t>
  </si>
  <si>
    <t>Of which:</t>
  </si>
  <si>
    <t>DHSC resource</t>
  </si>
  <si>
    <t>-- NHSE</t>
  </si>
  <si>
    <t>-- Other health budgets</t>
  </si>
  <si>
    <t>Capital</t>
  </si>
  <si>
    <t>2024/25 (Planned)</t>
  </si>
  <si>
    <t>2025/26 (Planned)</t>
  </si>
  <si>
    <t>Nominal figures, adjusted for pension policy</t>
  </si>
  <si>
    <t>Real figures, adjustes for pension policy</t>
  </si>
  <si>
    <t>Real, adjusted growth rates</t>
  </si>
  <si>
    <t>Autumn Statement</t>
  </si>
  <si>
    <t>https://www.gov.uk/government/publications/autumn-statement-2023</t>
  </si>
  <si>
    <t>Financial Directions</t>
  </si>
  <si>
    <t>fyear (Starting)</t>
  </si>
  <si>
    <t>deflator (yoy)</t>
  </si>
  <si>
    <t>deflator(2024/25 = 100)</t>
  </si>
  <si>
    <t>deflator index (2008/09 = 100)</t>
  </si>
  <si>
    <t>deflator (2022/23 = 100)</t>
  </si>
  <si>
    <t>Deflator as reported (2019 = 100)</t>
  </si>
  <si>
    <t>23/24 = 100</t>
  </si>
  <si>
    <t>24/25 = 100</t>
  </si>
  <si>
    <t>From HMT autumn budget for comparison</t>
  </si>
  <si>
    <t>https://www.gov.uk/government/statistics/gdp-deflators-at-market-prices-and-money-gdp-october-2024-autumn-budget-2024</t>
  </si>
  <si>
    <t>2008-09</t>
  </si>
  <si>
    <t>2009-10</t>
  </si>
  <si>
    <r>
      <t>2024-25</t>
    </r>
    <r>
      <rPr>
        <vertAlign val="superscript"/>
        <sz val="10"/>
        <rFont val="Times New Roman"/>
        <family val="1"/>
      </rPr>
      <t xml:space="preserve"> (1), (2)</t>
    </r>
  </si>
  <si>
    <r>
      <t>2025-26</t>
    </r>
    <r>
      <rPr>
        <vertAlign val="superscript"/>
        <sz val="10"/>
        <rFont val="Times New Roman"/>
        <family val="1"/>
      </rPr>
      <t xml:space="preserve"> (1), (2)</t>
    </r>
  </si>
  <si>
    <t>2026-27</t>
  </si>
  <si>
    <r>
      <t>2026-27</t>
    </r>
    <r>
      <rPr>
        <vertAlign val="superscript"/>
        <sz val="10"/>
        <rFont val="Times New Roman"/>
        <family val="1"/>
      </rPr>
      <t xml:space="preserve"> (1), (2)</t>
    </r>
  </si>
  <si>
    <t>2027-28</t>
  </si>
  <si>
    <r>
      <t>2027-28</t>
    </r>
    <r>
      <rPr>
        <vertAlign val="superscript"/>
        <sz val="10"/>
        <rFont val="Times New Roman"/>
        <family val="1"/>
      </rPr>
      <t xml:space="preserve"> (1), (2)</t>
    </r>
  </si>
  <si>
    <t>2028-29</t>
  </si>
  <si>
    <r>
      <t>2028-29</t>
    </r>
    <r>
      <rPr>
        <vertAlign val="superscript"/>
        <sz val="10"/>
        <rFont val="Times New Roman"/>
        <family val="1"/>
      </rPr>
      <t xml:space="preserve"> (1), (2)</t>
    </r>
  </si>
  <si>
    <t>2029-30</t>
  </si>
  <si>
    <r>
      <t>2029-30</t>
    </r>
    <r>
      <rPr>
        <vertAlign val="superscript"/>
        <sz val="10"/>
        <rFont val="Times New Roman"/>
        <family val="1"/>
      </rPr>
      <t xml:space="preserve"> (1), (2)</t>
    </r>
  </si>
  <si>
    <t>SOURCE</t>
  </si>
  <si>
    <t>Table 1.7</t>
  </si>
  <si>
    <t>DHSC TDEL, core (Nominal)</t>
  </si>
  <si>
    <t>excl provider depn</t>
  </si>
  <si>
    <t>DHSC TDEL, (Real)</t>
  </si>
  <si>
    <t>Population</t>
  </si>
  <si>
    <t>10 year</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</si>
  <si>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</si>
  <si>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</si>
  <si>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</si>
  <si>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</si>
  <si>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</si>
  <si>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</si>
  <si>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</si>
  <si>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</si>
  <si>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</si>
  <si>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</si>
  <si>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</si>
  <si>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</si>
  <si>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</si>
  <si>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</si>
  <si>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</si>
  <si>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</si>
  <si>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</si>
  <si>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</si>
  <si>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</si>
  <si>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</si>
  <si>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</si>
  <si>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</si>
  <si>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</si>
  <si>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</si>
  <si>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</si>
  <si>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</si>
  <si>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</si>
  <si>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</si>
  <si>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</si>
  <si>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</si>
  <si>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</si>
  <si>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</si>
  <si>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</si>
  <si>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</si>
  <si>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</si>
  <si>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</si>
  <si>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</si>
  <si>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Government</t>
  </si>
  <si>
    <t>Time period</t>
  </si>
  <si>
    <t>Thatcher and Major Conservative governments</t>
  </si>
  <si>
    <t>1979/80 to 1996/97</t>
  </si>
  <si>
    <t>Blair and Brown Labour governments</t>
  </si>
  <si>
    <t>1996/97 to 2009/10</t>
  </si>
  <si>
    <t>Coalition government</t>
  </si>
  <si>
    <t>2009/10 to 2014/15</t>
  </si>
  <si>
    <t>Cameron and May Conservative governments</t>
  </si>
  <si>
    <t>2014/15 to 2019/20</t>
  </si>
  <si>
    <t>Johnson, Truss and Sunak Conservative government</t>
  </si>
  <si>
    <t>2019/20 to 2023/24</t>
  </si>
  <si>
    <t>Starmer Labour government</t>
  </si>
  <si>
    <t>2023/24 to 2025/26</t>
  </si>
  <si>
    <t>Long term average (pre-COVID 19)</t>
  </si>
  <si>
    <t>1979/80 to 2019/20</t>
  </si>
  <si>
    <t>Match for social care long term average</t>
  </si>
  <si>
    <t>1997/98 to 2019/20</t>
  </si>
  <si>
    <t>Sources</t>
  </si>
  <si>
    <t>Latest actual pop</t>
  </si>
  <si>
    <t>https://www.ons.gov.uk/peoplepopulationandcommunity/populationandmigration/populationestimates/datasets/estimatesofthepopulationforenglandandwales</t>
  </si>
  <si>
    <t>Latest pop projections</t>
  </si>
  <si>
    <t>https://www.ons.gov.uk/peoplepopulationandcommunity/populationandmigration/populationprojections/datasets/z3zippedpopulationprojectionsdatafilesengland</t>
  </si>
  <si>
    <t>Total</t>
  </si>
  <si>
    <t>Spend (£000s)</t>
  </si>
  <si>
    <t>Weights (1 = 30y.o.)</t>
  </si>
  <si>
    <t>GDP DEFLATORS AT MARKET PRICES, AND MONEY GDP</t>
  </si>
  <si>
    <t>Outturn data are as at the Quarterly National Accounts from ONS - last updated 30 September 2024.</t>
  </si>
  <si>
    <t>Forecast data are consistent with OBR EFO data as at Budget 6 March 2024.</t>
  </si>
  <si>
    <t>Financial year</t>
  </si>
  <si>
    <t>Calendar year</t>
  </si>
  <si>
    <t xml:space="preserve">GDP deflator at market prices </t>
  </si>
  <si>
    <r>
      <t>Money GDP</t>
    </r>
    <r>
      <rPr>
        <vertAlign val="superscript"/>
        <sz val="10"/>
        <rFont val="Times New Roman"/>
        <family val="1"/>
      </rPr>
      <t xml:space="preserve"> (3), (4)</t>
    </r>
  </si>
  <si>
    <r>
      <t>Money GDP</t>
    </r>
    <r>
      <rPr>
        <vertAlign val="superscript"/>
        <sz val="10"/>
        <rFont val="Times New Roman"/>
        <family val="1"/>
      </rPr>
      <t xml:space="preserve"> (3)</t>
    </r>
  </si>
  <si>
    <t>2023-24 = 100</t>
  </si>
  <si>
    <t>per cent change on previous year</t>
  </si>
  <si>
    <t>Cash £ million
Non-Season-ally Adjusted</t>
  </si>
  <si>
    <t>Cash £ million
Seasonally Adjusted</t>
  </si>
  <si>
    <t>2023 = 100</t>
  </si>
  <si>
    <t>Cash £ million
Non-Seasonally Adjusted</t>
  </si>
  <si>
    <t>1955-56</t>
  </si>
  <si>
    <t>1955</t>
  </si>
  <si>
    <t>1956-57</t>
  </si>
  <si>
    <t>1956</t>
  </si>
  <si>
    <t>1957-58</t>
  </si>
  <si>
    <t>1957</t>
  </si>
  <si>
    <t>1958-59</t>
  </si>
  <si>
    <t>1958</t>
  </si>
  <si>
    <t>1959-60</t>
  </si>
  <si>
    <t>1959</t>
  </si>
  <si>
    <t>1960-61</t>
  </si>
  <si>
    <t>1960</t>
  </si>
  <si>
    <t>1961-62</t>
  </si>
  <si>
    <t>1961</t>
  </si>
  <si>
    <t>1962-63</t>
  </si>
  <si>
    <t>1962</t>
  </si>
  <si>
    <t>1963-64</t>
  </si>
  <si>
    <t>1963</t>
  </si>
  <si>
    <t>1964-65</t>
  </si>
  <si>
    <t>1964</t>
  </si>
  <si>
    <t>1965-66</t>
  </si>
  <si>
    <t>1965</t>
  </si>
  <si>
    <t>1966-67</t>
  </si>
  <si>
    <t>1966</t>
  </si>
  <si>
    <t>1967-68</t>
  </si>
  <si>
    <t>1967</t>
  </si>
  <si>
    <t>1968-69</t>
  </si>
  <si>
    <t>1968</t>
  </si>
  <si>
    <t>1969-70</t>
  </si>
  <si>
    <t>1969</t>
  </si>
  <si>
    <t>1970-71</t>
  </si>
  <si>
    <t>1970</t>
  </si>
  <si>
    <t>1971-72</t>
  </si>
  <si>
    <t>1971</t>
  </si>
  <si>
    <t>1972-73</t>
  </si>
  <si>
    <t>1972</t>
  </si>
  <si>
    <t>1973-74</t>
  </si>
  <si>
    <t>1973</t>
  </si>
  <si>
    <t>1974-75</t>
  </si>
  <si>
    <t>1974</t>
  </si>
  <si>
    <t>1975-76</t>
  </si>
  <si>
    <t>1975</t>
  </si>
  <si>
    <t>1976-77</t>
  </si>
  <si>
    <t>1976</t>
  </si>
  <si>
    <t>1977-78</t>
  </si>
  <si>
    <t>1977</t>
  </si>
  <si>
    <t>1978-79</t>
  </si>
  <si>
    <t>1978</t>
  </si>
  <si>
    <t>1979-80</t>
  </si>
  <si>
    <t>1979</t>
  </si>
  <si>
    <t>1980-81</t>
  </si>
  <si>
    <t>1980</t>
  </si>
  <si>
    <t>1981-82</t>
  </si>
  <si>
    <t>1981</t>
  </si>
  <si>
    <t>1982-83</t>
  </si>
  <si>
    <t>1982</t>
  </si>
  <si>
    <t>1983-84</t>
  </si>
  <si>
    <t>1983</t>
  </si>
  <si>
    <t>1984-85</t>
  </si>
  <si>
    <t>1984</t>
  </si>
  <si>
    <t>1985-86</t>
  </si>
  <si>
    <t>1985</t>
  </si>
  <si>
    <t>1986-87</t>
  </si>
  <si>
    <t>1986</t>
  </si>
  <si>
    <t>1987-88</t>
  </si>
  <si>
    <t>1987</t>
  </si>
  <si>
    <t>1988-89</t>
  </si>
  <si>
    <t>1988</t>
  </si>
  <si>
    <t>1989-90</t>
  </si>
  <si>
    <t>1989</t>
  </si>
  <si>
    <t>1990-91</t>
  </si>
  <si>
    <t>1990</t>
  </si>
  <si>
    <t>1991-92</t>
  </si>
  <si>
    <t>1991</t>
  </si>
  <si>
    <t>1992-93</t>
  </si>
  <si>
    <t>1992</t>
  </si>
  <si>
    <t>1993-94</t>
  </si>
  <si>
    <t>1993</t>
  </si>
  <si>
    <t>1994-95</t>
  </si>
  <si>
    <t>1994</t>
  </si>
  <si>
    <t>1995-96</t>
  </si>
  <si>
    <t>1995</t>
  </si>
  <si>
    <t>1996-97</t>
  </si>
  <si>
    <t>1996</t>
  </si>
  <si>
    <t>1997-98</t>
  </si>
  <si>
    <t>1997</t>
  </si>
  <si>
    <t>1998-99</t>
  </si>
  <si>
    <t>1998</t>
  </si>
  <si>
    <t>1999-00</t>
  </si>
  <si>
    <t>1999</t>
  </si>
  <si>
    <t>2000-01</t>
  </si>
  <si>
    <t>2000</t>
  </si>
  <si>
    <t>2001-02</t>
  </si>
  <si>
    <t>2001</t>
  </si>
  <si>
    <t>2002-03</t>
  </si>
  <si>
    <t>2002</t>
  </si>
  <si>
    <t>2003-04</t>
  </si>
  <si>
    <t>2003</t>
  </si>
  <si>
    <t>2004-05</t>
  </si>
  <si>
    <t>2004</t>
  </si>
  <si>
    <t>2005-06</t>
  </si>
  <si>
    <t>2005</t>
  </si>
  <si>
    <t>2006-07</t>
  </si>
  <si>
    <t>2006</t>
  </si>
  <si>
    <t xml:space="preserve">  </t>
  </si>
  <si>
    <t>2007-08</t>
  </si>
  <si>
    <t>2007</t>
  </si>
  <si>
    <t>2008</t>
  </si>
  <si>
    <t>2009</t>
  </si>
  <si>
    <t>2010</t>
  </si>
  <si>
    <r>
      <t>2024</t>
    </r>
    <r>
      <rPr>
        <vertAlign val="superscript"/>
        <sz val="10"/>
        <rFont val="Times New Roman"/>
        <family val="1"/>
      </rPr>
      <t xml:space="preserve"> (1), (2)</t>
    </r>
  </si>
  <si>
    <t>-</t>
  </si>
  <si>
    <r>
      <t>2025</t>
    </r>
    <r>
      <rPr>
        <vertAlign val="superscript"/>
        <sz val="10"/>
        <rFont val="Times New Roman"/>
        <family val="1"/>
      </rPr>
      <t xml:space="preserve"> (1), (2)</t>
    </r>
  </si>
  <si>
    <r>
      <t>2026</t>
    </r>
    <r>
      <rPr>
        <vertAlign val="superscript"/>
        <sz val="10"/>
        <rFont val="Times New Roman"/>
        <family val="1"/>
      </rPr>
      <t xml:space="preserve"> (1), (2)</t>
    </r>
  </si>
  <si>
    <r>
      <t>2027</t>
    </r>
    <r>
      <rPr>
        <vertAlign val="superscript"/>
        <sz val="10"/>
        <rFont val="Times New Roman"/>
        <family val="1"/>
      </rPr>
      <t xml:space="preserve"> (1), (2)</t>
    </r>
  </si>
  <si>
    <r>
      <t>2028</t>
    </r>
    <r>
      <rPr>
        <vertAlign val="superscript"/>
        <sz val="10"/>
        <rFont val="Times New Roman"/>
        <family val="1"/>
      </rPr>
      <t xml:space="preserve"> (1), (2)</t>
    </r>
  </si>
  <si>
    <t>Sources and footnotes:</t>
  </si>
  <si>
    <t>GDP Deflator:</t>
  </si>
  <si>
    <t>Financial years 1955-56 to 2023-24 taken from ONS series L8GG in data tables: Table N.</t>
  </si>
  <si>
    <t>https://www.ons.gov.uk/file?uri=/economy/grossdomesticproductgdp/datasets/uksecondestimateofgdpdatatables/quarter2aprtojune2024quarterlynationalaccounts/quarterlynationalaccountsdatatables.xlsx</t>
  </si>
  <si>
    <t>Calendar years 1955 to 2023 taken from ONS series MNF2 in data tables: Table O.</t>
  </si>
  <si>
    <t>For years 2024-25 to 2028-29 (2024 to 2028): taken from the Office for Budget Responsibility (OBR) GDP deflator forecasts as of March 2024 EFO detailed forecast tables.</t>
  </si>
  <si>
    <t>https://obr.uk/efo/economic-and-fiscal-outlook-march-2024/</t>
  </si>
  <si>
    <t>Money GDP:</t>
  </si>
  <si>
    <t>For years 1955-56 to 2023-24 (1955 to 2023): ONS data for money GDP not seasonally adjusted series BKTL in data tables: Table N.</t>
  </si>
  <si>
    <t>For years 1955-56 to 2023-24: ONS data for money GDP seasonally adjusted series YBHA in data tables: Table N.</t>
  </si>
  <si>
    <t>Footnotes:</t>
  </si>
  <si>
    <t>(1)</t>
  </si>
  <si>
    <t>For years 2024-25 to 2028-29 (2024 to 2028), this presentation only shows percentage changes in line with data taken from the OBR GDP deflator forecasts as of March 2024 EFO detailed forecast tables.</t>
  </si>
  <si>
    <t>(2)</t>
  </si>
  <si>
    <t>For years 2024-25 to 2028-29 (2024 to 2028), money GDP forecasts from the OBR as of the Budget, March 2024.</t>
  </si>
  <si>
    <t>(3)</t>
  </si>
  <si>
    <t>Non-Seasonally adjusted money GDP (BKTL) from 1955-56 to 2023-24 (1955 to 2023) consistent with ONS Quarterly National Accounts release of 30 September 2024.</t>
  </si>
  <si>
    <t>(4)</t>
  </si>
  <si>
    <t>Seasonally adjusted money GDP (YBHA) from 1955-56 to 2023-24 consistent with ONS Quarterly National Accounts release of 30 September 2024.</t>
  </si>
  <si>
    <t>(5)</t>
  </si>
  <si>
    <t xml:space="preserve">For further information and the 'User's Guide' to these series, please visit the following page on the GOV.UK website at: </t>
  </si>
  <si>
    <t>https://www.gov.uk/government/publications/gross-domestic-product-gdp-deflators-user-guide</t>
  </si>
  <si>
    <t>(6)</t>
  </si>
  <si>
    <t xml:space="preserve">For practical examples of how to use the GDP deflator series, please visit the following page on the GOV.UK website at: </t>
  </si>
  <si>
    <t>https://www.gov.uk/government/publications/how-to-use-the-gdp-deflator-series-practical-examples</t>
  </si>
  <si>
    <t>Outturn data are as at the GDP first quarterly estimate from ONS - last updated 15 February 2024.</t>
  </si>
  <si>
    <t>2022-23 = 100</t>
  </si>
  <si>
    <r>
      <t>2023-24</t>
    </r>
    <r>
      <rPr>
        <vertAlign val="superscript"/>
        <sz val="10"/>
        <rFont val="Times New Roman"/>
        <family val="1"/>
      </rPr>
      <t xml:space="preserve"> (1), (2)</t>
    </r>
  </si>
  <si>
    <t>Financial years 1955-56 to 2022-23 taken from ONS series L8GG in data tables: Table N.</t>
  </si>
  <si>
    <t>https://www.ons.gov.uk/file?uri=/economy/grossdomesticproductgdp/datasets/uksecondestimateofgdpdatatables/quarter4octtodec2023firstestimate/firstquarterlyestimateofgdpdatatables.xlsx</t>
  </si>
  <si>
    <t>For years 2023-24 to 2028-29 (2024 to 2028): taken from the Office for Budget Responsibility (OBR) GDP deflator forecasts as of March 2024 EFO detailed forecast tables.</t>
  </si>
  <si>
    <t>For years 1955-56 to 2022-23 (1955 to 2023): ONS data for money GDP not seasonally adjusted series BKTL in data tables: Table N.</t>
  </si>
  <si>
    <t>For years 1955-56 to 2022-23: ONS data for money GDP seasonally adjusted series YBHA in data tables: Table N.</t>
  </si>
  <si>
    <t>For years 2023-24 to 2028-29 (2024 to 2028), this presentation only shows percentage changes in line with data taken from the OBR GDP deflator forecasts as of March 2024 EFO detailed forecast tables.</t>
  </si>
  <si>
    <t>For years 2023-24 to 2028-29 (2024 to 2028), money GDP forecasts from the OBR as of the Budget, March 2024.</t>
  </si>
  <si>
    <t>Non-Seasonally adjusted money GDP (BKTL) from 1955-56 to 2022-23 (1955 to 2023) consistent with ONS first estimate of GDP from 15 February 2024.</t>
  </si>
  <si>
    <t>Seasonally adjusted money GDP (YBHA) from 1955-56 to 2022-23 consistent with ONS first estimate of GDP from 15 February 2024.</t>
  </si>
  <si>
    <t>Real spend</t>
  </si>
  <si>
    <t>per-capita</t>
  </si>
  <si>
    <t>age-adjusted</t>
  </si>
  <si>
    <t>Version 1 - Including provider depreciation</t>
  </si>
  <si>
    <t>Should match core spreadsheet</t>
  </si>
  <si>
    <t>NHS Engand, RDEL, excl pensions, incl provider depn</t>
  </si>
  <si>
    <t>Note: the below numbers are those used in the final chart</t>
  </si>
  <si>
    <t>Nominal spend</t>
  </si>
  <si>
    <t>F</t>
  </si>
  <si>
    <t>G</t>
  </si>
  <si>
    <t>H</t>
  </si>
  <si>
    <t>I</t>
  </si>
  <si>
    <t>J</t>
  </si>
  <si>
    <t>K</t>
  </si>
  <si>
    <t>L</t>
  </si>
  <si>
    <t>M</t>
  </si>
  <si>
    <t>N</t>
  </si>
  <si>
    <t>O</t>
  </si>
  <si>
    <t>P</t>
  </si>
  <si>
    <t>Q</t>
  </si>
  <si>
    <t>R</t>
  </si>
  <si>
    <t>y-o-y</t>
  </si>
  <si>
    <t>2013/14-2025/26</t>
  </si>
  <si>
    <t>2013/14-2023/24</t>
  </si>
  <si>
    <t>2022/23-2024/25</t>
  </si>
  <si>
    <t>Back to contents</t>
  </si>
  <si>
    <t xml:space="preserve">downloaded from : https://obr.uk/efo/economic-and-fiscal-outlook-october-2024/   October 2024 Economic and fiscal outlook – charts and tables: Chapter 5
</t>
  </si>
  <si>
    <t>Table 5.4: RDEL spending totals by department</t>
  </si>
  <si>
    <t>£ billion</t>
  </si>
  <si>
    <t>Per cent</t>
  </si>
  <si>
    <t>Outturn</t>
  </si>
  <si>
    <t>Forecast</t>
  </si>
  <si>
    <t>Real annual growth</t>
  </si>
  <si>
    <t>Ave. 23-24 to 25-26</t>
  </si>
  <si>
    <t xml:space="preserve">   of which: NHS England</t>
  </si>
  <si>
    <t>Education</t>
  </si>
  <si>
    <t xml:space="preserve">   of which: core schools</t>
  </si>
  <si>
    <t>Home Office</t>
  </si>
  <si>
    <t>Justice</t>
  </si>
  <si>
    <t>Law Officers' Departments</t>
  </si>
  <si>
    <t>Defence</t>
  </si>
  <si>
    <t>Single Intelligence Account</t>
  </si>
  <si>
    <t>FCDO: Foreign Office</t>
  </si>
  <si>
    <t xml:space="preserve">MHCLG: Local Government </t>
  </si>
  <si>
    <t>MHCLG: Housing and Communities</t>
  </si>
  <si>
    <t>Culture, Media and Sport</t>
  </si>
  <si>
    <t>Science, Innovation and Technology</t>
  </si>
  <si>
    <t>Transport</t>
  </si>
  <si>
    <t>Energy Security and Net Zero</t>
  </si>
  <si>
    <t>Environment, Food and Rural Affairs</t>
  </si>
  <si>
    <t>Business and Trade</t>
  </si>
  <si>
    <t>Work and Pensions</t>
  </si>
  <si>
    <t>HM Revenue and Customs</t>
  </si>
  <si>
    <t>HM Treasury</t>
  </si>
  <si>
    <t>Cabinet Office</t>
  </si>
  <si>
    <t>Scotland</t>
  </si>
  <si>
    <t>Wales</t>
  </si>
  <si>
    <t>Northern Ireland</t>
  </si>
  <si>
    <t>Small and independent bodies</t>
  </si>
  <si>
    <t xml:space="preserve">Reform and Innovation Fund </t>
  </si>
  <si>
    <t>Allowance for direct impact of tax changes</t>
  </si>
  <si>
    <t>Reserves</t>
  </si>
  <si>
    <t>Total RDEL spending</t>
  </si>
  <si>
    <t>Note: This table shows the Treasury’s measure of RDEL, including non-PSCE RDEL but excluding any assumptions about underspending. The real growth rates are calculated against a baseline excluding one-off items, so the real growth rates in the right columns do not match the cash figures in the left columns. The 2024-25 RDEL reserve is £1.1 billion, but is not presented in the 2024-25 baseline figure.
Source: HM Treasury, OBR</t>
  </si>
  <si>
    <r>
      <t xml:space="preserve">Correction on 30 Oct 2024: In the published </t>
    </r>
    <r>
      <rPr>
        <b/>
        <i/>
        <sz val="10"/>
        <rFont val="Arial"/>
        <family val="2"/>
      </rPr>
      <t xml:space="preserve">Economic and fiscal outlook </t>
    </r>
    <r>
      <rPr>
        <b/>
        <sz val="10"/>
        <rFont val="Arial"/>
        <family val="2"/>
      </rPr>
      <t>the 2023-24 RDEL figure for "Small and indepenent bodies" was incorrect</t>
    </r>
    <r>
      <rPr>
        <b/>
        <i/>
        <sz val="10"/>
        <rFont val="Arial"/>
        <family val="2"/>
      </rPr>
      <t>.</t>
    </r>
    <r>
      <rPr>
        <b/>
        <sz val="10"/>
        <rFont val="Arial"/>
        <family val="2"/>
      </rPr>
      <t xml:space="preserve"> We</t>
    </r>
    <r>
      <rPr>
        <b/>
        <i/>
        <sz val="10"/>
        <rFont val="Arial"/>
        <family val="2"/>
      </rPr>
      <t xml:space="preserve"> </t>
    </r>
    <r>
      <rPr>
        <b/>
        <sz val="10"/>
        <rFont val="Arial"/>
        <family val="2"/>
      </rPr>
      <t>have corrected the figure here, correcting the 2023-24 level. The 2024-25 growth rate and the total RDEL spending figures are not affected by this change.</t>
    </r>
  </si>
  <si>
    <t>Table 5.6: CDEL spending totals by department</t>
  </si>
  <si>
    <t>Ave. 23-24 to 25-26
2025-26</t>
  </si>
  <si>
    <t>Ukraine - ERA</t>
  </si>
  <si>
    <t>MHCLG</t>
  </si>
  <si>
    <t>DESNZ</t>
  </si>
  <si>
    <t>DESNZ - CCUS and Hydrogen</t>
  </si>
  <si>
    <t>Budget Exchange</t>
  </si>
  <si>
    <t>Total CDEL spending</t>
  </si>
  <si>
    <t>Note: This table shows the Treasury’s measure of CDEL, including non-PSGI CDEL but excluding any assumptions about underspending. As CDEL can vary substantially between years, we do not present growth rates above or below 100 per cent.
Source: HM Treasury, OBR</t>
  </si>
  <si>
    <r>
      <t xml:space="preserve">Correction on 30 Oct 2024: In the published </t>
    </r>
    <r>
      <rPr>
        <b/>
        <i/>
        <sz val="10"/>
        <rFont val="Arial"/>
        <family val="2"/>
      </rPr>
      <t xml:space="preserve">Economic and fiscal outlook </t>
    </r>
    <r>
      <rPr>
        <b/>
        <sz val="10"/>
        <rFont val="Arial"/>
        <family val="2"/>
      </rPr>
      <t>six of the 2023-24 departmental CDEL figures were incorrectly attributed</t>
    </r>
    <r>
      <rPr>
        <b/>
        <i/>
        <sz val="10"/>
        <rFont val="Arial"/>
        <family val="2"/>
      </rPr>
      <t xml:space="preserve">. We </t>
    </r>
    <r>
      <rPr>
        <b/>
        <sz val="10"/>
        <rFont val="Arial"/>
        <family val="2"/>
      </rPr>
      <t>have corrected the figure for the departments affected, correcting both the 2023-24 levels and 2024-25 growth rates. The total CDEL spending line is not affected by this change.</t>
    </r>
  </si>
  <si>
    <t>Health care funding</t>
  </si>
  <si>
    <t>Updated December 2023</t>
  </si>
  <si>
    <t>Department of Health and Social Care funding levels</t>
  </si>
  <si>
    <t>Cash terms and real terms (2023/24 prices)</t>
  </si>
  <si>
    <t>https://public.flourish.studio/visualisation/13101325/</t>
  </si>
  <si>
    <t>Cash terms £bn</t>
  </si>
  <si>
    <t>Of which</t>
  </si>
  <si>
    <t>NHS RDEL</t>
  </si>
  <si>
    <t>Other health budgets</t>
  </si>
  <si>
    <t>Real terms £bn</t>
  </si>
  <si>
    <t>DHSC Total budget</t>
  </si>
  <si>
    <t>Source: HMT Autumn Statement 2023 and Public Expenditure Statistical analyses (various releases)</t>
  </si>
  <si>
    <t>Note: Real terms values are in 2023/24 prices, using the GDP deflator series from OBR (Economic and Fiscal Outlook, November 2023).</t>
  </si>
  <si>
    <t>Updated October 2024</t>
  </si>
  <si>
    <t>2013/14–2025/26, real terms (2024/25 prices)</t>
  </si>
  <si>
    <t>https://public.flourish.studio/story/1851796/</t>
  </si>
  <si>
    <t xml:space="preserve">2013-14 </t>
  </si>
  <si>
    <t>2024-26</t>
  </si>
  <si>
    <t>Source: HMT Autumn Statement 2024 and Public Expenditure Statistical analyses (various releases)</t>
  </si>
  <si>
    <t>Note: Real terms values are in 2024/25 prices, using the GDP deflator series from OBR (Economic and Fiscal Outlook, October 2024).</t>
  </si>
  <si>
    <t>Current growth in health funding falls below the long-term historical average</t>
  </si>
  <si>
    <t>Average real-terms growth in total health spending (DHSC TDEL) by government</t>
  </si>
  <si>
    <t>https://public.flourish.studio/story/1860255/</t>
  </si>
  <si>
    <t>Source: HMT Autumn Budget 2024 and House of Commons NHS Funding Expenditure (Briefing paper, October 2024).</t>
  </si>
  <si>
    <t>Note: The chart shows real-terms average growth rates for DHSC TDEL spending, using the October 2024 GDP deflator. The long term average growth for England spending is 3.8%, slightly higher than the growth rate in UK-wide health spending (3.6%) calculated over the period 1949/50-2019/20.</t>
  </si>
  <si>
    <t>Adjusting for population size and age considerably reduces real terms growth in NHS funding</t>
  </si>
  <si>
    <t>NHS England RDEL (cumulative % increase vs. 2013/14)</t>
  </si>
  <si>
    <t>https://public.flourish.studio/visualisation/13018643/</t>
  </si>
  <si>
    <t>Per-capita</t>
  </si>
  <si>
    <t>Age-adjusted</t>
  </si>
  <si>
    <t>CAGR*</t>
  </si>
  <si>
    <t>Source: REAL Centre calculations based on HMT Autumn Statement 2023 and PESA. Spending per person and age-adjusted is constructed using ONS 2020-based population projections and health profiles from OBR Fiscal Sustainability Report 2022.</t>
  </si>
  <si>
    <t>Note: *Compound annual growth rates (CAGR).</t>
  </si>
  <si>
    <t xml:space="preserve">2012-13 </t>
  </si>
  <si>
    <t>https://thehealthfoundation98.sharepoint.com/sites/thf_project/projects_programmes/00638/aa_Useful%20Info/Portfolios/Supply/NHS%20finances/NHS_DHSC_Budget.xlsx?web=1</t>
  </si>
  <si>
    <t>DHSC TDEL total</t>
  </si>
  <si>
    <t>https://committees.parliament.uk/committee/81/health-and-social-care-committee/publications/10/estimate-memoranda/</t>
  </si>
  <si>
    <r>
      <rPr>
        <sz val="11"/>
        <color rgb="FF000000"/>
        <rFont val="Calibri"/>
        <family val="2"/>
      </rPr>
      <t xml:space="preserve">Info on COVID spending from </t>
    </r>
    <r>
      <rPr>
        <b/>
        <sz val="11"/>
        <color rgb="FF000000"/>
        <rFont val="Calibri"/>
        <family val="2"/>
      </rPr>
      <t>Memoranda docs (Feb 23)</t>
    </r>
  </si>
  <si>
    <t>DHSC TDEL core</t>
  </si>
  <si>
    <t xml:space="preserve">DHSC TDEL COVID </t>
  </si>
  <si>
    <t>https://www.gov.uk/government/statistics/public-expenditure-statistical-analyses-2022</t>
  </si>
  <si>
    <r>
      <rPr>
        <b/>
        <sz val="11"/>
        <color theme="1"/>
        <rFont val="Calibri"/>
        <family val="2"/>
        <scheme val="minor"/>
      </rPr>
      <t xml:space="preserve">PESA </t>
    </r>
    <r>
      <rPr>
        <sz val="11"/>
        <color theme="1"/>
        <rFont val="Calibri"/>
        <family val="2"/>
        <scheme val="minor"/>
      </rPr>
      <t>for years before 2018/19</t>
    </r>
  </si>
  <si>
    <t>check</t>
  </si>
  <si>
    <t>DHSC TDEL, % of all TDEL</t>
  </si>
  <si>
    <t>Actual</t>
  </si>
  <si>
    <t>High</t>
  </si>
  <si>
    <t>Central</t>
  </si>
  <si>
    <t>Low</t>
  </si>
  <si>
    <t>DHSC core TDEL, % of all core TDEL</t>
  </si>
  <si>
    <t xml:space="preserve">DHSC RDEL </t>
  </si>
  <si>
    <t>DHSC RDEL core</t>
  </si>
  <si>
    <t>DHSC RDEL COVID</t>
  </si>
  <si>
    <t>DHSC RDEL exl depreciation (Total)</t>
  </si>
  <si>
    <t>supplementary estimate for year 2022/23, published in feb 23</t>
  </si>
  <si>
    <t>DHSC RDEL w/ depreciation (Total)</t>
  </si>
  <si>
    <t>Resource, % of TDEL</t>
  </si>
  <si>
    <t>diff vs AS</t>
  </si>
  <si>
    <t>perhaps reserve funding for the NHS?</t>
  </si>
  <si>
    <t xml:space="preserve">Of which: </t>
  </si>
  <si>
    <t>NHS England</t>
  </si>
  <si>
    <t>NHS funding</t>
  </si>
  <si>
    <t>NHS England (excl provider deprn)</t>
  </si>
  <si>
    <t>NHS England (excl provider deprn, excl pensions)</t>
  </si>
  <si>
    <t>Transfers of function and funding – 0-5*</t>
  </si>
  <si>
    <t>NHS COVID</t>
  </si>
  <si>
    <t>Other transfers</t>
  </si>
  <si>
    <t>Depreciation adjustment</t>
  </si>
  <si>
    <t>NHS RDEL, as % of total RDEL</t>
  </si>
  <si>
    <t>Of which : elective recovery</t>
  </si>
  <si>
    <t>OF which : COVID-19</t>
  </si>
  <si>
    <t>Non-NHS budget (diff RDEL minus NHS)</t>
  </si>
  <si>
    <t>HEE</t>
  </si>
  <si>
    <t>Spending Review</t>
  </si>
  <si>
    <t>https://www.hee.nhs.uk/sites/default/files/HEE%20Business%20Plan%202021-22.pdf</t>
  </si>
  <si>
    <t>Growth assumptions</t>
  </si>
  <si>
    <t>Total PH Grant</t>
  </si>
  <si>
    <t>Non-NHS, as % of total RDEL</t>
  </si>
  <si>
    <t>DHSC CDEL core</t>
  </si>
  <si>
    <t>DHSC CDEL COVID</t>
  </si>
  <si>
    <t>DHSC CDEL total</t>
  </si>
  <si>
    <t>Capital, % of TDEL</t>
  </si>
  <si>
    <t>GDP Deflator</t>
  </si>
  <si>
    <t>Real Terms £bn</t>
  </si>
  <si>
    <t>DHSC RDEL total</t>
  </si>
  <si>
    <t>NHS total (exl HEE, incl pensions)</t>
  </si>
  <si>
    <t>NHS total (incl HEE, incl pensions)</t>
  </si>
  <si>
    <t>NHS total (excl pensions, excl HEE, incl depreciation)</t>
  </si>
  <si>
    <t>Real Terms % Change</t>
  </si>
  <si>
    <t>Growth ex COVID</t>
  </si>
  <si>
    <t>Growth incl COVID</t>
  </si>
  <si>
    <t>DHSC TDEL (ex covid)</t>
  </si>
  <si>
    <t>DHSC TDEL (incl covid)</t>
  </si>
  <si>
    <t>DHSC TDEL real terms, ex covid</t>
  </si>
  <si>
    <t>DHSC TDEL real growth %</t>
  </si>
  <si>
    <t>Nominal (£bn)</t>
  </si>
  <si>
    <t>Growth in GDP Deflator %</t>
  </si>
  <si>
    <t>Excl COVID-19</t>
  </si>
  <si>
    <t>Annual real change</t>
  </si>
  <si>
    <t>5-year real average</t>
  </si>
  <si>
    <t>3-year real average</t>
  </si>
  <si>
    <t>10-year real av</t>
  </si>
  <si>
    <t>15-year average</t>
  </si>
  <si>
    <t>Per capita</t>
  </si>
  <si>
    <t>Real per capita</t>
  </si>
  <si>
    <t>PLACEHOLDER GDP</t>
  </si>
  <si>
    <t>Government revenue</t>
  </si>
  <si>
    <t>Tax revenue</t>
  </si>
  <si>
    <t>Real GDP</t>
  </si>
  <si>
    <t>Real Gov Rev</t>
  </si>
  <si>
    <t>Real Tax rev</t>
  </si>
  <si>
    <t>Real GDP per person</t>
  </si>
  <si>
    <t>Real Gov Rev per person</t>
  </si>
  <si>
    <t>Real Tax rev per person</t>
  </si>
  <si>
    <t>Waiting lists (Ordinary)</t>
  </si>
  <si>
    <t>Waiting lists (Ordinary + DC)</t>
  </si>
  <si>
    <t>Waiting lists (RTT)</t>
  </si>
  <si>
    <t>Annual waiting list growth</t>
  </si>
  <si>
    <t>5-year waiting list growth</t>
  </si>
  <si>
    <t>10-year waiting list growth</t>
  </si>
  <si>
    <t>Weighted population</t>
  </si>
  <si>
    <t>WEIGHT - Waiting lists (Ordinary)</t>
  </si>
  <si>
    <t>WEIGHT - Waiting lists (Ordinary + DC)</t>
  </si>
  <si>
    <t>WEIGHT - Waiting lists (RTT)</t>
  </si>
  <si>
    <t>WEIGHT - 5-year waiting list growth</t>
  </si>
  <si>
    <t>GDP</t>
  </si>
  <si>
    <t>%GDP</t>
  </si>
  <si>
    <t>Nominal TME</t>
  </si>
  <si>
    <t>% TME</t>
  </si>
  <si>
    <t>% service spend</t>
  </si>
  <si>
    <t>Nominal service spend</t>
  </si>
  <si>
    <t>Central government debt interest, net of APF</t>
  </si>
  <si>
    <t>Depreciation</t>
  </si>
  <si>
    <t>1949-50</t>
  </si>
  <si>
    <t>Note: assign financial year to next prime minister</t>
  </si>
  <si>
    <t>1950-51</t>
  </si>
  <si>
    <t>if leave office in April or May (little control over budget)</t>
  </si>
  <si>
    <t>1951-52</t>
  </si>
  <si>
    <t>`</t>
  </si>
  <si>
    <t>1952-53</t>
  </si>
  <si>
    <t>Variation by decade</t>
  </si>
  <si>
    <t>1953-54</t>
  </si>
  <si>
    <t>Decade</t>
  </si>
  <si>
    <t>Years</t>
  </si>
  <si>
    <t>Average annual increase</t>
  </si>
  <si>
    <t>1954-55</t>
  </si>
  <si>
    <t>50s</t>
  </si>
  <si>
    <t>1949/50 to 1959/60</t>
  </si>
  <si>
    <t>1955–56</t>
  </si>
  <si>
    <t>60s</t>
  </si>
  <si>
    <t>1959/60 to 1969/70</t>
  </si>
  <si>
    <t>1956–57</t>
  </si>
  <si>
    <t>70s</t>
  </si>
  <si>
    <t>1969/70 to 1979/80</t>
  </si>
  <si>
    <t>1957–58</t>
  </si>
  <si>
    <t>80s</t>
  </si>
  <si>
    <t>1979/80 to 1989/90</t>
  </si>
  <si>
    <t>1958–59</t>
  </si>
  <si>
    <t>90s</t>
  </si>
  <si>
    <t>1989/90 to 1999/2000</t>
  </si>
  <si>
    <t>1959–60</t>
  </si>
  <si>
    <t>2000s</t>
  </si>
  <si>
    <t>1999/2000 to 2009/10</t>
  </si>
  <si>
    <t>1960–61</t>
  </si>
  <si>
    <t>2010s</t>
  </si>
  <si>
    <t>2009/10 to 2019/20</t>
  </si>
  <si>
    <t>1961–62</t>
  </si>
  <si>
    <t>1962–63</t>
  </si>
  <si>
    <t>Variation by government</t>
  </si>
  <si>
    <t>1963–64</t>
  </si>
  <si>
    <t>1964–65</t>
  </si>
  <si>
    <t>1949-50 to 2019-20</t>
  </si>
  <si>
    <t>1965–66</t>
  </si>
  <si>
    <t>1949-50 to 78-79</t>
  </si>
  <si>
    <t>Various governments</t>
  </si>
  <si>
    <t>1966–67</t>
  </si>
  <si>
    <t>1955-56 to 2016-17</t>
  </si>
  <si>
    <t>1967–68</t>
  </si>
  <si>
    <t>1955-56 to 78-79</t>
  </si>
  <si>
    <t>1968–69</t>
  </si>
  <si>
    <t>Waiting list growth</t>
  </si>
  <si>
    <t>Funding growth</t>
  </si>
  <si>
    <t>Individual govts</t>
  </si>
  <si>
    <t>1969–70</t>
  </si>
  <si>
    <t>1960s</t>
  </si>
  <si>
    <t>49-50 to 51-52</t>
  </si>
  <si>
    <t>Labour</t>
  </si>
  <si>
    <t>Atlee</t>
  </si>
  <si>
    <t>1970–71</t>
  </si>
  <si>
    <t>1970s</t>
  </si>
  <si>
    <t>51-52 to 64-65</t>
  </si>
  <si>
    <t>Conservative</t>
  </si>
  <si>
    <t>Churchill + Eden + Macmillan + Douglas-Home</t>
  </si>
  <si>
    <t>1971–72</t>
  </si>
  <si>
    <t>1980s</t>
  </si>
  <si>
    <t>64-65 to 70-71</t>
  </si>
  <si>
    <t>Wilson</t>
  </si>
  <si>
    <t>1972–73</t>
  </si>
  <si>
    <t>1990s</t>
  </si>
  <si>
    <t>70-71 to 73-74</t>
  </si>
  <si>
    <t>Heath</t>
  </si>
  <si>
    <t>1973–74</t>
  </si>
  <si>
    <t>73-74 to 78-79</t>
  </si>
  <si>
    <t>Wilson + Callaghan</t>
  </si>
  <si>
    <t>1974–75</t>
  </si>
  <si>
    <t>78-79 to 96-97</t>
  </si>
  <si>
    <t>Cons</t>
  </si>
  <si>
    <t>Thatcher + Major</t>
  </si>
  <si>
    <t>1975–76</t>
  </si>
  <si>
    <t>96-97 to 09-10</t>
  </si>
  <si>
    <t>Brown + Blair</t>
  </si>
  <si>
    <t>1976–77</t>
  </si>
  <si>
    <t>09-10 to 14-15</t>
  </si>
  <si>
    <t>Coalition</t>
  </si>
  <si>
    <t>1977–78</t>
  </si>
  <si>
    <t>14-15 to 16-17</t>
  </si>
  <si>
    <t>1978–79</t>
  </si>
  <si>
    <t>09-10 to 16-17</t>
  </si>
  <si>
    <t>Coaltion / cons</t>
  </si>
  <si>
    <t>Cameron</t>
  </si>
  <si>
    <t>07-08 to 09-10</t>
  </si>
  <si>
    <t>Brown</t>
  </si>
  <si>
    <t>96-97 to 07-08</t>
  </si>
  <si>
    <t>Blair</t>
  </si>
  <si>
    <t>90-91 to 96-97</t>
  </si>
  <si>
    <t>Major</t>
  </si>
  <si>
    <t>78-79 to 90-91</t>
  </si>
  <si>
    <t>Thatcher</t>
  </si>
  <si>
    <t>75-76 to 78-79</t>
  </si>
  <si>
    <t>Callaghan</t>
  </si>
  <si>
    <t>73-74 to 75-76</t>
  </si>
  <si>
    <t>Wilson II</t>
  </si>
  <si>
    <t>Wilson I</t>
  </si>
  <si>
    <t>63-64 to 64-65</t>
  </si>
  <si>
    <t>Douglas-Home</t>
  </si>
  <si>
    <t>56-57 to 63-64</t>
  </si>
  <si>
    <t>Macmillan</t>
  </si>
  <si>
    <t>54-55 to 56-57</t>
  </si>
  <si>
    <t>Eden</t>
  </si>
  <si>
    <t>51-52 to 54-55</t>
  </si>
  <si>
    <t>Churchill</t>
  </si>
  <si>
    <t>Whole period</t>
  </si>
  <si>
    <t>1949-50 to 2024-25</t>
  </si>
  <si>
    <t>Lab</t>
  </si>
  <si>
    <t>Pre 1979 (various governments)</t>
  </si>
  <si>
    <t>1949–50 to 1978–79</t>
  </si>
  <si>
    <t>1978–79 to 1996–97</t>
  </si>
  <si>
    <t>1996–97 to 2009–10</t>
  </si>
  <si>
    <t>2009–10 to 2014–15</t>
  </si>
  <si>
    <t>2014–15 to 2018–19</t>
  </si>
  <si>
    <t>Johnson and Sunak</t>
  </si>
  <si>
    <t>2019-20 to 2022-23</t>
  </si>
  <si>
    <t>Sunak</t>
  </si>
  <si>
    <t>2022/23 to 2024/25</t>
  </si>
  <si>
    <t>Source: PESA(back to 1993-94)</t>
  </si>
  <si>
    <t>column amended based on PESA 2022</t>
  </si>
  <si>
    <t>https://www.ons.gov.uk/peoplepopulationandcommunity/populationandmigration/populationestimates/adhocs/004356ukpopulationestimates1851to2014</t>
  </si>
  <si>
    <t>Note: Pre 1954-55 GDP deflators are estimated from 2015 GDP deflator (new series not totally consistent)</t>
  </si>
  <si>
    <t>latest deflator, EFO nov 2022</t>
  </si>
  <si>
    <t>https://researchbriefings.files.parliament.uk/documents/SN00724/SN00724.pdf</t>
  </si>
  <si>
    <r>
      <rPr>
        <b/>
        <sz val="16"/>
        <color rgb="FFFFFFFF"/>
        <rFont val="Calibri"/>
        <family val="2"/>
        <scheme val="minor"/>
      </rPr>
      <t>TABLE 2 HEALTH EXPENDITURE IN ENGLAND: 1979/80 - 2019/20</t>
    </r>
  </si>
  <si>
    <t>Cash prices (£billions)</t>
  </si>
  <si>
    <t>Real
(2018/19
prices)</t>
  </si>
  <si>
    <r>
      <rPr>
        <sz val="11"/>
        <rFont val="Calibri"/>
        <family val="2"/>
        <scheme val="minor"/>
      </rPr>
      <t>Real terms change (</t>
    </r>
    <r>
      <rPr>
        <i/>
        <sz val="11"/>
        <rFont val="Calibri"/>
        <family val="2"/>
        <scheme val="minor"/>
      </rPr>
      <t>%)</t>
    </r>
  </si>
  <si>
    <t>Real per household
(2018/19 prices)</t>
  </si>
  <si>
    <t>1979/80</t>
  </si>
  <si>
    <t>£440</t>
  </si>
  <si>
    <t>£1,788</t>
  </si>
  <si>
    <t>1980/81</t>
  </si>
  <si>
    <t>£568</t>
  </si>
  <si>
    <t>£1,939</t>
  </si>
  <si>
    <t>1981/82</t>
  </si>
  <si>
    <t>£625</t>
  </si>
  <si>
    <t>£1,930</t>
  </si>
  <si>
    <t>1982/83</t>
  </si>
  <si>
    <t>£677</t>
  </si>
  <si>
    <t>£1,947</t>
  </si>
  <si>
    <t>1983/84</t>
  </si>
  <si>
    <t>£710</t>
  </si>
  <si>
    <t>£1,950</t>
  </si>
  <si>
    <t>1984/85</t>
  </si>
  <si>
    <t>£755</t>
  </si>
  <si>
    <t>£1,961</t>
  </si>
  <si>
    <t>1985/86</t>
  </si>
  <si>
    <t>£790</t>
  </si>
  <si>
    <t>£1,944</t>
  </si>
  <si>
    <t>1986/87</t>
  </si>
  <si>
    <t>£837</t>
  </si>
  <si>
    <t>£1,977</t>
  </si>
  <si>
    <t>1987/88</t>
  </si>
  <si>
    <t>£909</t>
  </si>
  <si>
    <t>£2,034</t>
  </si>
  <si>
    <t>1988/89</t>
  </si>
  <si>
    <t>£993</t>
  </si>
  <si>
    <t>£2,084</t>
  </si>
  <si>
    <t>1989/90</t>
  </si>
  <si>
    <t>£1,058</t>
  </si>
  <si>
    <t>£2,061</t>
  </si>
  <si>
    <t>1990/91</t>
  </si>
  <si>
    <t>£1,177</t>
  </si>
  <si>
    <t>£2,119</t>
  </si>
  <si>
    <t>1991/92</t>
  </si>
  <si>
    <t>£1,323</t>
  </si>
  <si>
    <t>£2,251</t>
  </si>
  <si>
    <t>1992/93</t>
  </si>
  <si>
    <t>£1,450</t>
  </si>
  <si>
    <t>£2,406</t>
  </si>
  <si>
    <t>1993/94</t>
  </si>
  <si>
    <t>£1,493</t>
  </si>
  <si>
    <t>£2,416</t>
  </si>
  <si>
    <t>1994/95</t>
  </si>
  <si>
    <t>£1,569</t>
  </si>
  <si>
    <t>£2,507</t>
  </si>
  <si>
    <t>1995/96</t>
  </si>
  <si>
    <t>£1,629</t>
  </si>
  <si>
    <t>£2,530</t>
  </si>
  <si>
    <t>£1,670</t>
  </si>
  <si>
    <t>£2,494</t>
  </si>
  <si>
    <t>1997/98</t>
  </si>
  <si>
    <t>£1,744</t>
  </si>
  <si>
    <t>£2,594</t>
  </si>
  <si>
    <t>1998/99</t>
  </si>
  <si>
    <t>£1,830</t>
  </si>
  <si>
    <t>£2,680</t>
  </si>
  <si>
    <t>1999/00</t>
  </si>
  <si>
    <t>£1,979</t>
  </si>
  <si>
    <t>£2,886</t>
  </si>
  <si>
    <t>Stage 1 Resource Basis</t>
  </si>
  <si>
    <t>£1,994</t>
  </si>
  <si>
    <t>£2,909</t>
  </si>
  <si>
    <t>2000/01</t>
  </si>
  <si>
    <t>£2,160</t>
  </si>
  <si>
    <t>£3,091</t>
  </si>
  <si>
    <t>2001/02</t>
  </si>
  <si>
    <t>£2,397</t>
  </si>
  <si>
    <t>£3,387</t>
  </si>
  <si>
    <t>2002/03</t>
  </si>
  <si>
    <t>£2,629</t>
  </si>
  <si>
    <t>£3,631</t>
  </si>
  <si>
    <t>Stage 2 Resource Basis</t>
  </si>
  <si>
    <t>£2,776</t>
  </si>
  <si>
    <t>£3,833</t>
  </si>
  <si>
    <r>
      <t>2003/04</t>
    </r>
    <r>
      <rPr>
        <vertAlign val="superscript"/>
        <sz val="12"/>
        <rFont val="Calibri"/>
        <family val="2"/>
        <scheme val="minor"/>
      </rPr>
      <t>a</t>
    </r>
  </si>
  <si>
    <t>£3,108</t>
  </si>
  <si>
    <t>£4,207</t>
  </si>
  <si>
    <t>2004/05</t>
  </si>
  <si>
    <t>£3,327</t>
  </si>
  <si>
    <t>£4,380</t>
  </si>
  <si>
    <t>2005/06</t>
  </si>
  <si>
    <t>£3,555</t>
  </si>
  <si>
    <t>£4,568</t>
  </si>
  <si>
    <t>2006/07</t>
  </si>
  <si>
    <t>£3,744</t>
  </si>
  <si>
    <t>£4,679</t>
  </si>
  <si>
    <t>2007/08</t>
  </si>
  <si>
    <t>£4,043</t>
  </si>
  <si>
    <t>£4,921</t>
  </si>
  <si>
    <t>2008/09</t>
  </si>
  <si>
    <t>£4,254</t>
  </si>
  <si>
    <t>£5,050</t>
  </si>
  <si>
    <t>2009/10</t>
  </si>
  <si>
    <t>£4,565</t>
  </si>
  <si>
    <t>£5,330</t>
  </si>
  <si>
    <t>2010/11</t>
  </si>
  <si>
    <t>£4,619</t>
  </si>
  <si>
    <t>£5,302</t>
  </si>
  <si>
    <t>2011/12</t>
  </si>
  <si>
    <t>£4,680</t>
  </si>
  <si>
    <t>£5,292</t>
  </si>
  <si>
    <t>2012/13</t>
  </si>
  <si>
    <t>£4,755</t>
  </si>
  <si>
    <t>£5,268</t>
  </si>
  <si>
    <t>2013/14</t>
  </si>
  <si>
    <t>£4,925</t>
  </si>
  <si>
    <t>£5,353</t>
  </si>
  <si>
    <t>2014/15</t>
  </si>
  <si>
    <t>£5,040</t>
  </si>
  <si>
    <t>£5,403</t>
  </si>
  <si>
    <t>2015/16</t>
  </si>
  <si>
    <t>£5,169</t>
  </si>
  <si>
    <t>£5,494</t>
  </si>
  <si>
    <t>2016/17</t>
  </si>
  <si>
    <t>£5,269</t>
  </si>
  <si>
    <t>£5,471</t>
  </si>
  <si>
    <t>2017/18</t>
  </si>
  <si>
    <t>£5,429</t>
  </si>
  <si>
    <t>£5,541</t>
  </si>
  <si>
    <t>2018/19</t>
  </si>
  <si>
    <t>£5,611</t>
  </si>
  <si>
    <t>2019/20 planned</t>
  </si>
  <si>
    <t>£5,901</t>
  </si>
  <si>
    <t>£5,785</t>
  </si>
  <si>
    <t>Notes:                a) The 2002/03 and 2003/04 difference is artificially high owing to HMT classification</t>
  </si>
  <si>
    <r>
      <rPr>
        <sz val="12"/>
        <color rgb="FF000000"/>
        <rFont val="Arial"/>
        <family val="2"/>
      </rPr>
      <t xml:space="preserve">Sources:             1974/75 - 1984/85:    HMT, </t>
    </r>
    <r>
      <rPr>
        <i/>
        <sz val="12"/>
        <color rgb="FF000000"/>
        <rFont val="Calibri"/>
        <family val="2"/>
      </rPr>
      <t xml:space="preserve">The Government's Expenditure Plans </t>
    </r>
    <r>
      <rPr>
        <sz val="12"/>
        <color rgb="FF000000"/>
        <rFont val="Arial"/>
        <family val="2"/>
      </rPr>
      <t xml:space="preserve">, various years 1985/86 - 1992/93:    Department of Health, </t>
    </r>
    <r>
      <rPr>
        <i/>
        <sz val="12"/>
        <color rgb="FF000000"/>
        <rFont val="Calibri"/>
        <family val="2"/>
      </rPr>
      <t xml:space="preserve">Departmental Reports </t>
    </r>
    <r>
      <rPr>
        <sz val="12"/>
        <color rgb="FF000000"/>
        <rFont val="Arial"/>
        <family val="2"/>
      </rPr>
      <t>, various years</t>
    </r>
  </si>
  <si>
    <t>Financial directions</t>
  </si>
  <si>
    <t>NHS funding baseline</t>
  </si>
  <si>
    <t>SR21 funding</t>
  </si>
  <si>
    <t>NHS improvement</t>
  </si>
  <si>
    <t>2022 Autumn Statement</t>
  </si>
  <si>
    <t>Winter pressures</t>
  </si>
  <si>
    <t>Financial pressures</t>
  </si>
  <si>
    <t>NHS total (exl HEE)</t>
  </si>
  <si>
    <t>NS total (incl HEE)</t>
  </si>
  <si>
    <t>NHS total (excl pensions)</t>
  </si>
  <si>
    <t>Total public spending (all dept) - source AS 2022</t>
  </si>
  <si>
    <t>PESA</t>
  </si>
  <si>
    <t>updated with latest PESA</t>
  </si>
  <si>
    <t>All deparments spending including COVID - source PESA &amp; AS22</t>
  </si>
  <si>
    <t>https://assets.publishing.service.gov.uk/government/uploads/system/uploads/attachment_data/file/1118417/CCS1022065440-001_SECURE_HMT_Autumn_Statement_November_2022_Web_accessible__1_.pdf</t>
  </si>
  <si>
    <t>Figures for years 2021/22-onwards updated with Autumn Budget 2022</t>
  </si>
  <si>
    <t>RDEL ex depr (all dep)</t>
  </si>
  <si>
    <t>CDEL (all dep)</t>
  </si>
  <si>
    <t>TDEL (all dep)</t>
  </si>
  <si>
    <t>COVID</t>
  </si>
  <si>
    <t>Underlying pressures</t>
  </si>
  <si>
    <t>Constitutional standards</t>
  </si>
  <si>
    <t>Primary care</t>
  </si>
  <si>
    <t>CDEL</t>
  </si>
  <si>
    <t>TOTAL</t>
  </si>
  <si>
    <t>Note: PESA figures match with spending post allowance for shortfall</t>
  </si>
  <si>
    <t>All dept spending ex Covid</t>
  </si>
  <si>
    <t>2030-31</t>
  </si>
  <si>
    <t>2031-32</t>
  </si>
  <si>
    <t xml:space="preserve">All deparments spending including COVID </t>
  </si>
  <si>
    <t>2032-33</t>
  </si>
  <si>
    <t>2033-34</t>
  </si>
  <si>
    <t>2034-35</t>
  </si>
  <si>
    <t>% in 2019/20</t>
  </si>
  <si>
    <t>% in 2020/21</t>
  </si>
  <si>
    <t>% in 2021/22</t>
  </si>
  <si>
    <t>DHSC Annual reports and accounts</t>
  </si>
  <si>
    <t>RDEL Gross expenditure</t>
  </si>
  <si>
    <t>https://assets.publishing.service.gov.uk/government/uploads/system/uploads/attachment_data/file/1135637/dhsc-annual-report-and-accounts-2021-2022_web-accessible.pdf</t>
  </si>
  <si>
    <t>NHS provider staff costs</t>
  </si>
  <si>
    <t xml:space="preserve">Table 39: Resource DEL – spending breakdown </t>
  </si>
  <si>
    <t>Other staff costs</t>
  </si>
  <si>
    <t>based on National tariff payment breakdown</t>
  </si>
  <si>
    <t>Stocks consumed</t>
  </si>
  <si>
    <t>staff pay</t>
  </si>
  <si>
    <t>Procurement</t>
  </si>
  <si>
    <t>drugs</t>
  </si>
  <si>
    <t>Clinical negligence</t>
  </si>
  <si>
    <t>Prescribing</t>
  </si>
  <si>
    <t>Non-NHS healthcare</t>
  </si>
  <si>
    <t>Non-NHS social care</t>
  </si>
  <si>
    <t>Covid-19 inventory</t>
  </si>
  <si>
    <t>LA grants</t>
  </si>
  <si>
    <t>RDEL net of depreciation</t>
  </si>
  <si>
    <t>Income</t>
  </si>
  <si>
    <t>RDEL net of depr and income</t>
  </si>
  <si>
    <t>Capital breakdown by components (CDEL gross)</t>
  </si>
  <si>
    <t>Land &amp; Building</t>
  </si>
  <si>
    <t>Figure 40: Capital DEL - spending breakdown</t>
  </si>
  <si>
    <t>Note that Research and Development is shown as a separate category (in 2018-19 and previous years this was in ‘other’)</t>
  </si>
  <si>
    <t>Plant, Transport &amp; Equipment</t>
  </si>
  <si>
    <t>In 2016 there has been a classification change: R&amp;D now counted as capital</t>
  </si>
  <si>
    <t>R&amp;D</t>
  </si>
  <si>
    <t>IT &amp; Software</t>
  </si>
  <si>
    <t>Capital grants</t>
  </si>
  <si>
    <t>Other IT</t>
  </si>
  <si>
    <t>Covid-19 test and trace inventory</t>
  </si>
  <si>
    <t>Capital breakdown by sector (CDEL) NOTE: DISCONTINUED</t>
  </si>
  <si>
    <t>Capital DEL spending breakdown by sector</t>
  </si>
  <si>
    <t xml:space="preserve">NHS Providers </t>
  </si>
  <si>
    <t>DHSC &amp; ALBs</t>
  </si>
  <si>
    <t>Informatics</t>
  </si>
  <si>
    <t>DH central programmes</t>
  </si>
  <si>
    <t>NHS supply chain investment</t>
  </si>
  <si>
    <t>ALBs</t>
  </si>
  <si>
    <t>Foundation trusts</t>
  </si>
  <si>
    <t>NHS trusts</t>
  </si>
  <si>
    <t>https://www.gov.uk/government/collections/gdp-deflators-at-market-prices-and-money-gdp</t>
  </si>
  <si>
    <t>Latest deflator affected by COVID-19</t>
  </si>
  <si>
    <t>non-NHS healthcare</t>
  </si>
  <si>
    <t>non-NHS social care</t>
  </si>
  <si>
    <t>Net RDEL</t>
  </si>
  <si>
    <t>Capital breakdown by sector (CDEL)</t>
  </si>
  <si>
    <t>Reworking financial directions table</t>
  </si>
  <si>
    <t>June 2022</t>
  </si>
  <si>
    <t>March 2022</t>
  </si>
  <si>
    <t>Table 5 2022/23 fin directions</t>
  </si>
  <si>
    <t>Table 4 2022/23 fin directions</t>
  </si>
  <si>
    <t>Note: I think the highlighted line shows amounts for ICBs</t>
  </si>
  <si>
    <t>Table 4 2021/22 revised financial directions</t>
  </si>
  <si>
    <t>Baseline</t>
  </si>
  <si>
    <t xml:space="preserve">this line is NHS RDEL budget (ex depr) at long term settlement. Source is ARA for year 2020-21, table 47.  From year 2022/23 onwards this matches with NHS Mandate 2022-23 (see page 21, line NHS funding baseline) and with 2019-20 revised financial directions to NHS England (table 4). Note, the long term plan set funding until year 2023/24, therefore me made some assumptions regarding year 2024/25. We first expressed the baseline in real terms, using the March GDP deflator. We then assumed that baseline in real terms will grow by the same CAGR calculated between 2018/19 and 2023/24. We then express this value in cash terms usig GDP deflator. </t>
  </si>
  <si>
    <t>Pension adjustments</t>
  </si>
  <si>
    <t>this is an adjustment for NHS pensions, source is revised fin directions 2022-23 Note, this is a recurrent funding to which govt committed to meet the anticipated cost pressure to NHS arising from this scheme valuation.</t>
  </si>
  <si>
    <t>LTP including pension adjustments</t>
  </si>
  <si>
    <t>this line matches with 2019-20 revised financial directions to NHS England. Notes: 1) depreciation not added, so these values are ex depreciation. Number in final year depends on the made up figure for LTP baseline in 24-25</t>
  </si>
  <si>
    <t>Additional funding, of which</t>
  </si>
  <si>
    <r>
      <t xml:space="preserve">obtained as difference between Total (SR21)and LTP including pensions. Here we are trying to remove the technical adjustments. If we compare with Table 5 of 2022 to 2023 financial directions, numbers are slightly different because this source reports extra funding including technical adjustements. Note: value in final year depends on LTP baseline in the same year. Also, this line </t>
    </r>
    <r>
      <rPr>
        <sz val="11"/>
        <color rgb="FFFF0000"/>
        <rFont val="Calibri"/>
        <family val="2"/>
        <scheme val="minor"/>
      </rPr>
      <t>excludes the technical adjustments</t>
    </r>
  </si>
  <si>
    <t>Covid &amp; other</t>
  </si>
  <si>
    <r>
      <rPr>
        <sz val="11"/>
        <color rgb="FF000000"/>
        <rFont val="Calibri"/>
        <family val="2"/>
      </rPr>
      <t xml:space="preserve">Note: covid spending in 2022-23 obtained as </t>
    </r>
    <r>
      <rPr>
        <sz val="11"/>
        <color rgb="FF4472C4"/>
        <rFont val="Calibri"/>
        <family val="2"/>
      </rPr>
      <t xml:space="preserve">7.466 </t>
    </r>
    <r>
      <rPr>
        <sz val="11"/>
        <color rgb="FF000000"/>
        <rFont val="Calibri"/>
        <family val="2"/>
      </rPr>
      <t>minus elective recovery (in 2021/22 it's 13.7 quoted in memoranda ninus elective recovery</t>
    </r>
  </si>
  <si>
    <t>Elective recovery</t>
  </si>
  <si>
    <t>Jan board meeting</t>
  </si>
  <si>
    <t>Total (SR21)</t>
  </si>
  <si>
    <t>Years 2022/23 - 2024/25 match with SR21 (table 4.1). Year 2021/22 was more problematic, because SR21 gives core spending for NHS, not the total including COVID. So for this year we are taking the value in 2022-23 financial directions to NHS england and remove the other transfers for funding. note: ex depreciation and ex technical adjustments</t>
  </si>
  <si>
    <t>Other transfer of funding</t>
  </si>
  <si>
    <t>this is from 2022 to 2023 financial directions to NHS england</t>
  </si>
  <si>
    <t>Technical adjustments</t>
  </si>
  <si>
    <t>NHS improvement adjustments</t>
  </si>
  <si>
    <t>Total (Mandate)</t>
  </si>
  <si>
    <t>Source: 2022-23 fin directions</t>
  </si>
  <si>
    <t>Memo:diff mandate vs SR21</t>
  </si>
  <si>
    <t>check diff equal sum of adjustments</t>
  </si>
  <si>
    <t>Board meeting 6 Oct 2022</t>
  </si>
  <si>
    <t>NHS RDEL (cash)</t>
  </si>
  <si>
    <t>adjustments</t>
  </si>
  <si>
    <t>adjusted (cash)</t>
  </si>
  <si>
    <t>RTG</t>
  </si>
  <si>
    <t>Note: The 1.4% figure shown here includes adjustments to make a like-for-like comparison by removing transfers from the DHSC for testing, Covid-19 vaccines and PPE in 2021/22 (not yet finalised for 2022/23). this 2.964 is a reduction in covid spending due to a chamge in IPC arrangements and predicted lower covid pressures</t>
  </si>
  <si>
    <t xml:space="preserve">Note: other transfer of fundings are meant to capture </t>
  </si>
  <si>
    <t>- accounting adjustments between opening and closing financial positions</t>
  </si>
  <si>
    <t>-GP indemnity, Voluntary scheme for branded medicines pricing and access, transfers with public health bodies and transfers fulfilling manifesto commitments on primary care, car parking and nursing recruitment</t>
  </si>
  <si>
    <t>NEW</t>
  </si>
  <si>
    <t>Board meeting 1 Dec 2022</t>
  </si>
  <si>
    <t>NHS Improvement’s revenue and capital resource limits, from 1 July 2022 onwards, have
now been added to those of NHS England as the two organisations have legally merged</t>
  </si>
  <si>
    <t>NHS RDEL pre-Autumn Statement</t>
  </si>
  <si>
    <t>Autumn Statement employer NI change</t>
  </si>
  <si>
    <t>Autumn Statement core funding uplift</t>
  </si>
  <si>
    <t>October 2022</t>
  </si>
  <si>
    <t>Autumn Statement BCF</t>
  </si>
  <si>
    <t>Board meeting paper</t>
  </si>
  <si>
    <t>Spending review 21, October 2021</t>
  </si>
  <si>
    <t>NHS RDEL post-Autumn Statement</t>
  </si>
  <si>
    <t>Adjustment for vaccines, testing, other mandate changes</t>
  </si>
  <si>
    <t>Adjusted NHS RDEL (Cash)</t>
  </si>
  <si>
    <t>Adjusted NHS RDEL (Real terms)</t>
  </si>
  <si>
    <t xml:space="preserve">Real terms growth </t>
  </si>
  <si>
    <t>Note: because of this adjustment, total NHS spending including covid should now be lower than published at the Autumn statement</t>
  </si>
  <si>
    <t>Spring statement, March 2022</t>
  </si>
  <si>
    <t>PESA July 2022</t>
  </si>
  <si>
    <t>diff PESA vs mandate</t>
  </si>
  <si>
    <t>PESA, july 2022</t>
  </si>
  <si>
    <t>January board meeting, 2022</t>
  </si>
  <si>
    <t>NEW: from DEC 2022 Board meeting</t>
  </si>
  <si>
    <t>transfers from DHSC for testing, covid19 vaccines and PPE</t>
  </si>
  <si>
    <t>https://assets.publishing.service.gov.uk/government/uploads/system/uploads/attachment_data/file/1056679/E02711189_HC_1152_Supply_Estimates_21-22_Web_Accessible.pdf</t>
  </si>
  <si>
    <t>from supplementary estimates, see page 43. there are 1.629bn and 1.335bn that sum to 2.964</t>
  </si>
  <si>
    <t>covid reserve funding for vaccines taskforce</t>
  </si>
  <si>
    <t>covid reserve funding for NHS T&amp;T</t>
  </si>
  <si>
    <t>total</t>
  </si>
  <si>
    <t>Financial directions 2023/24</t>
  </si>
  <si>
    <t>prescriptions</t>
  </si>
  <si>
    <t>Covid</t>
  </si>
  <si>
    <t>Not sure where these numbers come from</t>
  </si>
  <si>
    <t>CASH</t>
  </si>
  <si>
    <t>Of which: Multi year settlement</t>
  </si>
  <si>
    <t>21/22</t>
  </si>
  <si>
    <t>22/23</t>
  </si>
  <si>
    <t>23/24</t>
  </si>
  <si>
    <t>24/25</t>
  </si>
  <si>
    <t>Hospital Building Programme</t>
  </si>
  <si>
    <t>from the DHSC ARA 2021/22, the amount spent on hospital building and hospital upgrade programme was 1.070bn jointly</t>
  </si>
  <si>
    <t>Hospital Upgrade Programme</t>
  </si>
  <si>
    <t>NHS Providers financial position</t>
  </si>
  <si>
    <t xml:space="preserve">NHS provider deficits represent a ‘pressure’ on the RDEL that requires offsetting ‘savings’ elsewhere in the Departmental group to ensure spending is contained within the overall expenditure control. Table 9 Summary of NHS Provider Outturn, Table 10: NHS Providers RDEL Breakdown, Table 12: Summary of NHS Provider surplus/ (deficit) </t>
  </si>
  <si>
    <t>Number of providers in deficit</t>
  </si>
  <si>
    <t>Deficit</t>
  </si>
  <si>
    <t>Number of providers in surplus</t>
  </si>
  <si>
    <t>Surplus</t>
  </si>
  <si>
    <t>Number of providers</t>
  </si>
  <si>
    <t>% in deficit</t>
  </si>
  <si>
    <t>Aggregate net provider position (ex adjustments)</t>
  </si>
  <si>
    <t>Aggregate net provider position (post adjustments)</t>
  </si>
  <si>
    <t>match with table 55</t>
  </si>
  <si>
    <t>Unallocated sustainability funding</t>
  </si>
  <si>
    <t>Adjustment for COVID-19 impact on providers' deficit</t>
  </si>
  <si>
    <t>Reported Net Deficit</t>
  </si>
  <si>
    <t>match with table 54, except for the value in 2019/20</t>
  </si>
  <si>
    <t>Total provider net position</t>
  </si>
  <si>
    <t>Mental health spend</t>
  </si>
  <si>
    <t>Mental health dashboard</t>
  </si>
  <si>
    <t>Local CCG spend on mental health</t>
  </si>
  <si>
    <t>Total planned mental health spend reported here includes spending on learning disabilities and dementia, which is not included in the MHIS or the baseline spend for the commitment in the NHS Long Term Plan to increase mental health spending by at least £2.3bn a year by 2023/24. It also excludes in year allocations, which are included in end of year spend for previous years. Those differences mean that some CCGs, which are increasing investment in mental health services as required by the MHIS, will have a total mental health spend shown in this dashboard that is increasing more slowly or even decreasing. In 2020/21 planned spend on learning disabilities and dementia was £2.34bn. 
Planned spend for 2020/21 is based on CCG plan submissions. The dashboard highlights some programme areas, such as CYP eating disorders, where a small number of CCG plans currently show no investment due to issues in disaggregating planned spend. NHSE&amp;I are working with CCGs to review this position and enable accurate reporting of spend across the dashboard.</t>
  </si>
  <si>
    <t>NHSE Specialised Commissioning spend on mental health</t>
  </si>
  <si>
    <t>Total NHS spend on mental health</t>
  </si>
  <si>
    <t>CCG spend on MH as a % of CCG base allocations</t>
  </si>
  <si>
    <t>MH Investment Standard met?^^</t>
  </si>
  <si>
    <t>The MHIS calculation does not include spend on learning disabilities and dementia, which is included in the total mental health spend presented here. Specialised commissioning spend is also not included in the mental health investment standard compliance calculation. Excluding spend on learning disabilities and dementia, as per the MHIS calculation, nationally the increase in CCG outturn spend on mental health between 2018/19 and 2019/20 is 9.05% compared to a 6.35% increase in the national CCG allocation. 
In 2019, CCGs were required to commission an independent review by reporting accountants of their achievement of the Mental Health Investment Standard in 2018/19. This review confirmed that the MHIS was achieved in 2018/19 nationally and regionally, but did lead to some changes to individual CCG totals where mental health spend had been excluded or where other expenditure (e.g. on dementia) had been included in error. Where the independent review was completed in time, these changes are reflected in the Q4 dashboard for 2019/20. The two CCGs currently reporting that they will miss the MHIS in 2020/21 are CCGs where the independent review was not completed in time and so some changes are needed to their baseline: we will make these when agreed by the independent reporting accountants this year and the CCGs then expect to be meeting the MHIS.
Where serious problems were identified the National Director for Mental Health and the Chief Financial Officer have used their powers under the NHS Act to follow up directly with CCGs to ensure that these are addressed. CCGs will again be subject to independent review of their achievement of the Mental Health Investment Standard in 2019/20, and we expect the results of this review to be published in spring of 2021.</t>
  </si>
  <si>
    <t>No. CCGs meeting MHIS ^^</t>
  </si>
  <si>
    <t>170 out of 209</t>
  </si>
  <si>
    <t>177 out of 209</t>
  </si>
  <si>
    <t>186 out of 207</t>
  </si>
  <si>
    <t>179 out of 195</t>
  </si>
  <si>
    <t>184 out of 191</t>
  </si>
  <si>
    <t>135 out of 135</t>
  </si>
  <si>
    <t>106 out of 106</t>
  </si>
  <si>
    <t>41 out of 42</t>
  </si>
  <si>
    <t>42 out of 42</t>
  </si>
  <si>
    <t>% CCGs meeting MHIS ^^</t>
  </si>
  <si>
    <t>TAC</t>
  </si>
  <si>
    <t>STA0300</t>
  </si>
  <si>
    <t>STA0310</t>
  </si>
  <si>
    <t>A09CY01</t>
  </si>
  <si>
    <t>bank</t>
  </si>
  <si>
    <t>agency staff</t>
  </si>
  <si>
    <t>Trust</t>
  </si>
  <si>
    <t>2021/22</t>
  </si>
  <si>
    <t>FT</t>
  </si>
  <si>
    <t>Agency and bank</t>
  </si>
  <si>
    <t>Apr</t>
  </si>
  <si>
    <t>May</t>
  </si>
  <si>
    <t>Jun</t>
  </si>
  <si>
    <t>Jul</t>
  </si>
  <si>
    <t>Aug</t>
  </si>
  <si>
    <t>CASH VALUES</t>
  </si>
  <si>
    <t>EX COVID</t>
  </si>
  <si>
    <t>2019/20</t>
  </si>
  <si>
    <t>2020/21</t>
  </si>
  <si>
    <t>CAGR 2021/22-2024/25</t>
  </si>
  <si>
    <t>CAGR 2022/23-2024/25</t>
  </si>
  <si>
    <t>CAGR 2019/20-2024/25</t>
  </si>
  <si>
    <t>numbers to be updated at SS23</t>
  </si>
  <si>
    <t>SR21</t>
  </si>
  <si>
    <t>SS22</t>
  </si>
  <si>
    <t xml:space="preserve">AS22 </t>
  </si>
  <si>
    <t>Spring 2023</t>
  </si>
  <si>
    <t>DHSC RDEL - non NHS</t>
  </si>
  <si>
    <t>AS22</t>
  </si>
  <si>
    <t>GDP deflator SB23</t>
  </si>
  <si>
    <t>REAL TERMS VALUES: note AS22 is calculated based on Nov22 deflator</t>
  </si>
  <si>
    <t>CAGR 2018/19-2024/25</t>
  </si>
  <si>
    <t>CAGR 2018/19-2024/26</t>
  </si>
  <si>
    <t>UPDATED</t>
  </si>
  <si>
    <t>PLANS</t>
  </si>
  <si>
    <t>Latest annual reports and accounts 2021-22</t>
  </si>
  <si>
    <t>Table 56</t>
  </si>
  <si>
    <t>SR 2015</t>
  </si>
  <si>
    <t>NHS RDEL Budget (exc Depreciation)</t>
  </si>
  <si>
    <t>2017/18 budget and LTS</t>
  </si>
  <si>
    <t>2017-18 Autumn Budget</t>
  </si>
  <si>
    <t>NHS Mandate Adjustments</t>
  </si>
  <si>
    <t>Additional NHS funding as per LTS</t>
  </si>
  <si>
    <t>NHS RDEL at LTS</t>
  </si>
  <si>
    <t>Changes since LTS</t>
  </si>
  <si>
    <t>Adjustment for pensions</t>
  </si>
  <si>
    <t>Additional Covid-19 Funding</t>
  </si>
  <si>
    <t>NHSE RDEL Budget at Mandate (this includes covid funding and pensions and match AS22 for years 2022/23 onwards)</t>
  </si>
  <si>
    <t>plus NHS providers net rDEL outturn</t>
  </si>
  <si>
    <t>plus net commissioner and NHSE underspend</t>
  </si>
  <si>
    <t>NHS RDEL outturn</t>
  </si>
  <si>
    <t>NHS CDEL</t>
  </si>
  <si>
    <t>NHS TDEL</t>
  </si>
  <si>
    <t>NOT UPDATED</t>
  </si>
  <si>
    <t>Purchase of healthcare from non-NHS Providers</t>
  </si>
  <si>
    <t>DHSC accounts</t>
  </si>
  <si>
    <t>Independent sector providers</t>
  </si>
  <si>
    <t>Voluntary sector</t>
  </si>
  <si>
    <t>LAs</t>
  </si>
  <si>
    <t>Devolved admins</t>
  </si>
  <si>
    <t>% of total RDEL</t>
  </si>
  <si>
    <t>Clinical Commissioning Groups</t>
  </si>
  <si>
    <t>Allocation</t>
  </si>
  <si>
    <t>Funding flows in the health and care system</t>
  </si>
  <si>
    <t>Number of CCGs with overspends</t>
  </si>
  <si>
    <t>Key Finance Facts</t>
  </si>
  <si>
    <t>CCG allocations</t>
  </si>
  <si>
    <t>https://www.england.nhs.uk/allocations/</t>
  </si>
  <si>
    <t>Core allocation</t>
  </si>
  <si>
    <t>Final allocation after place-based pace of change</t>
  </si>
  <si>
    <t>Primary care (medical)</t>
  </si>
  <si>
    <t>Specialised services</t>
  </si>
  <si>
    <t>Total place based</t>
  </si>
  <si>
    <t>,,</t>
  </si>
  <si>
    <t>Average annual growth rate</t>
  </si>
  <si>
    <t>SR 2020</t>
  </si>
  <si>
    <t>NHSE RDEL core</t>
  </si>
  <si>
    <t>NHSE RDEL COVID</t>
  </si>
  <si>
    <t>NHSE CDEL</t>
  </si>
  <si>
    <t>NHSE TDEL</t>
  </si>
  <si>
    <t>Core NHS England, % of DHSC RDEL (Core)</t>
  </si>
  <si>
    <t>Source: Table 56 from Annual reports and accounts 2021-22</t>
  </si>
  <si>
    <t>CASH TERMS</t>
  </si>
  <si>
    <t>NHS RDEL core w/o pensions</t>
  </si>
  <si>
    <t>NHSE RDEL core (baseline), incl pensions</t>
  </si>
  <si>
    <t>Total SR21 funding (inc. technical adjustments)</t>
  </si>
  <si>
    <t>Mandate adjustments</t>
  </si>
  <si>
    <t>NHSE RDEL total at NHSE Mandate</t>
  </si>
  <si>
    <t>This includes Covid and SR21 settlement</t>
  </si>
  <si>
    <t>Plus NHS provider sector net RDEL outturn</t>
  </si>
  <si>
    <t>Plus Net commissioner and NHSE underspend</t>
  </si>
  <si>
    <t>Net NHS RDEL outturn</t>
  </si>
  <si>
    <t>check against official figures</t>
  </si>
  <si>
    <t>Extra funding at AS22</t>
  </si>
  <si>
    <t>Reported NHS RDEL at AS22</t>
  </si>
  <si>
    <t>NHS RDEL as % of DHSC</t>
  </si>
  <si>
    <t>(ex covid)</t>
  </si>
  <si>
    <t>Reported NHS RDEL at Board meeting December</t>
  </si>
  <si>
    <t>Adjustment for vaccines, testing and other mandate changes</t>
  </si>
  <si>
    <t>REAL TERMS</t>
  </si>
  <si>
    <t>CAGR 3y</t>
  </si>
  <si>
    <t>CAGR 2y</t>
  </si>
  <si>
    <r>
      <rPr>
        <b/>
        <sz val="8.5"/>
        <color rgb="FFFFFFFF"/>
        <rFont val="Arial"/>
        <family val="2"/>
      </rPr>
      <t>£m</t>
    </r>
  </si>
  <si>
    <r>
      <rPr>
        <b/>
        <sz val="8.5"/>
        <color rgb="FFFFFFFF"/>
        <rFont val="Arial"/>
        <family val="2"/>
      </rPr>
      <t>2022-23</t>
    </r>
  </si>
  <si>
    <r>
      <rPr>
        <b/>
        <sz val="8.5"/>
        <color rgb="FFFFFFFF"/>
        <rFont val="Arial"/>
        <family val="2"/>
      </rPr>
      <t>2023-24</t>
    </r>
  </si>
  <si>
    <r>
      <rPr>
        <b/>
        <sz val="8.5"/>
        <color rgb="FFFFFFFF"/>
        <rFont val="Arial"/>
        <family val="2"/>
      </rPr>
      <t>2024-25</t>
    </r>
  </si>
  <si>
    <r>
      <rPr>
        <b/>
        <sz val="8.5"/>
        <rFont val="Arial"/>
        <family val="2"/>
      </rPr>
      <t>NHSE RDEL pre-Autumn Statement</t>
    </r>
  </si>
  <si>
    <r>
      <rPr>
        <sz val="8.5"/>
        <rFont val="Arial MT"/>
        <family val="2"/>
      </rPr>
      <t>Autumn Statement employer NI change</t>
    </r>
  </si>
  <si>
    <r>
      <rPr>
        <sz val="8.5"/>
        <rFont val="Arial MT"/>
        <family val="2"/>
      </rPr>
      <t>-</t>
    </r>
  </si>
  <si>
    <r>
      <rPr>
        <sz val="8.5"/>
        <rFont val="Arial MT"/>
        <family val="2"/>
      </rPr>
      <t>Autumn Statement core funding uplift</t>
    </r>
  </si>
  <si>
    <r>
      <rPr>
        <sz val="8.5"/>
        <rFont val="Arial MT"/>
        <family val="2"/>
      </rPr>
      <t>Autumn Statement Better Care Fund</t>
    </r>
  </si>
  <si>
    <r>
      <rPr>
        <b/>
        <sz val="8.5"/>
        <rFont val="Arial"/>
        <family val="2"/>
      </rPr>
      <t>NHSE RDEL post-Autumn statement</t>
    </r>
  </si>
  <si>
    <r>
      <rPr>
        <b/>
        <sz val="8.5"/>
        <rFont val="Arial"/>
        <family val="2"/>
      </rPr>
      <t>Comparison to adjusted RDEL (per October board paper)</t>
    </r>
  </si>
  <si>
    <r>
      <rPr>
        <sz val="8.5"/>
        <rFont val="Arial MT"/>
        <family val="2"/>
      </rPr>
      <t>Adjustment for vaccines, testing, other Mandate changes</t>
    </r>
  </si>
  <si>
    <r>
      <rPr>
        <b/>
        <sz val="8.5"/>
        <rFont val="Arial"/>
        <family val="2"/>
      </rPr>
      <t>Adjusted NHS RDEL</t>
    </r>
  </si>
  <si>
    <r>
      <rPr>
        <i/>
        <sz val="8.5"/>
        <rFont val="Arial"/>
        <family val="2"/>
      </rPr>
      <t>Real terms growth on prior year (latest GDP deflators)</t>
    </r>
  </si>
  <si>
    <t>NHS RDEL - Table 1 January Board Papers</t>
  </si>
  <si>
    <t>Note</t>
  </si>
  <si>
    <t>LTP Settlement</t>
  </si>
  <si>
    <t>Other adjustments</t>
  </si>
  <si>
    <t>LTP/SR19</t>
  </si>
  <si>
    <t>Additional funding (Covid/SR21)</t>
  </si>
  <si>
    <t>Memo: SR21 settlement</t>
  </si>
  <si>
    <t>Checks</t>
  </si>
  <si>
    <t>Table 47 ARA</t>
  </si>
  <si>
    <t>https://assets.publishing.service.gov.uk/government/uploads/system/uploads/attachment_data/file/1052421/dhsc-annual-report-and-accounts-2020-2021-web-accessible..pdf</t>
  </si>
  <si>
    <t>Additional</t>
  </si>
  <si>
    <t>CAGR</t>
  </si>
  <si>
    <t>Efficiency</t>
  </si>
  <si>
    <t>Inflation</t>
  </si>
  <si>
    <t>Activity</t>
  </si>
  <si>
    <t>residual</t>
  </si>
  <si>
    <t>NHS settlement</t>
  </si>
  <si>
    <t>Current</t>
  </si>
  <si>
    <t>Current excl COVID</t>
  </si>
  <si>
    <t>Efficiency (0.9%)</t>
  </si>
  <si>
    <t>Efficiency (COVID)</t>
  </si>
  <si>
    <t>Deflator (LTP)</t>
  </si>
  <si>
    <t>Current deflator</t>
  </si>
  <si>
    <t>Tariff</t>
  </si>
  <si>
    <t>Real (LTP Deflator)</t>
  </si>
  <si>
    <t>Real (Current deflator)</t>
  </si>
  <si>
    <t>Real (Tariff)</t>
  </si>
  <si>
    <t>Growth rate</t>
  </si>
  <si>
    <t>Budget</t>
  </si>
  <si>
    <t>Original budget</t>
  </si>
  <si>
    <t>Cost pressures</t>
  </si>
  <si>
    <t>Final year</t>
  </si>
  <si>
    <t>Underlying activity</t>
  </si>
  <si>
    <t>Additional activity</t>
  </si>
  <si>
    <t>budgets</t>
  </si>
  <si>
    <t>LTP (nominal)</t>
  </si>
  <si>
    <t>Actual (nominal)</t>
  </si>
  <si>
    <t>LTP 2023/24</t>
  </si>
  <si>
    <t>Deflator (2019)</t>
  </si>
  <si>
    <t>https://www.gov.uk/government/statistics/gdp-deflators-at-market-prices-and-money-gdp-december-2019-quarterly-national-accounts</t>
  </si>
  <si>
    <t>LTP (real, 2019)</t>
  </si>
  <si>
    <t>Deflator (2023)</t>
  </si>
  <si>
    <t>LTP (3.4% growth)</t>
  </si>
  <si>
    <t>LTP (real, 2023)</t>
  </si>
  <si>
    <t>AS 2022 uplift (inflation)</t>
  </si>
  <si>
    <t>Actual (real, 2023)</t>
  </si>
  <si>
    <t>AS 2023 uplift (pay &amp;pressures)</t>
  </si>
  <si>
    <t>Actual 2023/24</t>
  </si>
  <si>
    <t>1.7 Inflation</t>
  </si>
  <si>
    <t>year-on-year growth</t>
  </si>
  <si>
    <t>Jan 1987=100</t>
  </si>
  <si>
    <t>2015=100</t>
  </si>
  <si>
    <t>2015 = 100</t>
  </si>
  <si>
    <t>2016=100</t>
  </si>
  <si>
    <t>RPI</t>
  </si>
  <si>
    <t>RPIX</t>
  </si>
  <si>
    <t>CPI</t>
  </si>
  <si>
    <t>Mortgage interest payments</t>
  </si>
  <si>
    <t>Actual rents for housing</t>
  </si>
  <si>
    <t>Consumer expenditure deflator</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</si>
  <si>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</si>
  <si>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</si>
  <si>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</si>
  <si>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</si>
  <si>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</si>
  <si>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</si>
  <si>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</si>
  <si>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</si>
  <si>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</si>
  <si>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</si>
  <si>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</si>
  <si>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</si>
  <si>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</si>
  <si>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</si>
  <si>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</si>
  <si>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</si>
  <si>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</si>
  <si>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</si>
  <si>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</si>
  <si>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</si>
  <si>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</si>
  <si>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</si>
  <si>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</si>
  <si>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</si>
  <si>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</si>
  <si>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</si>
  <si>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</si>
  <si>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</si>
  <si>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</si>
  <si>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</si>
  <si>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</si>
  <si>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</si>
  <si>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</si>
  <si>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</si>
  <si>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</si>
  <si>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</si>
  <si>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</si>
  <si>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</si>
  <si>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</si>
  <si>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</si>
  <si>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</si>
  <si>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</si>
  <si>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</si>
  <si>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</si>
  <si>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</si>
  <si>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</si>
  <si>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</si>
  <si>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</si>
  <si>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</si>
  <si>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</si>
  <si>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</si>
  <si>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</si>
  <si>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</si>
  <si>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</si>
  <si>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</si>
  <si>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</si>
  <si>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</si>
  <si>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</si>
  <si>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</si>
  <si>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</si>
  <si>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</si>
  <si>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</si>
  <si>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</si>
  <si>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</si>
  <si>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</si>
  <si>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</si>
  <si>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</si>
  <si>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</si>
  <si>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</si>
  <si>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</si>
  <si>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</si>
  <si>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</si>
  <si>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2026Q1</t>
  </si>
  <si>
    <t>2026Q2</t>
  </si>
  <si>
    <t>2026Q3</t>
  </si>
  <si>
    <t>2026Q4</t>
  </si>
  <si>
    <t>2027Q1</t>
  </si>
  <si>
    <t>2027Q2</t>
  </si>
  <si>
    <t>2027Q3</t>
  </si>
  <si>
    <t>2027Q4</t>
  </si>
  <si>
    <t>2028Q1</t>
  </si>
  <si>
    <t>2028Q2</t>
  </si>
  <si>
    <t>2028Q3</t>
  </si>
  <si>
    <t>2028Q4</t>
  </si>
  <si>
    <t>2029Q1</t>
  </si>
  <si>
    <t>Notes:</t>
  </si>
  <si>
    <t>RPI, RPIX and CPI inflation are based on outturn data up to and including January 2023</t>
  </si>
  <si>
    <t xml:space="preserve">Actual rents for housing’ component of CPI. This series is constructed using forecasts of social housing rents and private rents. </t>
  </si>
  <si>
    <t>Definitions:</t>
  </si>
  <si>
    <t>All items Retail Prices Index (RPI), all items Retail Prices Index excluding mortgage interest payments (RPIX), all items Consumer Prices Index (CPI), Producer output prices, all manufacturing products (excluding duty), (percentage change over 12 months) (ONS Consumer Prices Index and Producer Prices Index Statistical Bulletins, identifier: CZBH, CDKQ, D7G7, JVZ8 respectively)</t>
  </si>
  <si>
    <t>Consumer expenditure deflator: Households final consumption expenditure at current market prices (ABJQ) plus non-profit institutions (HAYE) divided by Households final consumption expenditure, chained volume measure (ABJR) plus non-profit institutions (HAYO)</t>
  </si>
  <si>
    <t>Actual rents for housing (ONS Consumer Prices Index and Producer Prices Index Statistical Bulletins, identifier: D7GQ)</t>
  </si>
  <si>
    <t>Mortgage Interest Payments (ONS Consumer Prices Index Statistical Bulletins, identifier: CZCR)</t>
  </si>
  <si>
    <t>Worksheet 5: ONS intermediate consumption-specific deflator, England, financial year ending (FYE) 1996 to FYE 2021</t>
  </si>
  <si>
    <t>This worksheet contains one table. Some cells refer to notes which can be found on the notes worksheet.</t>
  </si>
  <si>
    <t>Source: Office for National Statistics</t>
  </si>
  <si>
    <t>Year</t>
  </si>
  <si>
    <t>ONS intermediate consumption-specific version of the Health Service Cost Index (Index Number 1995/96 = 100)</t>
  </si>
  <si>
    <t>ONS intermediate consumption-specific version of the NHS Cost Inflation Index (Index Number 1995/96 = 100)</t>
  </si>
  <si>
    <t>ONS intermediate consumption-specific version of the Health Service Cost Index (percentage growth)</t>
  </si>
  <si>
    <t>ONS intermediate consumption-specific version of the NHS Cost Inflation Index (percentage growth)</t>
  </si>
  <si>
    <t>1996/97</t>
  </si>
  <si>
    <t>2003/04</t>
  </si>
  <si>
    <t>NHS Cost Inflation Index</t>
  </si>
  <si>
    <t>https://www.england.nhs.uk/publication/past-national-tariffs-documents-and-policies/</t>
  </si>
  <si>
    <t>https://www.england.nhs.uk/wp-content/uploads/2020/11/21-22-National-tariff-payment-system.pdf</t>
  </si>
  <si>
    <t>https://www.england.nhs.uk/publication/national-tariff-payment-system-documents-annexes-and-supporting-documents/</t>
  </si>
  <si>
    <t>https://www.england.nhs.uk/long-read/2023-24-pay-award-revenue-finance-and-contracting-guidance-updated-version/</t>
  </si>
  <si>
    <t>growth</t>
  </si>
  <si>
    <t>Consumer deflator</t>
  </si>
  <si>
    <t>Table 9.11  Identifiable expenditure on health by country and region, 2010-11 to 2014-15</t>
  </si>
  <si>
    <t>£ million</t>
  </si>
  <si>
    <t>Health</t>
  </si>
  <si>
    <t>National Statistics</t>
  </si>
  <si>
    <t>2002-03
outturn</t>
  </si>
  <si>
    <t>2003-04
outturn</t>
  </si>
  <si>
    <t>2004-05
outturn</t>
  </si>
  <si>
    <t>2005-06
outturn</t>
  </si>
  <si>
    <t>2006-07
outturn</t>
  </si>
  <si>
    <t>2007-08
outturn</t>
  </si>
  <si>
    <t>2008-09
outturn</t>
  </si>
  <si>
    <t>2009-10
outturn</t>
  </si>
  <si>
    <t>2010-11
outturn</t>
  </si>
  <si>
    <t>2011-12
outturn</t>
  </si>
  <si>
    <t>2012-13
outturn</t>
  </si>
  <si>
    <t>2013-14
outturn</t>
  </si>
  <si>
    <t>2014-15
outturn</t>
  </si>
  <si>
    <t>2015-16
outturn</t>
  </si>
  <si>
    <t>2016-17
outturn</t>
  </si>
  <si>
    <t>2017-18
outturn</t>
  </si>
  <si>
    <t>2018-19
outturn</t>
  </si>
  <si>
    <t>2019-20
outturn</t>
  </si>
  <si>
    <t>2020-21
outturn</t>
  </si>
  <si>
    <t>North East</t>
  </si>
  <si>
    <t>North West</t>
  </si>
  <si>
    <t>Yorkshire and the Humber</t>
  </si>
  <si>
    <t>East Midlands</t>
  </si>
  <si>
    <t>West Midlands</t>
  </si>
  <si>
    <t>East</t>
  </si>
  <si>
    <t>London</t>
  </si>
  <si>
    <t>South East</t>
  </si>
  <si>
    <t>South West</t>
  </si>
  <si>
    <t>England</t>
  </si>
  <si>
    <t>UK identifiable expenditure</t>
  </si>
  <si>
    <t>Outside the UK</t>
  </si>
  <si>
    <t>Total identifiable expenditure</t>
  </si>
  <si>
    <t xml:space="preserve">Non-identifiable expenditure </t>
  </si>
  <si>
    <t>Total Expenditure on Services</t>
  </si>
  <si>
    <t>of which: current</t>
  </si>
  <si>
    <t>of which: capital</t>
  </si>
  <si>
    <t>Table 1: Monthly Sickness Absence rates by NHS England Region (%) [Notes 1,2,7,8]</t>
  </si>
  <si>
    <t>This worksheet contains one table which shows a time series of the sickness absence rate for England and each NHS England region.</t>
  </si>
  <si>
    <t>Month</t>
  </si>
  <si>
    <t>South West of England</t>
  </si>
  <si>
    <t>South East of England</t>
  </si>
  <si>
    <t>Midlands</t>
  </si>
  <si>
    <t>East of England</t>
  </si>
  <si>
    <t>North East and Yorkshire</t>
  </si>
  <si>
    <t>Special Health Authorities and other statutory bodies</t>
  </si>
  <si>
    <t>April 2009</t>
  </si>
  <si>
    <t>May 2009</t>
  </si>
  <si>
    <t>June 2009</t>
  </si>
  <si>
    <t>July 2009</t>
  </si>
  <si>
    <t>August 2009</t>
  </si>
  <si>
    <t>September 2009</t>
  </si>
  <si>
    <t>October 2009</t>
  </si>
  <si>
    <t>November 2009</t>
  </si>
  <si>
    <t>December 2009</t>
  </si>
  <si>
    <t>January 2010</t>
  </si>
  <si>
    <t>February 2010</t>
  </si>
  <si>
    <t>March 2010</t>
  </si>
  <si>
    <t>April 2010</t>
  </si>
  <si>
    <t>May 2010</t>
  </si>
  <si>
    <t>June 2010</t>
  </si>
  <si>
    <t>July 2010</t>
  </si>
  <si>
    <t>August 2010</t>
  </si>
  <si>
    <t>September 2010</t>
  </si>
  <si>
    <t>October 2010</t>
  </si>
  <si>
    <t>November 2010</t>
  </si>
  <si>
    <t>December 2010</t>
  </si>
  <si>
    <t>January 2011</t>
  </si>
  <si>
    <t>February  2011</t>
  </si>
  <si>
    <t>March  2011</t>
  </si>
  <si>
    <t>April 2011</t>
  </si>
  <si>
    <t>May 2011</t>
  </si>
  <si>
    <t>June 2011</t>
  </si>
  <si>
    <t>July 2011</t>
  </si>
  <si>
    <t>August 2011</t>
  </si>
  <si>
    <t>September 2011</t>
  </si>
  <si>
    <t>October 2011</t>
  </si>
  <si>
    <t>November 2011</t>
  </si>
  <si>
    <t>December 2011</t>
  </si>
  <si>
    <t>January 2012</t>
  </si>
  <si>
    <t>February 2012</t>
  </si>
  <si>
    <t>March 2012</t>
  </si>
  <si>
    <t>April 2012</t>
  </si>
  <si>
    <t>May 2012</t>
  </si>
  <si>
    <t>June 2012</t>
  </si>
  <si>
    <t>July 2012</t>
  </si>
  <si>
    <t>August 2012</t>
  </si>
  <si>
    <t>September 2012</t>
  </si>
  <si>
    <t>October 2012</t>
  </si>
  <si>
    <t>November 2012</t>
  </si>
  <si>
    <t>December 2012</t>
  </si>
  <si>
    <t>January 2013</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</si>
  <si>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</si>
  <si>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</si>
  <si>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</si>
  <si>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</si>
  <si>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</si>
  <si>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</si>
  <si>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</si>
  <si>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</si>
  <si>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</si>
  <si>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</si>
  <si>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</si>
  <si>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</si>
  <si>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</si>
  <si>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</si>
  <si>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</si>
  <si>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</si>
  <si>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</si>
  <si>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</si>
  <si>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</si>
  <si>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</si>
  <si>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</si>
  <si>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</si>
  <si>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</si>
  <si>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</si>
  <si>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</si>
  <si>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</si>
  <si>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</si>
  <si>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</si>
  <si>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</si>
  <si>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</si>
  <si>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</si>
  <si>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</si>
  <si>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</si>
  <si>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</si>
  <si>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</si>
  <si>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</si>
  <si>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</si>
  <si>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</si>
  <si>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</si>
  <si>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</si>
  <si>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</si>
  <si>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</si>
  <si>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</si>
  <si>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</si>
  <si>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</si>
  <si>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</si>
  <si>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</si>
  <si>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</si>
  <si>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</si>
  <si>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</si>
  <si>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</si>
  <si>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</si>
  <si>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</si>
  <si>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</si>
  <si>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</si>
  <si>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</si>
  <si>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</si>
  <si>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</si>
  <si>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</si>
  <si>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</si>
  <si>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</si>
  <si>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</si>
  <si>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</si>
  <si>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</si>
  <si>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</si>
  <si>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</si>
  <si>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</si>
  <si>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</si>
  <si>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</si>
  <si>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</si>
  <si>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</si>
  <si>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</si>
  <si>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</si>
  <si>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</si>
  <si>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</si>
  <si>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</si>
  <si>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</si>
  <si>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</si>
  <si>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</si>
  <si>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</si>
  <si>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</si>
  <si>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</si>
  <si>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</si>
  <si>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</si>
  <si>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</si>
  <si>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</si>
  <si>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</si>
  <si>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</si>
  <si>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</si>
  <si>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</si>
  <si>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</si>
  <si>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</si>
  <si>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</si>
  <si>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</si>
  <si>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</si>
  <si>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</si>
  <si>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</si>
  <si>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</si>
  <si>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</si>
  <si>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</si>
  <si>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</si>
  <si>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</si>
  <si>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</si>
  <si>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</si>
  <si>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</si>
  <si>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</si>
  <si>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</si>
  <si>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</si>
  <si>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</si>
  <si>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April 2022</t>
  </si>
  <si>
    <t>May 2022</t>
  </si>
  <si>
    <t>July 2022</t>
  </si>
  <si>
    <t>August 2022</t>
  </si>
  <si>
    <t>September 2022</t>
  </si>
  <si>
    <t>November 2022</t>
  </si>
  <si>
    <t>December 2022</t>
  </si>
  <si>
    <t>January 2023</t>
  </si>
  <si>
    <t>February 2023</t>
  </si>
  <si>
    <t>March 2023</t>
  </si>
  <si>
    <t>April 2023</t>
  </si>
  <si>
    <t>May 2023</t>
  </si>
  <si>
    <t>https://digital.nhs.uk/data-and-information/publications/statistical/estates-returns-information-collection/england-2019-20</t>
  </si>
  <si>
    <t>Investment in backlog: see tab 4a, "investment to reduce backlog maintenance"</t>
  </si>
  <si>
    <t>all the others: see tab 10</t>
  </si>
  <si>
    <t>Cash terms,£</t>
  </si>
  <si>
    <t>GDP Deflator March 23EFO</t>
  </si>
  <si>
    <t>Investment in backlog</t>
  </si>
  <si>
    <t>High Risk</t>
  </si>
  <si>
    <t>Significant risk</t>
  </si>
  <si>
    <t>Moderate risk</t>
  </si>
  <si>
    <t>Low risk</t>
  </si>
  <si>
    <t>Real terms, £mn</t>
  </si>
  <si>
    <t>2021/22 Prices</t>
  </si>
  <si>
    <t>Real terms, £bn</t>
  </si>
  <si>
    <t>High Risk backlog</t>
  </si>
  <si>
    <t>Significant risk backlog</t>
  </si>
  <si>
    <t>Moderate risk backlog</t>
  </si>
  <si>
    <t>Low risk backlog</t>
  </si>
  <si>
    <t>2022/23 Prices</t>
  </si>
  <si>
    <t>Investment in backlog (£m)</t>
  </si>
  <si>
    <t xml:space="preserve">Source: Estates Return Information Collection (ERIC) </t>
  </si>
  <si>
    <t>DHSC Total</t>
  </si>
  <si>
    <t>NHS</t>
  </si>
  <si>
    <t>non-NHS</t>
  </si>
  <si>
    <t>REAL terms</t>
  </si>
  <si>
    <t>TDEL</t>
  </si>
  <si>
    <t>NHSE</t>
  </si>
  <si>
    <t xml:space="preserve">non-NHS </t>
  </si>
  <si>
    <t>Other RDEL</t>
  </si>
  <si>
    <t>capital</t>
  </si>
  <si>
    <t>defl</t>
  </si>
  <si>
    <t>Stabilisation scenario</t>
  </si>
  <si>
    <t>Note: CASH values</t>
  </si>
  <si>
    <t xml:space="preserve">Source </t>
  </si>
  <si>
    <t>https://thehealthfoundation98.sharepoint.com/sites/thf_project/projects_programmes/00667/Delivery/Costing%20utilisation/FP21_AllFunding_V2.xlsx?web=1</t>
  </si>
  <si>
    <t>tab 'AllFund_Add_Stabilisation</t>
  </si>
  <si>
    <t>Recovery scenario</t>
  </si>
  <si>
    <t>Public Health Grant</t>
  </si>
  <si>
    <t>tab 'AllFund_Add_Recovery</t>
  </si>
  <si>
    <t>2018/2019</t>
  </si>
  <si>
    <t>2019/2020</t>
  </si>
  <si>
    <t>2020/2021</t>
  </si>
  <si>
    <t>2021/2022</t>
  </si>
  <si>
    <t>2022/2023</t>
  </si>
  <si>
    <t>2023/2024</t>
  </si>
  <si>
    <t>2024/2025</t>
  </si>
  <si>
    <t>GDP deflator (new)</t>
  </si>
  <si>
    <t>Real terms £bn (new deflator)</t>
  </si>
  <si>
    <t>DIFFERENCE</t>
  </si>
  <si>
    <t>Memo: real terms old deflator</t>
  </si>
  <si>
    <t>Stabilisation</t>
  </si>
  <si>
    <t>Recovery</t>
  </si>
  <si>
    <t>90+</t>
  </si>
  <si>
    <t>0-29</t>
  </si>
  <si>
    <t>30-49</t>
  </si>
  <si>
    <t>50-64</t>
  </si>
  <si>
    <t>66+</t>
  </si>
  <si>
    <t>England population</t>
  </si>
  <si>
    <t>https://ourworldindata.org/grapher/population-of-england-millennium</t>
  </si>
  <si>
    <t>UK population pyramid (1953-)</t>
  </si>
  <si>
    <t>https://www.ons.gov.uk/file?uri=/peoplepopulationandcommunity/populationandmigration/populationestimates/adhocs/004356ukpopulationestimates1851to2014/ukpopulationestimates18512014.xls</t>
  </si>
  <si>
    <t>England projection (2020-)</t>
  </si>
  <si>
    <t>https://www.ons.gov.uk/peoplepopulationandcommunity/populationandmigration/populationprojections/datasets/clinicalcommissioninggroupsinenglandz2</t>
  </si>
  <si>
    <t>85 / 85+</t>
  </si>
  <si>
    <t>Age</t>
  </si>
  <si>
    <t>All ages (England)</t>
  </si>
  <si>
    <t>65+</t>
  </si>
  <si>
    <t>All Ages</t>
  </si>
  <si>
    <t>0-4</t>
  </si>
  <si>
    <t>5-9</t>
  </si>
  <si>
    <t>10-14</t>
  </si>
  <si>
    <t>15-19</t>
  </si>
  <si>
    <t>20-24</t>
  </si>
  <si>
    <t>25-29</t>
  </si>
  <si>
    <t>30-34</t>
  </si>
  <si>
    <t>35-39</t>
  </si>
  <si>
    <t>40-44</t>
  </si>
  <si>
    <t>45-49</t>
  </si>
  <si>
    <t>50-54</t>
  </si>
  <si>
    <t>55-59</t>
  </si>
  <si>
    <t>60-64</t>
  </si>
  <si>
    <t>65-69</t>
  </si>
  <si>
    <t>70-74</t>
  </si>
  <si>
    <t>75-79</t>
  </si>
  <si>
    <t>80-84</t>
  </si>
  <si>
    <t>85+</t>
  </si>
  <si>
    <t>Mid-1950</t>
  </si>
  <si>
    <t>Mid-1951</t>
  </si>
  <si>
    <t>Mid-1952</t>
  </si>
  <si>
    <t>Mid-1953</t>
  </si>
  <si>
    <t>Mid-1954</t>
  </si>
  <si>
    <t>Mid-1955</t>
  </si>
  <si>
    <t>Mid-1956</t>
  </si>
  <si>
    <t>Mid-1957</t>
  </si>
  <si>
    <t>Mid-1958</t>
  </si>
  <si>
    <t>Mid-1959</t>
  </si>
  <si>
    <t>Mid-1960</t>
  </si>
  <si>
    <t>Mid-1961</t>
  </si>
  <si>
    <t>Mid-1962</t>
  </si>
  <si>
    <t>Mid-1963</t>
  </si>
  <si>
    <t>Mid-1964</t>
  </si>
  <si>
    <t>Mid-1965</t>
  </si>
  <si>
    <t>Mid-1966</t>
  </si>
  <si>
    <t>Mid-1967</t>
  </si>
  <si>
    <t>Mid-1968</t>
  </si>
  <si>
    <t>Mid-1969</t>
  </si>
  <si>
    <t>Mid-1970</t>
  </si>
  <si>
    <t>Mid-1971</t>
  </si>
  <si>
    <t>Mid-1972</t>
  </si>
  <si>
    <t>Mid-1973</t>
  </si>
  <si>
    <t>Mid-1974</t>
  </si>
  <si>
    <t>Mid-1975</t>
  </si>
  <si>
    <t>Mid-1976</t>
  </si>
  <si>
    <t>Mid-1977</t>
  </si>
  <si>
    <t>Mid-1978</t>
  </si>
  <si>
    <t>Mid-1979</t>
  </si>
  <si>
    <t>Mid-1980</t>
  </si>
  <si>
    <t>Mid-1981</t>
  </si>
  <si>
    <t>:</t>
  </si>
  <si>
    <t>Mid-1982</t>
  </si>
  <si>
    <t>Mid-1983</t>
  </si>
  <si>
    <t>Mid-1984</t>
  </si>
  <si>
    <t>Mid-1985</t>
  </si>
  <si>
    <t>Mid-1986</t>
  </si>
  <si>
    <t>Mid-1987</t>
  </si>
  <si>
    <t>Mid-1988</t>
  </si>
  <si>
    <t>Mid-1989</t>
  </si>
  <si>
    <t>Mid-1990</t>
  </si>
  <si>
    <t>Mid-1991</t>
  </si>
  <si>
    <t>Mid-1992</t>
  </si>
  <si>
    <t>Mid-1993</t>
  </si>
  <si>
    <t>Mid-1994</t>
  </si>
  <si>
    <t>Mid-1995</t>
  </si>
  <si>
    <t>Mid-1996</t>
  </si>
  <si>
    <t>Mid-1997</t>
  </si>
  <si>
    <t>Mid-1998</t>
  </si>
  <si>
    <t>Mid-1999</t>
  </si>
  <si>
    <t>Mid-2000</t>
  </si>
  <si>
    <t>Mid-2001</t>
  </si>
  <si>
    <t>Mid-2002</t>
  </si>
  <si>
    <t>Mid-2003</t>
  </si>
  <si>
    <t>Mid-2004</t>
  </si>
  <si>
    <t>Mid-2005</t>
  </si>
  <si>
    <t>Mid-2006</t>
  </si>
  <si>
    <t>Mid-2007</t>
  </si>
  <si>
    <t>Mid-2008</t>
  </si>
  <si>
    <t>Mid-2009</t>
  </si>
  <si>
    <t>Mid-2010</t>
  </si>
  <si>
    <t>Mid-2011</t>
  </si>
  <si>
    <t>Mid-2012</t>
  </si>
  <si>
    <t>Mid-2013</t>
  </si>
  <si>
    <t>Mid-2014</t>
  </si>
  <si>
    <t>Mid-2015</t>
  </si>
  <si>
    <t>Mid-2016</t>
  </si>
  <si>
    <t>Mid-2017</t>
  </si>
  <si>
    <t>Mid-2018</t>
  </si>
  <si>
    <t>Mid-2019</t>
  </si>
  <si>
    <t>Mid-2020</t>
  </si>
  <si>
    <t>Mid-2021</t>
  </si>
  <si>
    <t>Mid-2022</t>
  </si>
  <si>
    <t>Mid-2023</t>
  </si>
  <si>
    <t>Mid-2024</t>
  </si>
  <si>
    <t>Worksheet 3b: Growth rates and indices for public service healthcare inputs, quantity output and non quality adjusted productivity, England, financial year ending (FYE) 1996 to FYE 2021</t>
  </si>
  <si>
    <t>NQA Output        (Index Number 1995/96 = 100)                       [note 4]</t>
  </si>
  <si>
    <t>Inputs        (Index Number 1995/96 = 100)</t>
  </si>
  <si>
    <t>NQA Productivity       (Index Number 1995/96 = 100)                       [note 4]</t>
  </si>
  <si>
    <t>NQA Output        (percentage growth)                       [note 4]</t>
  </si>
  <si>
    <t>Inputs        (percentage growth)</t>
  </si>
  <si>
    <t>NQA Productivity       (percentage growth)                       [note 4]</t>
  </si>
  <si>
    <t>Output</t>
  </si>
  <si>
    <t>CWA</t>
  </si>
  <si>
    <t>Input</t>
  </si>
  <si>
    <t>Funding</t>
  </si>
  <si>
    <t>Funding (excl COVID)</t>
  </si>
  <si>
    <t>Prod</t>
  </si>
  <si>
    <t>Prod (est)</t>
  </si>
  <si>
    <t>Prod (pre pandemic)</t>
  </si>
  <si>
    <t>Prod estimate (excl COVID)</t>
  </si>
  <si>
    <t xml:space="preserve"> 2021/22</t>
  </si>
  <si>
    <t xml:space="preserve"> 2022/23</t>
  </si>
  <si>
    <t>2023/24 (Q1)</t>
  </si>
  <si>
    <t>Quarters</t>
  </si>
  <si>
    <t>Sum of APC_Finished_Admission_Episodes</t>
  </si>
  <si>
    <t>Elective_ordinary</t>
  </si>
  <si>
    <t>Sum of APC_Day_Case_Episodes</t>
  </si>
  <si>
    <t>Sum of APC_Emergency</t>
  </si>
  <si>
    <t>Sum of Outpatient_Attended_Appointments</t>
  </si>
  <si>
    <t>Sum of Outpatient_Attendance_Type_1</t>
  </si>
  <si>
    <t>Sum of Outpatient_Attendance_Type_2</t>
  </si>
  <si>
    <t>Qtr1</t>
  </si>
  <si>
    <t>Qtr2</t>
  </si>
  <si>
    <t>Qtr3</t>
  </si>
  <si>
    <t>Moving average</t>
  </si>
  <si>
    <t>CWA (change)</t>
  </si>
  <si>
    <t>Qtr</t>
  </si>
  <si>
    <t>Ann</t>
  </si>
  <si>
    <t>Qtr4</t>
  </si>
  <si>
    <t>APC_Ordinary_Episodes</t>
  </si>
  <si>
    <t>APC_Day_Case_Episodes</t>
  </si>
  <si>
    <t>APC_Emergency</t>
  </si>
  <si>
    <t>Outpatient_Total_Appointments</t>
  </si>
  <si>
    <t>First</t>
  </si>
  <si>
    <t>FU</t>
  </si>
  <si>
    <t>AE</t>
  </si>
  <si>
    <t>MH</t>
  </si>
  <si>
    <t>primary care clinical staff</t>
  </si>
  <si>
    <t>activity per staff</t>
  </si>
  <si>
    <t>Community care</t>
  </si>
  <si>
    <t>Acute</t>
  </si>
  <si>
    <t>Overnight</t>
  </si>
  <si>
    <t>Non-Acute</t>
  </si>
  <si>
    <t>FY</t>
  </si>
  <si>
    <t xml:space="preserve"> 2018/19 Q4 </t>
  </si>
  <si>
    <t xml:space="preserve"> 2019/20 Q1 </t>
  </si>
  <si>
    <t xml:space="preserve"> 2019/20 Q2 </t>
  </si>
  <si>
    <t xml:space="preserve"> 2019/20 Q3 </t>
  </si>
  <si>
    <t xml:space="preserve"> 2019/20 Q4 </t>
  </si>
  <si>
    <t xml:space="preserve"> 2020/21 Q1 </t>
  </si>
  <si>
    <t xml:space="preserve"> 2020/21 Q2 </t>
  </si>
  <si>
    <t xml:space="preserve"> 2020/21 Q3 </t>
  </si>
  <si>
    <t xml:space="preserve"> 2020/21 Q4 </t>
  </si>
  <si>
    <t xml:space="preserve"> 2021/22 Q1 </t>
  </si>
  <si>
    <t xml:space="preserve"> 2021/22 Q2 </t>
  </si>
  <si>
    <t xml:space="preserve"> 2021/22 Q3 </t>
  </si>
  <si>
    <t xml:space="preserve"> 2021/22 Q4 </t>
  </si>
  <si>
    <t xml:space="preserve"> 2022/23 Q1 </t>
  </si>
  <si>
    <t xml:space="preserve"> 2022/23 Q2 </t>
  </si>
  <si>
    <t xml:space="preserve"> 2022/23 Q3 </t>
  </si>
  <si>
    <t xml:space="preserve"> 2022/23 Q4 </t>
  </si>
  <si>
    <t xml:space="preserve"> 2023/24 Q1 </t>
  </si>
  <si>
    <t>National Cost Collection: National schedule of NHS costs - Year 2021/22 - NHS trusts and NHS foundation trusts</t>
  </si>
  <si>
    <t xml:space="preserve"> -   </t>
  </si>
  <si>
    <t xml:space="preserve"> 2023/24 Q2 </t>
  </si>
  <si>
    <t xml:space="preserve"> 2023/24 Q3 </t>
  </si>
  <si>
    <t xml:space="preserve"> 2023/24 Q4 </t>
  </si>
  <si>
    <t xml:space="preserve"> 2024/25 Q1 </t>
  </si>
  <si>
    <t xml:space="preserve"> 2024/25 Q2 </t>
  </si>
  <si>
    <t xml:space="preserve"> 2024/25 Q3 </t>
  </si>
  <si>
    <t xml:space="preserve"> 2024/25 Q4 </t>
  </si>
  <si>
    <t>Notes on data in worksheet DHSC NHS Budgets</t>
  </si>
  <si>
    <t>Pensions issue (updated November 2020)</t>
  </si>
  <si>
    <t>There are two separate DHSC and NHSE RDEL lines in the spreadsheet. This is because of a pensions issue in NHSE (which flows through to DHSC). It’s about £2.8bn and it came in 2019/20 and stays on each year. Usually when the government talks about the funding increase to NHSE it excludes the pensions amount. HMT said that it will top up to whatever the amounts come to. The original settlement and official documents for the NHSE long-term settlement usually do not include the pensions amount (the 3.3% increase from 18/19 to 23/24 does not include the pensions amount!). This was an issue previously before the funding came in, as we always had to check if the announcements included it or not. As it’s now already in 2019/20 RDEL, it shouldn’t be much of an issue. However, it also means the increase in funding in 2019/20 (excluding COVID) is huge. So, if ever comparing previous years to 2019/20, consider the impact. We have commented on this in the investing in the LTP briefing. </t>
  </si>
  <si>
    <t>https://thehealthfoundation98.sharepoint.com/:x:/r/sites/thf_project/projects_programmes/00638/2020/20202311%20-%20JK%20Handover%20notes/Core%20workbook%20Draft.xlsx?d=w3539a01b996c4e6e8f1d150b5e0fd5b8&amp;csf=1&amp;web=1&amp;e=OyAWG5 </t>
  </si>
  <si>
    <t>NHS provider accounts (updated November 2020)</t>
  </si>
  <si>
    <t>NHS trusts prepare individual accounts in excel format which are easy to use. If only one or two numbers are needed its quicker to use the excel files. However, in the last few years consolidated accounts are prepared. </t>
  </si>
  <si>
    <t>https://www.england.nhs.uk/wp-content/uploads/2019/09/Consolidated_NHS_Provider_Accounts_Web_Accessible.pdf </t>
  </si>
  <si>
    <t>It’s important to note the difference between these and quarterly performance reports. The above are consolidated accounts. This means they are essentially prepared as if it was all one entity. As a result, spending between trusts is eliminated (since you can’t pay yourself). This reflects the true spending for all trusts during the year as it eliminates double counting, for example a Trust purchasing services from another trust. However, these are only prepared for year ends. So, if ever using quarterly performance reports, important to remember they won’t align with the year end spending, as they are not consolidated. This means there is double counting in them (from a total NHS point of view). Page 72 “Reconciliation to Consolidated Statement of Comprehensive Income” shows this adjustment.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</si>
</sst>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6">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0.0"/>
    <numFmt numFmtId="165" formatCode="_-* #,##0_-;\-* #,##0_-;_-* &quot;-&quot;??_-;_-@_-"/>
    <numFmt numFmtId="166" formatCode="0.0%"/>
    <numFmt numFmtId="167" formatCode="0.000"/>
    <numFmt numFmtId="168" formatCode="0.0000"/>
    <numFmt numFmtId="169" formatCode="&quot;to &quot;0.0000;&quot;to &quot;\-0.0000;&quot;to 0&quot;"/>
    <numFmt numFmtId="170" formatCode="#,##0;\-#,##0;\-"/>
    <numFmt numFmtId="171" formatCode="[&lt;0.0001]&quot;&lt;0.0001&quot;;0.0000"/>
    <numFmt numFmtId="172" formatCode="#,##0.0,,;\-#,##0.0,,;\-"/>
    <numFmt numFmtId="173" formatCode="#,##0,;\-#,##0,;\-"/>
    <numFmt numFmtId="174" formatCode="0.0%;\-0.0%;\-"/>
    <numFmt numFmtId="175" formatCode="#,##0.0,,;\-#,##0.0,,"/>
    <numFmt numFmtId="176" formatCode="#,##0,;\-#,##0,"/>
    <numFmt numFmtId="177" formatCode="0.0%;\-0.0%"/>
    <numFmt numFmtId="178" formatCode="#,##0.0_-;\(#,##0.0\);_-* &quot;-&quot;??_-"/>
    <numFmt numFmtId="179" formatCode="_-[$€-2]* #,##0.00_-;\-[$€-2]* #,##0.00_-;_-[$€-2]* &quot;-&quot;??_-"/>
    <numFmt numFmtId="180" formatCode="#\ ##0"/>
    <numFmt numFmtId="181" formatCode="#,##0.0"/>
    <numFmt numFmtId="182" formatCode="#,##0.000"/>
    <numFmt numFmtId="183" formatCode="#,##0.0,,;&quot;-&quot;#,##0.0,,;&quot;-&quot;"/>
    <numFmt numFmtId="184" formatCode="#,##0,;&quot;-&quot;#,##0,;&quot;-&quot;"/>
    <numFmt numFmtId="185" formatCode="0.0%;&quot;-&quot;0.0%;&quot;-&quot;"/>
    <numFmt numFmtId="186" formatCode="#,##0.0,,;&quot;-&quot;#,##0.0,,"/>
    <numFmt numFmtId="187" formatCode="#,##0,;&quot;-&quot;#,##0,"/>
    <numFmt numFmtId="188" formatCode="#,##0.0&quot; &quot;;&quot;-&quot;#,##0.0&quot; &quot;"/>
    <numFmt numFmtId="189" formatCode="_-* #,##0.0_-;\-* #,##0.0_-;_-* &quot;-&quot;??_-;_-@_-"/>
    <numFmt numFmtId="190" formatCode="0.000000"/>
    <numFmt numFmtId="191" formatCode="_(&quot;$&quot;* #,##0_);_(&quot;$&quot;* \(#,##0\);_(&quot;$&quot;* &quot;-&quot;_);_(@_)"/>
    <numFmt numFmtId="192" formatCode="_(&quot;$&quot;* #,##0.00_);_(&quot;$&quot;* \(#,##0.00\);_(&quot;$&quot;* &quot;-&quot;??_);_(@_)"/>
    <numFmt numFmtId="193" formatCode="#,##0_);\(#,##0\);&quot;-&quot;_)"/>
    <numFmt numFmtId="194" formatCode="&quot;$&quot;#,##0_);\(&quot;$&quot;#,##0\)"/>
    <numFmt numFmtId="195" formatCode="#,##0;\(#,##0\)"/>
    <numFmt numFmtId="196" formatCode="#,##0_%_);\(#,##0\)_%;**;@_%_)"/>
    <numFmt numFmtId="197" formatCode="#,##0_%_);\(#,##0\)_%;#,##0_%_);@_%_)"/>
    <numFmt numFmtId="198" formatCode="#,##0.00_%_);\(#,##0.00\)_%;**;@_%_)"/>
    <numFmt numFmtId="199" formatCode="#,##0.00_%_);\(#,##0.00\)_%;#,##0.00_%_);@_%_)"/>
    <numFmt numFmtId="200" formatCode="#,##0.000_%_);\(#,##0.000\)_%;**;@_%_)"/>
    <numFmt numFmtId="201" formatCode="#,##0.0_%_);\(#,##0.0\)_%;**;@_%_)"/>
    <numFmt numFmtId="202" formatCode="[$¥-411]#,##0"/>
    <numFmt numFmtId="203" formatCode="&quot;$&quot;#,##0.00_%_);\(&quot;$&quot;#,##0.00\)_%;**;@_%_)"/>
    <numFmt numFmtId="204" formatCode="&quot;$&quot;#,##0.000_%_);\(&quot;$&quot;#,##0.000\)_%;**;@_%_)"/>
    <numFmt numFmtId="205" formatCode="&quot;$&quot;#,##0.0_%_);\(&quot;$&quot;#,##0.0\)_%;**;@_%_)"/>
    <numFmt numFmtId="206" formatCode="#,##0_);\(#,##0.0\)"/>
    <numFmt numFmtId="207" formatCode="m/d/yy_%_);;**"/>
    <numFmt numFmtId="208" formatCode="m/d/yy_%_)"/>
    <numFmt numFmtId="209" formatCode="_([$€]* #,##0.00_);_([$€]* \(#,##0.00\);_([$€]* &quot;-&quot;??_);_(@_)"/>
    <numFmt numFmtId="210" formatCode="0.0;\(0.0\)"/>
    <numFmt numFmtId="211" formatCode="0.0;;&quot;TBD&quot;"/>
    <numFmt numFmtId="212" formatCode="#,##0.0_x_)_);&quot;NM&quot;_x_)_);#,##0.0_x_)_);@_x_)_)"/>
    <numFmt numFmtId="213" formatCode="0.0%_);\(0.0%\);**;@_%_)"/>
    <numFmt numFmtId="214" formatCode="#,##0.0_);\(#,##0.0\)"/>
    <numFmt numFmtId="215" formatCode="&quot;$&quot;#,##0.0_);\(&quot;$&quot;#,##0.00\)"/>
    <numFmt numFmtId="216" formatCode="#,##0.00,,"/>
    <numFmt numFmtId="217" formatCode="0.000000000000000%"/>
    <numFmt numFmtId="218" formatCode="#,##0_ ;\-#,##0\ "/>
    <numFmt numFmtId="219" formatCode="General_)"/>
    <numFmt numFmtId="220" formatCode="#,##0_);\(#,##0\)"/>
    <numFmt numFmtId="221" formatCode="#,##0.0,"/>
    <numFmt numFmtId="222" formatCode="&quot;£&quot;#,##0.00"/>
    <numFmt numFmtId="223" formatCode="0.000%"/>
    <numFmt numFmtId="224" formatCode="0.000000000"/>
    <numFmt numFmtId="225" formatCode="0.0%;&quot;-&quot;0.0%"/>
    <numFmt numFmtId="226" formatCode="0_);[Red]\(0\)"/>
    <numFmt numFmtId="227" formatCode="_-&quot;£&quot;* #,##0_-;\-&quot;£&quot;* #,##0_-;_-&quot;£&quot;* &quot;-&quot;??_-;_-@_-"/>
    <numFmt numFmtId="228" formatCode="0.00000"/>
    <numFmt numFmtId="229" formatCode="_-* #,##0.000_-;\-* #,##0.000_-;_-* &quot;-&quot;??_-;_-@_-"/>
    <numFmt numFmtId="230" formatCode="_-* #,##0.0000_-;\-* #,##0.0000_-;_-* &quot;-&quot;??_-;_-@_-"/>
    <numFmt numFmtId="231" formatCode="_-* #,##0.000000_-;\-* #,##0.000000_-;_-* &quot;-&quot;??_-;_-@_-"/>
    <numFmt numFmtId="232" formatCode="_-* #,##0.00000_-;\-* #,##0.00000_-;_-* &quot;-&quot;??_-;_-@_-"/>
    <numFmt numFmtId="233" formatCode="_-* #,##0.000_-;\-* #,##0.000_-;_-* &quot;-&quot;???_-;_-@_-"/>
    <numFmt numFmtId="234" formatCode="0.00000000000000%"/>
  </numFmts>
  <fonts count="333">
    <font>
      <sz val="11"/>
      <color theme="1"/>
      <name val="Calibri"/>
      <family val="2"/>
      <scheme val="minor"/>
    </font>
    <font>
      <sz val="11"/>
      <color theme="1"/>
      <name val="Calibri"/>
      <family val="2"/>
      <scheme val="minor"/>
    </font>
    <font>
      <b/>
      <sz val="11"/>
      <color theme="1"/>
      <name val="Calibri"/>
      <family val="2"/>
      <scheme val="minor"/>
    </font>
    <font>
      <sz val="11"/>
      <color theme="1" tint="4.9989318521683403E-2"/>
      <name val="Calibri"/>
      <family val="2"/>
      <scheme val="minor"/>
    </font>
    <font>
      <sz val="11"/>
      <color theme="0" tint="-0.249977111117893"/>
      <name val="Calibri"/>
      <family val="2"/>
      <scheme val="minor"/>
    </font>
    <font>
      <b/>
      <i/>
      <sz val="11"/>
      <color theme="1"/>
      <name val="Calibri"/>
      <family val="2"/>
      <scheme val="minor"/>
    </font>
    <font>
      <sz val="10"/>
      <name val="Arial"/>
      <family val="2"/>
    </font>
    <font>
      <sz val="11"/>
      <name val="Calibri"/>
      <family val="2"/>
      <scheme val="minor"/>
    </font>
    <font>
      <sz val="11"/>
      <color theme="0" tint="-0.499984740745262"/>
      <name val="Calibri"/>
      <family val="2"/>
      <scheme val="minor"/>
    </font>
    <font>
      <b/>
      <sz val="11"/>
      <color theme="0" tint="-0.249977111117893"/>
      <name val="Calibri"/>
      <family val="2"/>
      <scheme val="minor"/>
    </font>
    <font>
      <sz val="10"/>
      <color theme="0" tint="-0.499984740745262"/>
      <name val="Arial"/>
      <family val="2"/>
    </font>
    <font>
      <i/>
      <sz val="11"/>
      <color theme="1"/>
      <name val="Calibri"/>
      <family val="2"/>
      <scheme val="minor"/>
    </font>
    <font>
      <b/>
      <sz val="11"/>
      <name val="Calibri"/>
      <family val="2"/>
      <scheme val="minor"/>
    </font>
    <font>
      <b/>
      <sz val="9"/>
      <color indexed="81"/>
      <name val="Tahoma"/>
      <family val="2"/>
    </font>
    <font>
      <sz val="9"/>
      <color indexed="81"/>
      <name val="Tahoma"/>
      <family val="2"/>
    </font>
    <font>
      <sz val="11"/>
      <color rgb="FF000000"/>
      <name val="Georgia"/>
      <family val="1"/>
    </font>
    <font>
      <b/>
      <i/>
      <sz val="11"/>
      <color rgb="FF000000"/>
      <name val="Georgia"/>
      <family val="1"/>
    </font>
    <font>
      <u/>
      <sz val="11"/>
      <color theme="10"/>
      <name val="Calibri"/>
      <family val="2"/>
      <scheme val="minor"/>
    </font>
    <font>
      <sz val="11"/>
      <color rgb="FF000000"/>
      <name val="Calibri"/>
      <family val="2"/>
      <scheme val="minor"/>
    </font>
    <font>
      <u/>
      <sz val="10"/>
      <color indexed="12"/>
      <name val="Arial"/>
      <family val="2"/>
    </font>
    <font>
      <b/>
      <i/>
      <sz val="11"/>
      <color theme="1" tint="4.9989318521683403E-2"/>
      <name val="Calibri"/>
      <family val="2"/>
      <scheme val="minor"/>
    </font>
    <font>
      <sz val="8"/>
      <name val="Calibri"/>
      <family val="2"/>
      <scheme val="minor"/>
    </font>
    <font>
      <sz val="11"/>
      <color indexed="8"/>
      <name val="Calibri"/>
      <family val="2"/>
    </font>
    <font>
      <b/>
      <sz val="10"/>
      <color indexed="18"/>
      <name val="Arial"/>
      <family val="2"/>
    </font>
    <font>
      <sz val="9"/>
      <name val="Arial"/>
      <family val="2"/>
    </font>
    <font>
      <sz val="8"/>
      <name val="Times New Roman"/>
      <family val="1"/>
    </font>
    <font>
      <i/>
      <sz val="8"/>
      <name val="Times New Roman"/>
      <family val="1"/>
    </font>
    <font>
      <b/>
      <sz val="9"/>
      <color indexed="18"/>
      <name val="Arial"/>
      <family val="2"/>
    </font>
    <font>
      <b/>
      <sz val="9"/>
      <color indexed="8"/>
      <name val="Arial"/>
      <family val="2"/>
    </font>
    <font>
      <b/>
      <i/>
      <sz val="10"/>
      <name val="Arial"/>
      <family val="2"/>
    </font>
    <font>
      <i/>
      <sz val="10"/>
      <name val="Arial"/>
      <family val="2"/>
    </font>
    <font>
      <sz val="7"/>
      <name val="Arial"/>
      <family val="2"/>
    </font>
    <font>
      <sz val="10"/>
      <color indexed="8"/>
      <name val="Arial"/>
      <family val="2"/>
    </font>
    <font>
      <b/>
      <sz val="10"/>
      <name val="Tahoma"/>
      <family val="2"/>
    </font>
    <font>
      <sz val="10"/>
      <name val="Tahoma"/>
      <family val="2"/>
    </font>
    <font>
      <i/>
      <sz val="7"/>
      <name val="Arial"/>
      <family val="2"/>
    </font>
    <font>
      <b/>
      <sz val="8"/>
      <name val="Arial"/>
      <family val="2"/>
    </font>
    <font>
      <b/>
      <sz val="8"/>
      <color indexed="12"/>
      <name val="Arial"/>
      <family val="2"/>
    </font>
    <font>
      <i/>
      <sz val="8"/>
      <color indexed="12"/>
      <name val="Arial"/>
      <family val="2"/>
    </font>
    <font>
      <i/>
      <sz val="8"/>
      <name val="Arial"/>
      <family val="2"/>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1"/>
      <color indexed="55"/>
      <name val="Arial"/>
      <family val="2"/>
    </font>
    <font>
      <sz val="11"/>
      <color indexed="10"/>
      <name val="Arial"/>
      <family val="2"/>
    </font>
    <font>
      <b/>
      <sz val="12"/>
      <color indexed="12"/>
      <name val="Arial"/>
      <family val="2"/>
    </font>
    <font>
      <b/>
      <sz val="12"/>
      <name val="Arial"/>
      <family val="2"/>
    </font>
    <font>
      <b/>
      <i/>
      <sz val="12"/>
      <name val="Arial"/>
      <family val="2"/>
    </font>
    <font>
      <b/>
      <sz val="10"/>
      <name val="Arial"/>
      <family val="2"/>
    </font>
    <font>
      <sz val="12"/>
      <name val="Helv"/>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8"/>
      <color indexed="52"/>
      <name val="Arial"/>
      <family val="2"/>
    </font>
    <font>
      <sz val="8"/>
      <color indexed="51"/>
      <name val="Arial"/>
      <family val="2"/>
    </font>
    <font>
      <b/>
      <sz val="10"/>
      <color indexed="58"/>
      <name val="Arial"/>
      <family val="2"/>
    </font>
    <font>
      <sz val="10"/>
      <color indexed="39"/>
      <name val="Arial"/>
      <family val="2"/>
    </font>
    <font>
      <b/>
      <sz val="10"/>
      <color indexed="8"/>
      <name val="Arial"/>
      <family val="2"/>
    </font>
    <font>
      <b/>
      <sz val="12"/>
      <color indexed="8"/>
      <name val="Arial"/>
      <family val="2"/>
    </font>
    <font>
      <b/>
      <sz val="16"/>
      <color indexed="23"/>
      <name val="Arial"/>
      <family val="2"/>
    </font>
    <font>
      <sz val="10"/>
      <color indexed="10"/>
      <name val="Arial"/>
      <family val="2"/>
    </font>
    <font>
      <b/>
      <sz val="11"/>
      <name val="Times New Roman"/>
      <family val="1"/>
    </font>
    <font>
      <b/>
      <sz val="18"/>
      <name val="Arial"/>
      <family val="2"/>
    </font>
    <font>
      <u/>
      <sz val="11"/>
      <color theme="10"/>
      <name val="Calibri"/>
      <family val="2"/>
    </font>
    <font>
      <sz val="12"/>
      <color theme="1"/>
      <name val="Arial"/>
      <family val="2"/>
    </font>
    <font>
      <sz val="10"/>
      <name val="Arial"/>
      <family val="2"/>
    </font>
    <font>
      <sz val="10"/>
      <name val="System"/>
    </font>
    <font>
      <sz val="10"/>
      <name val="System"/>
      <family val="2"/>
    </font>
    <font>
      <u/>
      <sz val="10"/>
      <color indexed="12"/>
      <name val="System"/>
      <family val="2"/>
    </font>
    <font>
      <u/>
      <sz val="10"/>
      <color theme="10"/>
      <name val="System"/>
      <family val="2"/>
    </font>
    <font>
      <sz val="10"/>
      <color theme="1"/>
      <name val="Arial"/>
      <family val="2"/>
    </font>
    <font>
      <b/>
      <u/>
      <sz val="11"/>
      <color rgb="FF000000"/>
      <name val="Georgia"/>
      <family val="1"/>
    </font>
    <font>
      <sz val="11"/>
      <color rgb="FFFFFFFF"/>
      <name val="Calibri"/>
      <family val="2"/>
      <scheme val="minor"/>
    </font>
    <font>
      <sz val="11"/>
      <color rgb="FFFF0000"/>
      <name val="Calibri"/>
      <family val="2"/>
      <scheme val="minor"/>
    </font>
    <font>
      <sz val="11"/>
      <color theme="9"/>
      <name val="Calibri"/>
      <family val="2"/>
      <scheme val="minor"/>
    </font>
    <font>
      <sz val="11"/>
      <name val="Calibri"/>
      <family val="2"/>
    </font>
    <font>
      <sz val="8"/>
      <color rgb="FF000000"/>
      <name val="Calibri"/>
      <family val="2"/>
    </font>
    <font>
      <sz val="12"/>
      <color rgb="FF000000"/>
      <name val="Futura Bk BT"/>
      <family val="2"/>
    </font>
    <font>
      <sz val="10"/>
      <color rgb="FF000000"/>
      <name val="Calibri"/>
      <family val="2"/>
    </font>
    <font>
      <sz val="10"/>
      <color rgb="FF000000"/>
      <name val="Arial"/>
      <family val="2"/>
    </font>
    <font>
      <sz val="14"/>
      <name val="Arial"/>
      <family val="2"/>
    </font>
    <font>
      <sz val="14"/>
      <color indexed="8"/>
      <name val="Futura Bk BT"/>
    </font>
    <font>
      <sz val="14"/>
      <color theme="1"/>
      <name val="Calibri"/>
      <family val="2"/>
      <scheme val="minor"/>
    </font>
    <font>
      <sz val="14"/>
      <name val="Calibri"/>
      <family val="2"/>
      <scheme val="minor"/>
    </font>
    <font>
      <sz val="14"/>
      <color indexed="8"/>
      <name val="Calibri Light"/>
      <family val="2"/>
    </font>
    <font>
      <sz val="14"/>
      <name val="Calibri Light"/>
      <family val="2"/>
    </font>
    <font>
      <b/>
      <sz val="14"/>
      <color theme="1"/>
      <name val="Noto Sans"/>
      <family val="2"/>
    </font>
    <font>
      <sz val="14"/>
      <color theme="1"/>
      <name val="Arial"/>
      <family val="2"/>
    </font>
    <font>
      <sz val="14"/>
      <name val="Futura Bk BT"/>
    </font>
    <font>
      <sz val="14"/>
      <color theme="8"/>
      <name val="Futura Bk BT"/>
    </font>
    <font>
      <sz val="14"/>
      <color theme="8"/>
      <name val="Calibri Light"/>
      <family val="2"/>
    </font>
    <font>
      <sz val="10"/>
      <color rgb="FF006100"/>
      <name val="Arial"/>
      <family val="2"/>
    </font>
    <font>
      <b/>
      <sz val="12"/>
      <color rgb="FF0000FF"/>
      <name val="Arial"/>
      <family val="2"/>
    </font>
    <font>
      <u/>
      <sz val="10"/>
      <color rgb="FF0000FF"/>
      <name val="Arial"/>
      <family val="2"/>
    </font>
    <font>
      <i/>
      <sz val="7"/>
      <color rgb="FF000000"/>
      <name val="Arial"/>
      <family val="2"/>
    </font>
    <font>
      <b/>
      <sz val="8"/>
      <color rgb="FF000000"/>
      <name val="Arial"/>
      <family val="2"/>
    </font>
    <font>
      <b/>
      <sz val="8"/>
      <color rgb="FF0000FF"/>
      <name val="Arial"/>
      <family val="2"/>
    </font>
    <font>
      <i/>
      <sz val="8"/>
      <color rgb="FF0000FF"/>
      <name val="Arial"/>
      <family val="2"/>
    </font>
    <font>
      <sz val="8"/>
      <color rgb="FF000000"/>
      <name val="Arial"/>
      <family val="2"/>
    </font>
    <font>
      <sz val="8"/>
      <color rgb="FF000000"/>
      <name val="Humnst777 Cn BT"/>
    </font>
    <font>
      <sz val="11"/>
      <color rgb="FF000000"/>
      <name val="Calibri"/>
      <family val="2"/>
    </font>
    <font>
      <i/>
      <sz val="11"/>
      <name val="Calibri"/>
      <family val="2"/>
    </font>
    <font>
      <sz val="11"/>
      <color rgb="FF00B050"/>
      <name val="Calibri"/>
      <family val="2"/>
      <scheme val="minor"/>
    </font>
    <font>
      <b/>
      <sz val="11"/>
      <color rgb="FFED7D31"/>
      <name val="Calibri"/>
      <family val="2"/>
      <scheme val="minor"/>
    </font>
    <font>
      <sz val="11"/>
      <color rgb="FF7030A0"/>
      <name val="Calibri"/>
      <family val="2"/>
      <scheme val="minor"/>
    </font>
    <font>
      <b/>
      <i/>
      <sz val="11"/>
      <color theme="1" tint="0.34998626667073579"/>
      <name val="Calibri"/>
      <family val="2"/>
      <scheme val="minor"/>
    </font>
    <font>
      <i/>
      <sz val="11"/>
      <color theme="1" tint="0.34998626667073579"/>
      <name val="Calibri"/>
      <family val="2"/>
      <scheme val="minor"/>
    </font>
    <font>
      <sz val="11"/>
      <color theme="1" tint="0.34998626667073579"/>
      <name val="Calibri"/>
      <family val="2"/>
      <scheme val="minor"/>
    </font>
    <font>
      <b/>
      <sz val="11"/>
      <color rgb="FF0070C0"/>
      <name val="Calibri"/>
      <family val="2"/>
      <scheme val="minor"/>
    </font>
    <font>
      <sz val="11"/>
      <color rgb="FF0070C0"/>
      <name val="Calibri"/>
      <family val="2"/>
      <scheme val="minor"/>
    </font>
    <font>
      <b/>
      <i/>
      <sz val="11"/>
      <color rgb="FF0070C0"/>
      <name val="Calibri"/>
      <family val="2"/>
      <scheme val="minor"/>
    </font>
    <font>
      <sz val="12"/>
      <color indexed="8"/>
      <name val="Futura Bk BT"/>
      <family val="2"/>
    </font>
    <font>
      <sz val="8"/>
      <color indexed="8"/>
      <name val="Futura Bk BT"/>
      <family val="2"/>
    </font>
    <font>
      <sz val="8"/>
      <color indexed="8"/>
      <name val="Calibri"/>
      <family val="2"/>
    </font>
    <font>
      <sz val="10"/>
      <color indexed="8"/>
      <name val="Calibri"/>
      <family val="2"/>
    </font>
    <font>
      <sz val="12"/>
      <color indexed="8"/>
      <name val="Calibri"/>
      <family val="2"/>
    </font>
    <font>
      <sz val="14"/>
      <color indexed="8"/>
      <name val="Calibri"/>
      <family val="2"/>
    </font>
    <font>
      <u/>
      <sz val="10"/>
      <color theme="10"/>
      <name val="Calibri"/>
      <family val="2"/>
    </font>
    <font>
      <vertAlign val="superscript"/>
      <sz val="12"/>
      <color indexed="8"/>
      <name val="Futura Bk BT"/>
      <family val="2"/>
    </font>
    <font>
      <i/>
      <sz val="11"/>
      <color rgb="FFFF0000"/>
      <name val="Calibri"/>
      <family val="2"/>
      <scheme val="minor"/>
    </font>
    <font>
      <sz val="8"/>
      <color theme="1"/>
      <name val="Calibri"/>
      <family val="2"/>
      <scheme val="minor"/>
    </font>
    <font>
      <sz val="10"/>
      <name val="Arial"/>
      <family val="2"/>
    </font>
    <font>
      <u/>
      <sz val="11"/>
      <color indexed="12"/>
      <name val="Calibri"/>
      <family val="2"/>
    </font>
    <font>
      <u/>
      <sz val="12"/>
      <color theme="10"/>
      <name val="Arial"/>
      <family val="2"/>
    </font>
    <font>
      <b/>
      <sz val="10"/>
      <color theme="1"/>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theme="1"/>
      <name val="Arial"/>
      <family val="2"/>
    </font>
    <font>
      <sz val="8"/>
      <color rgb="FF9C0006"/>
      <name val="Arial"/>
      <family val="2"/>
    </font>
    <font>
      <sz val="10"/>
      <name val="Helv"/>
      <charset val="204"/>
    </font>
    <font>
      <sz val="8"/>
      <color indexed="12"/>
      <name val="Palatino"/>
      <family val="1"/>
    </font>
    <font>
      <sz val="8"/>
      <color indexed="18"/>
      <name val="Helv"/>
    </font>
    <font>
      <b/>
      <sz val="10"/>
      <name val="MS Sans Serif"/>
      <family val="2"/>
    </font>
    <font>
      <b/>
      <sz val="8"/>
      <color indexed="24"/>
      <name val="Arial"/>
      <family val="2"/>
    </font>
    <font>
      <b/>
      <sz val="9"/>
      <color indexed="24"/>
      <name val="Arial"/>
      <family val="2"/>
    </font>
    <font>
      <b/>
      <sz val="11"/>
      <color indexed="24"/>
      <name val="Arial"/>
      <family val="2"/>
    </font>
    <font>
      <sz val="11"/>
      <name val="Tms Rmn"/>
    </font>
    <font>
      <sz val="8"/>
      <name val="Palatino"/>
      <family val="1"/>
    </font>
    <font>
      <sz val="10"/>
      <color indexed="24"/>
      <name val="Arial"/>
      <family val="2"/>
    </font>
    <font>
      <sz val="10"/>
      <name val="BERNHARD"/>
    </font>
    <font>
      <sz val="10"/>
      <name val="Helv"/>
    </font>
    <font>
      <sz val="8"/>
      <color indexed="16"/>
      <name val="Palatino"/>
      <family val="1"/>
    </font>
    <font>
      <b/>
      <sz val="8"/>
      <name val="Tahoma"/>
      <family val="2"/>
    </font>
    <font>
      <sz val="9.5"/>
      <color indexed="23"/>
      <name val="Helvetica-Black"/>
    </font>
    <font>
      <sz val="7"/>
      <name val="Palatino"/>
      <family val="1"/>
    </font>
    <font>
      <sz val="6"/>
      <color indexed="16"/>
      <name val="Palatino"/>
      <family val="1"/>
    </font>
    <font>
      <sz val="6"/>
      <name val="Palatino"/>
      <family val="1"/>
    </font>
    <font>
      <b/>
      <sz val="14"/>
      <name val="Arial"/>
      <family val="2"/>
    </font>
    <font>
      <sz val="10"/>
      <name val="Helvetica-Black"/>
    </font>
    <font>
      <sz val="10"/>
      <name val="Palatino"/>
      <family val="1"/>
    </font>
    <font>
      <i/>
      <sz val="14"/>
      <name val="Palatino"/>
      <family val="1"/>
    </font>
    <font>
      <sz val="10"/>
      <name val="MS Sans Serif"/>
      <family val="2"/>
    </font>
    <font>
      <sz val="7"/>
      <name val="Small Fonts"/>
      <family val="2"/>
    </font>
    <font>
      <b/>
      <i/>
      <sz val="16"/>
      <name val="Helv"/>
    </font>
    <font>
      <sz val="8"/>
      <name val="Tahoma"/>
      <family val="2"/>
    </font>
    <font>
      <sz val="10"/>
      <color indexed="16"/>
      <name val="Helvetica-Black"/>
    </font>
    <font>
      <sz val="10"/>
      <name val="Helvetica"/>
      <family val="2"/>
    </font>
    <font>
      <sz val="8"/>
      <name val="Helvetica"/>
      <family val="2"/>
    </font>
    <font>
      <b/>
      <sz val="9"/>
      <name val="Palatino"/>
      <family val="1"/>
    </font>
    <font>
      <sz val="9"/>
      <color indexed="21"/>
      <name val="Helvetica-Black"/>
    </font>
    <font>
      <b/>
      <sz val="10"/>
      <name val="Palatino"/>
      <family val="1"/>
    </font>
    <font>
      <b/>
      <sz val="9"/>
      <name val="Arial"/>
      <family val="2"/>
    </font>
    <font>
      <sz val="12"/>
      <name val="Palatino"/>
      <family val="1"/>
    </font>
    <font>
      <b/>
      <sz val="8"/>
      <name val="Palatino"/>
      <family val="1"/>
    </font>
    <font>
      <sz val="10"/>
      <name val="Times New Roman"/>
      <family val="1"/>
    </font>
    <font>
      <u/>
      <sz val="9"/>
      <color indexed="12"/>
      <name val="Arial"/>
      <family val="2"/>
    </font>
    <font>
      <sz val="14"/>
      <name val="Arial MT"/>
    </font>
    <font>
      <sz val="10"/>
      <color indexed="12"/>
      <name val="Arial"/>
      <family val="2"/>
    </font>
    <font>
      <sz val="11"/>
      <color rgb="FF9C6500"/>
      <name val="Calibri"/>
      <family val="2"/>
      <scheme val="minor"/>
    </font>
    <font>
      <b/>
      <sz val="18"/>
      <color theme="3"/>
      <name val="Calibri Light"/>
      <family val="2"/>
      <scheme val="major"/>
    </font>
    <font>
      <sz val="11"/>
      <color rgb="FF000000"/>
      <name val="Arial"/>
      <family val="2"/>
    </font>
    <font>
      <b/>
      <sz val="11"/>
      <name val="Calibri"/>
      <family val="2"/>
    </font>
    <font>
      <b/>
      <sz val="11"/>
      <color rgb="FF000000"/>
      <name val="Calibri"/>
      <family val="2"/>
    </font>
    <font>
      <sz val="10"/>
      <name val="Arial"/>
      <family val="2"/>
    </font>
    <font>
      <sz val="10"/>
      <color indexed="8"/>
      <name val="MS Sans Serif"/>
    </font>
    <font>
      <sz val="12"/>
      <color indexed="8"/>
      <name val="Arial"/>
      <family val="2"/>
    </font>
    <font>
      <b/>
      <sz val="12"/>
      <color theme="1"/>
      <name val="Noto Sans"/>
      <family val="2"/>
    </font>
    <font>
      <sz val="10"/>
      <name val="Futura Bk BT"/>
      <family val="2"/>
    </font>
    <font>
      <sz val="10"/>
      <name val="Courier"/>
      <family val="3"/>
    </font>
    <font>
      <sz val="14"/>
      <color rgb="FFFF0000"/>
      <name val="Calibri"/>
      <family val="2"/>
      <scheme val="minor"/>
    </font>
    <font>
      <sz val="6.5"/>
      <name val="Arial"/>
      <family val="2"/>
    </font>
    <font>
      <sz val="12"/>
      <color rgb="FF000000"/>
      <name val="Futura Bk BT"/>
    </font>
    <font>
      <sz val="14"/>
      <color rgb="FF000000"/>
      <name val="Calibri"/>
      <family val="2"/>
    </font>
    <font>
      <sz val="14"/>
      <color theme="4"/>
      <name val="Calibri"/>
      <family val="2"/>
      <scheme val="minor"/>
    </font>
    <font>
      <b/>
      <sz val="14"/>
      <color theme="1"/>
      <name val="Calibri"/>
      <family val="2"/>
      <scheme val="minor"/>
    </font>
    <font>
      <i/>
      <sz val="11"/>
      <name val="Calibri"/>
      <family val="2"/>
      <scheme val="minor"/>
    </font>
    <font>
      <sz val="12"/>
      <name val="Calibri"/>
      <family val="2"/>
      <scheme val="minor"/>
    </font>
    <font>
      <sz val="12"/>
      <color theme="1"/>
      <name val="Calibri"/>
      <family val="2"/>
      <scheme val="minor"/>
    </font>
    <font>
      <b/>
      <sz val="12"/>
      <name val="Calibri"/>
      <family val="2"/>
      <scheme val="minor"/>
    </font>
    <font>
      <sz val="12"/>
      <color rgb="FF000000"/>
      <name val="Calibri"/>
      <family val="2"/>
      <scheme val="minor"/>
    </font>
    <font>
      <vertAlign val="superscript"/>
      <sz val="12"/>
      <name val="Calibri"/>
      <family val="2"/>
      <scheme val="minor"/>
    </font>
    <font>
      <b/>
      <sz val="16"/>
      <name val="Calibri"/>
      <family val="2"/>
      <scheme val="minor"/>
    </font>
    <font>
      <b/>
      <sz val="16"/>
      <color rgb="FFFFFFFF"/>
      <name val="Calibri"/>
      <family val="2"/>
      <scheme val="minor"/>
    </font>
    <font>
      <sz val="12"/>
      <name val="Arial"/>
      <family val="2"/>
    </font>
    <font>
      <b/>
      <sz val="12"/>
      <color theme="1"/>
      <name val="Calibri"/>
      <family val="2"/>
      <scheme val="minor"/>
    </font>
    <font>
      <sz val="20"/>
      <color theme="1"/>
      <name val="Calibri"/>
      <family val="2"/>
      <scheme val="minor"/>
    </font>
    <font>
      <b/>
      <sz val="11"/>
      <color rgb="FFFFFFFF"/>
      <name val="Calibri"/>
      <family val="2"/>
      <scheme val="minor"/>
    </font>
    <font>
      <b/>
      <sz val="11"/>
      <color rgb="FF000000"/>
      <name val="Calibri"/>
      <family val="2"/>
      <scheme val="minor"/>
    </font>
    <font>
      <sz val="11"/>
      <color indexed="8"/>
      <name val="Calibri"/>
      <family val="2"/>
      <scheme val="minor"/>
    </font>
    <font>
      <sz val="14"/>
      <color rgb="FF000000"/>
      <name val="Calibri"/>
      <family val="2"/>
      <scheme val="minor"/>
    </font>
    <font>
      <sz val="11"/>
      <name val="Arial"/>
      <family val="2"/>
    </font>
    <font>
      <sz val="10"/>
      <color rgb="FFFF0000"/>
      <name val="Arial"/>
      <family val="2"/>
    </font>
    <font>
      <b/>
      <sz val="11"/>
      <color theme="4"/>
      <name val="Calibri"/>
      <family val="2"/>
      <scheme val="minor"/>
    </font>
    <font>
      <sz val="11"/>
      <color theme="1"/>
      <name val="Calibri"/>
      <family val="2"/>
    </font>
    <font>
      <sz val="11"/>
      <color rgb="FF4472C4"/>
      <name val="Calibri"/>
      <family val="2"/>
    </font>
    <font>
      <sz val="11"/>
      <color theme="4"/>
      <name val="Calibri"/>
      <family val="2"/>
      <scheme val="minor"/>
    </font>
    <font>
      <b/>
      <sz val="11"/>
      <color rgb="FFFF0000"/>
      <name val="Calibri"/>
      <family val="2"/>
      <scheme val="minor"/>
    </font>
    <font>
      <i/>
      <sz val="9"/>
      <color theme="1"/>
      <name val="Calibri"/>
      <family val="2"/>
      <scheme val="minor"/>
    </font>
    <font>
      <i/>
      <sz val="8"/>
      <color theme="1"/>
      <name val="Calibri"/>
      <family val="2"/>
      <scheme val="minor"/>
    </font>
    <font>
      <sz val="11"/>
      <color theme="5"/>
      <name val="Calibri"/>
      <family val="2"/>
      <scheme val="minor"/>
    </font>
    <font>
      <b/>
      <sz val="11"/>
      <color rgb="FF808080"/>
      <name val="Calibri"/>
      <family val="2"/>
      <scheme val="minor"/>
    </font>
    <font>
      <sz val="11"/>
      <color rgb="FF808080"/>
      <name val="Calibri"/>
      <family val="2"/>
      <scheme val="minor"/>
    </font>
    <font>
      <b/>
      <sz val="11"/>
      <color rgb="FF0066FF"/>
      <name val="Calibri"/>
      <family val="2"/>
    </font>
    <font>
      <i/>
      <sz val="11"/>
      <color rgb="FF000000"/>
      <name val="Calibri"/>
      <family val="2"/>
    </font>
    <font>
      <sz val="11"/>
      <color theme="10"/>
      <name val="Calibri"/>
      <family val="2"/>
      <scheme val="minor"/>
    </font>
    <font>
      <sz val="8"/>
      <name val="Arial"/>
      <family val="2"/>
    </font>
    <font>
      <sz val="8"/>
      <name val="Calibri Light"/>
      <family val="2"/>
      <scheme val="major"/>
    </font>
    <font>
      <sz val="11"/>
      <color indexed="30"/>
      <name val="Calibri Light"/>
      <family val="2"/>
      <scheme val="major"/>
    </font>
    <font>
      <sz val="8"/>
      <color indexed="12"/>
      <name val="Calibri Light"/>
      <family val="2"/>
      <scheme val="major"/>
    </font>
    <font>
      <sz val="8"/>
      <color indexed="30"/>
      <name val="Calibri Light"/>
      <family val="2"/>
      <scheme val="major"/>
    </font>
    <font>
      <sz val="8"/>
      <name val="Humnst777 Cn BT"/>
      <family val="2"/>
    </font>
    <font>
      <u/>
      <sz val="8"/>
      <color theme="10"/>
      <name val="Arial"/>
      <family val="2"/>
    </font>
    <font>
      <sz val="10"/>
      <name val="Arial"/>
      <family val="2"/>
    </font>
    <font>
      <b/>
      <sz val="12"/>
      <color indexed="12"/>
      <name val="Arial"/>
      <family val="2"/>
    </font>
    <font>
      <i/>
      <sz val="7"/>
      <name val="Arial"/>
      <family val="2"/>
    </font>
    <font>
      <b/>
      <sz val="8"/>
      <name val="Arial"/>
      <family val="2"/>
    </font>
    <font>
      <b/>
      <sz val="8"/>
      <color indexed="12"/>
      <name val="Arial"/>
      <family val="2"/>
    </font>
    <font>
      <i/>
      <sz val="8"/>
      <color indexed="12"/>
      <name val="Arial"/>
      <family val="2"/>
    </font>
    <font>
      <i/>
      <sz val="8"/>
      <name val="Arial"/>
      <family val="2"/>
    </font>
    <font>
      <sz val="8"/>
      <name val="Arial "/>
    </font>
    <font>
      <sz val="8"/>
      <color rgb="FF221E20"/>
      <name val="Arial Bold"/>
      <family val="2"/>
    </font>
    <font>
      <sz val="8"/>
      <color rgb="FF221E20"/>
      <name val="Arial"/>
      <family val="2"/>
    </font>
    <font>
      <sz val="10"/>
      <name val="Calibri"/>
      <family val="2"/>
      <scheme val="minor"/>
    </font>
    <font>
      <sz val="13"/>
      <color rgb="FF121212"/>
      <name val="GuardianTextEgyptian"/>
      <charset val="1"/>
    </font>
    <font>
      <sz val="18"/>
      <color theme="3"/>
      <name val="Calibri Light"/>
      <family val="2"/>
      <scheme val="major"/>
    </font>
    <font>
      <sz val="11"/>
      <color rgb="FF9C5700"/>
      <name val="Calibri"/>
      <family val="2"/>
      <scheme val="minor"/>
    </font>
    <font>
      <sz val="11"/>
      <color rgb="FFFFFFFF"/>
      <name val="Calibri"/>
      <family val="2"/>
    </font>
    <font>
      <sz val="11"/>
      <color rgb="FF800080"/>
      <name val="Calibri"/>
      <family val="2"/>
    </font>
    <font>
      <b/>
      <sz val="11"/>
      <color rgb="FFFF9900"/>
      <name val="Calibri"/>
      <family val="2"/>
    </font>
    <font>
      <b/>
      <sz val="11"/>
      <color rgb="FFFFFFFF"/>
      <name val="Calibri"/>
      <family val="2"/>
    </font>
    <font>
      <i/>
      <sz val="11"/>
      <color rgb="FF808080"/>
      <name val="Calibri"/>
      <family val="2"/>
    </font>
    <font>
      <sz val="11"/>
      <color rgb="FF008000"/>
      <name val="Calibri"/>
      <family val="2"/>
    </font>
    <font>
      <b/>
      <sz val="13"/>
      <color rgb="FF003366"/>
      <name val="Calibri"/>
      <family val="2"/>
    </font>
    <font>
      <b/>
      <sz val="11"/>
      <color rgb="FF003366"/>
      <name val="Calibri"/>
      <family val="2"/>
    </font>
    <font>
      <sz val="11"/>
      <color rgb="FF333399"/>
      <name val="Calibri"/>
      <family val="2"/>
    </font>
    <font>
      <sz val="11"/>
      <color rgb="FFFF9900"/>
      <name val="Calibri"/>
      <family val="2"/>
    </font>
    <font>
      <sz val="11"/>
      <color rgb="FF993300"/>
      <name val="Calibri"/>
      <family val="2"/>
    </font>
    <font>
      <b/>
      <sz val="11"/>
      <color rgb="FF333333"/>
      <name val="Calibri"/>
      <family val="2"/>
    </font>
    <font>
      <i/>
      <sz val="8"/>
      <color rgb="FF000000"/>
      <name val="Arial"/>
      <family val="2"/>
    </font>
    <font>
      <b/>
      <sz val="18"/>
      <color rgb="FF000000"/>
      <name val="Arial"/>
      <family val="2"/>
    </font>
    <font>
      <sz val="11"/>
      <color rgb="FFFF0000"/>
      <name val="Calibri"/>
      <family val="2"/>
    </font>
    <font>
      <sz val="10"/>
      <name val="Arial"/>
      <family val="2"/>
    </font>
    <font>
      <sz val="10"/>
      <name val="Palatino"/>
      <family val="1"/>
    </font>
    <font>
      <sz val="10"/>
      <name val="Helvetica"/>
      <family val="2"/>
    </font>
    <font>
      <u/>
      <sz val="10"/>
      <color theme="10"/>
      <name val="Arial"/>
      <family val="2"/>
    </font>
    <font>
      <sz val="10"/>
      <color rgb="FF000000"/>
      <name val="Times New Roman"/>
      <family val="1"/>
    </font>
    <font>
      <b/>
      <sz val="8.5"/>
      <name val="Arial"/>
      <family val="2"/>
    </font>
    <font>
      <b/>
      <sz val="8.5"/>
      <color rgb="FF000000"/>
      <name val="Arial"/>
      <family val="2"/>
    </font>
    <font>
      <sz val="8.5"/>
      <name val="Arial MT"/>
    </font>
    <font>
      <sz val="8.5"/>
      <color rgb="FFFF0000"/>
      <name val="Arial MT"/>
      <family val="2"/>
    </font>
    <font>
      <sz val="8.5"/>
      <color rgb="FF000000"/>
      <name val="Arial MT"/>
      <family val="2"/>
    </font>
    <font>
      <i/>
      <sz val="8.5"/>
      <name val="Arial"/>
      <family val="2"/>
    </font>
    <font>
      <i/>
      <sz val="8.5"/>
      <color rgb="FF000000"/>
      <name val="Arial"/>
      <family val="2"/>
    </font>
    <font>
      <b/>
      <sz val="8.5"/>
      <color rgb="FFFFFFFF"/>
      <name val="Arial"/>
      <family val="2"/>
    </font>
    <font>
      <sz val="8.5"/>
      <name val="Arial MT"/>
      <family val="2"/>
    </font>
    <font>
      <sz val="10"/>
      <name val="Arial"/>
      <family val="2"/>
    </font>
    <font>
      <b/>
      <u/>
      <sz val="10"/>
      <name val="Times New Roman"/>
      <family val="1"/>
    </font>
    <font>
      <b/>
      <sz val="10"/>
      <name val="Times New Roman"/>
      <family val="1"/>
    </font>
    <font>
      <vertAlign val="superscript"/>
      <sz val="10"/>
      <name val="Times New Roman"/>
      <family val="1"/>
    </font>
    <font>
      <sz val="10"/>
      <color indexed="8"/>
      <name val="Times New Roman"/>
      <family val="1"/>
    </font>
    <font>
      <u/>
      <sz val="10"/>
      <color indexed="12"/>
      <name val="Times New Roman"/>
      <family val="1"/>
    </font>
    <font>
      <b/>
      <sz val="14"/>
      <color rgb="FF000000"/>
      <name val="Arial"/>
      <family val="2"/>
    </font>
    <font>
      <sz val="12"/>
      <color rgb="FF000000"/>
      <name val="Arial"/>
      <family val="2"/>
    </font>
    <font>
      <b/>
      <sz val="12"/>
      <color rgb="FF000000"/>
      <name val="Arial"/>
      <family val="2"/>
    </font>
    <font>
      <sz val="9"/>
      <color rgb="FF202A30"/>
      <name val="Roboto"/>
    </font>
    <font>
      <sz val="10"/>
      <color rgb="FF202124"/>
      <name val="Arial"/>
      <family val="2"/>
    </font>
    <font>
      <b/>
      <sz val="8"/>
      <color theme="1"/>
      <name val="Arial"/>
      <family val="2"/>
    </font>
    <font>
      <sz val="8"/>
      <color theme="1"/>
      <name val="Arial"/>
      <family val="2"/>
    </font>
    <font>
      <sz val="8"/>
      <color rgb="FFFF0000"/>
      <name val="Arial"/>
      <family val="2"/>
    </font>
    <font>
      <b/>
      <sz val="8"/>
      <color rgb="FFFF0000"/>
      <name val="Arial"/>
      <family val="2"/>
    </font>
    <font>
      <b/>
      <sz val="14"/>
      <color rgb="FFFF0000"/>
      <name val="Noto Sans"/>
      <family val="2"/>
    </font>
    <font>
      <b/>
      <sz val="14"/>
      <color theme="1"/>
      <name val="Arial"/>
      <family val="2"/>
    </font>
    <font>
      <b/>
      <sz val="14"/>
      <color rgb="FFFF0000"/>
      <name val="Arial"/>
      <family val="2"/>
    </font>
    <font>
      <b/>
      <sz val="8"/>
      <color indexed="8"/>
      <name val="Arial"/>
      <family val="2"/>
    </font>
    <font>
      <sz val="10"/>
      <name val="Arial"/>
      <family val="2"/>
    </font>
    <font>
      <i/>
      <sz val="12"/>
      <color rgb="FF000000"/>
      <name val="Calibri"/>
      <family val="2"/>
    </font>
    <font>
      <sz val="12"/>
      <color rgb="FF000000"/>
      <name val="Calibri"/>
      <family val="2"/>
    </font>
    <font>
      <u/>
      <sz val="10"/>
      <color indexed="12"/>
      <name val="MS Sans Serif"/>
      <family val="2"/>
    </font>
    <font>
      <sz val="12"/>
      <color indexed="8"/>
      <name val="Futura Bk BT"/>
    </font>
    <font>
      <vertAlign val="superscript"/>
      <sz val="10"/>
      <name val="Arial"/>
      <family val="2"/>
    </font>
    <font>
      <b/>
      <sz val="11"/>
      <color indexed="8"/>
      <name val="Calibri"/>
      <family val="2"/>
      <scheme val="minor"/>
    </font>
    <font>
      <i/>
      <sz val="11"/>
      <color indexed="8"/>
      <name val="Calibri"/>
      <family val="2"/>
      <scheme val="minor"/>
    </font>
    <font>
      <b/>
      <sz val="11"/>
      <color theme="1"/>
      <name val="Arial"/>
      <family val="2"/>
    </font>
    <font>
      <u/>
      <sz val="11"/>
      <color theme="10"/>
      <name val="Arial"/>
      <family val="2"/>
    </font>
    <font>
      <b/>
      <sz val="14"/>
      <name val="Calibri"/>
      <family val="2"/>
      <scheme val="minor"/>
    </font>
    <font>
      <b/>
      <i/>
      <sz val="11"/>
      <color rgb="FF000000"/>
      <name val="Calibri"/>
      <family val="2"/>
    </font>
    <font>
      <b/>
      <sz val="18"/>
      <color rgb="FF342F2C"/>
      <name val="Inherit"/>
    </font>
    <font>
      <b/>
      <sz val="10"/>
      <color indexed="8"/>
      <name val="Calibri"/>
      <family val="2"/>
    </font>
    <font>
      <sz val="10"/>
      <name val="Calibri"/>
      <family val="2"/>
    </font>
    <font>
      <sz val="10"/>
      <name val="Arial"/>
      <family val="2"/>
    </font>
    <font>
      <sz val="10"/>
      <color rgb="FF000000"/>
      <name val="Calibri"/>
      <family val="2"/>
      <scheme val="minor"/>
    </font>
    <font>
      <u/>
      <sz val="10"/>
      <color theme="8"/>
      <name val="Calibri"/>
      <family val="2"/>
    </font>
    <font>
      <sz val="10"/>
      <color theme="1"/>
      <name val="Calibri"/>
      <family val="2"/>
    </font>
    <font>
      <sz val="13"/>
      <color theme="8"/>
      <name val="Calibri"/>
      <family val="2"/>
    </font>
    <font>
      <b/>
      <sz val="10"/>
      <color theme="1"/>
      <name val="Calibri"/>
      <family val="2"/>
    </font>
    <font>
      <b/>
      <sz val="10"/>
      <name val="Calibri"/>
      <family val="2"/>
    </font>
    <font>
      <sz val="8"/>
      <name val="Calibri"/>
      <family val="2"/>
    </font>
    <font>
      <sz val="10"/>
      <color rgb="FFFF0000"/>
      <name val="Calibri"/>
      <family val="2"/>
    </font>
  </fonts>
  <fills count="166">
    <fill>
      <patternFill patternType="none"/>
    </fill>
    <fill>
      <patternFill patternType="gray125"/>
    </fill>
    <fill>
      <patternFill patternType="solid">
        <fgColor theme="9"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3"/>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17"/>
        <bgColor indexed="64"/>
      </patternFill>
    </fill>
    <fill>
      <patternFill patternType="solid">
        <fgColor indexed="26"/>
        <bgColor indexed="64"/>
      </patternFill>
    </fill>
    <fill>
      <patternFill patternType="solid">
        <fgColor indexed="26"/>
      </patternFill>
    </fill>
    <fill>
      <patternFill patternType="solid">
        <fgColor indexed="9"/>
        <bgColor indexed="64"/>
      </patternFill>
    </fill>
    <fill>
      <patternFill patternType="solid">
        <fgColor indexed="47"/>
        <bgColor indexed="64"/>
      </patternFill>
    </fill>
    <fill>
      <patternFill patternType="solid">
        <fgColor indexed="55"/>
        <bgColor indexed="64"/>
      </patternFill>
    </fill>
    <fill>
      <patternFill patternType="solid">
        <fgColor indexed="43"/>
        <bgColor indexed="64"/>
      </patternFill>
    </fill>
    <fill>
      <patternFill patternType="solid">
        <fgColor indexed="31"/>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solid">
        <fgColor indexed="35"/>
        <bgColor indexed="64"/>
      </patternFill>
    </fill>
    <fill>
      <patternFill patternType="solid">
        <fgColor indexed="54"/>
        <bgColor indexed="64"/>
      </patternFill>
    </fill>
    <fill>
      <patternFill patternType="solid">
        <fgColor indexed="23"/>
        <bgColor indexed="64"/>
      </patternFill>
    </fill>
    <fill>
      <patternFill patternType="solid">
        <fgColor indexed="24"/>
        <bgColor indexed="64"/>
      </patternFill>
    </fill>
    <fill>
      <patternFill patternType="solid">
        <fgColor indexed="13"/>
        <bgColor indexed="64"/>
      </patternFill>
    </fill>
    <fill>
      <patternFill patternType="solid">
        <fgColor rgb="FFFFFFCC"/>
      </patternFill>
    </fill>
    <fill>
      <patternFill patternType="solid">
        <fgColor rgb="FF000000"/>
        <bgColor indexed="64"/>
      </patternFill>
    </fill>
    <fill>
      <patternFill patternType="solid">
        <fgColor rgb="FFE7E6E6"/>
        <bgColor indexed="64"/>
      </patternFill>
    </fill>
    <fill>
      <patternFill patternType="solid">
        <fgColor theme="5"/>
        <bgColor indexed="64"/>
      </patternFill>
    </fill>
    <fill>
      <patternFill patternType="solid">
        <fgColor rgb="FFFFFF00"/>
        <bgColor indexed="64"/>
      </patternFill>
    </fill>
    <fill>
      <patternFill patternType="solid">
        <fgColor indexed="65"/>
        <bgColor indexed="64"/>
      </patternFill>
    </fill>
    <fill>
      <patternFill patternType="solid">
        <fgColor rgb="FFFFCCCC"/>
        <bgColor rgb="FFFFCCCC"/>
      </patternFill>
    </fill>
    <fill>
      <patternFill patternType="solid">
        <fgColor rgb="FFC6EFCE"/>
        <bgColor rgb="FFC6EFCE"/>
      </patternFill>
    </fill>
    <fill>
      <patternFill patternType="solid">
        <fgColor rgb="FF9999FF"/>
        <bgColor rgb="FF9999FF"/>
      </patternFill>
    </fill>
    <fill>
      <patternFill patternType="solid">
        <fgColor rgb="FFFFFFFF"/>
        <bgColor rgb="FFFFFFFF"/>
      </patternFill>
    </fill>
    <fill>
      <patternFill patternType="solid">
        <fgColor theme="2" tint="-9.9978637043366805E-2"/>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rgb="FFFFC7CE"/>
        <bgColor rgb="FFFFC7CE"/>
      </patternFill>
    </fill>
    <fill>
      <patternFill patternType="solid">
        <fgColor indexed="22"/>
        <bgColor indexed="22"/>
      </patternFill>
    </fill>
    <fill>
      <patternFill patternType="solid">
        <fgColor indexed="16"/>
        <bgColor indexed="64"/>
      </patternFill>
    </fill>
    <fill>
      <patternFill patternType="solid">
        <fgColor indexed="8"/>
        <bgColor indexed="64"/>
      </patternFill>
    </fill>
    <fill>
      <patternFill patternType="gray125">
        <fgColor indexed="8"/>
      </patternFill>
    </fill>
    <fill>
      <patternFill patternType="solid">
        <fgColor indexed="9"/>
      </patternFill>
    </fill>
    <fill>
      <patternFill patternType="solid">
        <fgColor rgb="FF36845B"/>
      </patternFill>
    </fill>
    <fill>
      <patternFill patternType="solid">
        <fgColor rgb="FF9CC7B0"/>
      </patternFill>
    </fill>
    <fill>
      <patternFill patternType="solid">
        <fgColor rgb="FFECF7F1"/>
      </patternFill>
    </fill>
    <fill>
      <patternFill patternType="solid">
        <fgColor rgb="FF00B0F0"/>
        <bgColor indexed="64"/>
      </patternFill>
    </fill>
    <fill>
      <patternFill patternType="solid">
        <fgColor rgb="FFFFC000"/>
        <bgColor indexed="64"/>
      </patternFill>
    </fill>
    <fill>
      <patternFill patternType="solid">
        <fgColor rgb="FFFFFF00"/>
        <bgColor rgb="FF000000"/>
      </patternFill>
    </fill>
    <fill>
      <patternFill patternType="solid">
        <fgColor theme="8" tint="0.59999389629810485"/>
        <bgColor indexed="64"/>
      </patternFill>
    </fill>
    <fill>
      <patternFill patternType="solid">
        <fgColor rgb="FFFFFF99"/>
        <bgColor indexed="64"/>
      </patternFill>
    </fill>
    <fill>
      <patternFill patternType="solid">
        <fgColor rgb="FFFF7C80"/>
        <bgColor indexed="64"/>
      </patternFill>
    </fill>
    <fill>
      <patternFill patternType="solid">
        <fgColor theme="7"/>
        <bgColor indexed="64"/>
      </patternFill>
    </fill>
    <fill>
      <patternFill patternType="solid">
        <fgColor rgb="FF66CCFF"/>
        <bgColor indexed="64"/>
      </patternFill>
    </fill>
    <fill>
      <patternFill patternType="solid">
        <fgColor theme="0" tint="-0.14999847407452621"/>
        <bgColor indexed="64"/>
      </patternFill>
    </fill>
    <fill>
      <patternFill patternType="solid">
        <fgColor rgb="FFE58BF7"/>
        <bgColor indexed="64"/>
      </patternFill>
    </fill>
    <fill>
      <patternFill patternType="solid">
        <fgColor rgb="FF00FFCC"/>
        <bgColor indexed="64"/>
      </patternFill>
    </fill>
    <fill>
      <patternFill patternType="solid">
        <fgColor theme="3" tint="-0.499984740745262"/>
        <bgColor indexed="64"/>
      </patternFill>
    </fill>
    <fill>
      <patternFill patternType="solid">
        <fgColor theme="3" tint="0.79998168889431442"/>
        <bgColor indexed="64"/>
      </patternFill>
    </fill>
    <fill>
      <patternFill patternType="solid">
        <fgColor theme="9"/>
        <bgColor indexed="64"/>
      </patternFill>
    </fill>
    <fill>
      <patternFill patternType="solid">
        <fgColor theme="2"/>
        <bgColor indexed="64"/>
      </patternFill>
    </fill>
    <fill>
      <patternFill patternType="solid">
        <fgColor theme="2" tint="-9.9978637043366805E-2"/>
        <bgColor rgb="FF000000"/>
      </patternFill>
    </fill>
    <fill>
      <patternFill patternType="solid">
        <fgColor rgb="FFFFCCCC"/>
        <bgColor indexed="64"/>
      </patternFill>
    </fill>
    <fill>
      <patternFill patternType="solid">
        <fgColor indexed="42"/>
        <bgColor indexed="64"/>
      </patternFill>
    </fill>
    <fill>
      <patternFill patternType="solid">
        <fgColor rgb="FFB5C7D4"/>
        <bgColor indexed="64"/>
      </patternFill>
    </fill>
    <fill>
      <patternFill patternType="solid">
        <fgColor rgb="FFD0CECE"/>
        <bgColor indexed="64"/>
      </patternFill>
    </fill>
    <fill>
      <patternFill patternType="solid">
        <fgColor rgb="FFCCCCFF"/>
        <bgColor rgb="FFCCCCFF"/>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rgb="FFCCFFFF"/>
        <bgColor rgb="FFCCFFFF"/>
      </patternFill>
    </fill>
    <fill>
      <patternFill patternType="solid">
        <fgColor rgb="FFFFCC99"/>
        <bgColor rgb="FFFFCC99"/>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rgb="FF0066CC"/>
        <bgColor rgb="FF0066CC"/>
      </patternFill>
    </fill>
    <fill>
      <patternFill patternType="solid">
        <fgColor rgb="FF800080"/>
        <bgColor rgb="FF800080"/>
      </patternFill>
    </fill>
    <fill>
      <patternFill patternType="solid">
        <fgColor rgb="FF33CCCC"/>
        <bgColor rgb="FF33CCCC"/>
      </patternFill>
    </fill>
    <fill>
      <patternFill patternType="solid">
        <fgColor rgb="FFFF9900"/>
        <bgColor rgb="FFFF9900"/>
      </patternFill>
    </fill>
    <fill>
      <patternFill patternType="solid">
        <fgColor rgb="FF333399"/>
        <bgColor rgb="FF333399"/>
      </patternFill>
    </fill>
    <fill>
      <patternFill patternType="solid">
        <fgColor rgb="FFFF0000"/>
        <bgColor rgb="FFFF0000"/>
      </patternFill>
    </fill>
    <fill>
      <patternFill patternType="solid">
        <fgColor rgb="FF339966"/>
        <bgColor rgb="FF339966"/>
      </patternFill>
    </fill>
    <fill>
      <patternFill patternType="solid">
        <fgColor rgb="FFFF6600"/>
        <bgColor rgb="FFFF6600"/>
      </patternFill>
    </fill>
    <fill>
      <patternFill patternType="solid">
        <fgColor rgb="FFC0C0C0"/>
        <bgColor rgb="FFC0C0C0"/>
      </patternFill>
    </fill>
    <fill>
      <patternFill patternType="solid">
        <fgColor rgb="FF969696"/>
        <bgColor rgb="FF969696"/>
      </patternFill>
    </fill>
    <fill>
      <patternFill patternType="solid">
        <fgColor rgb="FFFFFF99"/>
        <bgColor rgb="FFFFFF99"/>
      </patternFill>
    </fill>
    <fill>
      <patternFill patternType="solid">
        <fgColor rgb="FFFFFFCC"/>
        <bgColor rgb="FFFFFFCC"/>
      </patternFill>
    </fill>
    <fill>
      <patternFill patternType="solid">
        <fgColor rgb="FFFFFF00"/>
        <bgColor rgb="FFFFFF00"/>
      </patternFill>
    </fill>
    <fill>
      <patternFill patternType="solid">
        <fgColor rgb="FF001F5F"/>
      </patternFill>
    </fill>
    <fill>
      <patternFill patternType="solid">
        <fgColor theme="4" tint="0.79998168889431442"/>
        <bgColor theme="4" tint="0.79998168889431442"/>
      </patternFill>
    </fill>
    <fill>
      <patternFill patternType="solid">
        <fgColor indexed="41"/>
        <bgColor indexed="64"/>
      </patternFill>
    </fill>
    <fill>
      <patternFill patternType="solid">
        <fgColor theme="9" tint="0.59999389629810485"/>
        <bgColor rgb="FFCCCCFF"/>
      </patternFill>
    </fill>
    <fill>
      <patternFill patternType="solid">
        <fgColor theme="5" tint="0.59999389629810485"/>
        <bgColor rgb="FFCCCCFF"/>
      </patternFill>
    </fill>
    <fill>
      <patternFill patternType="solid">
        <fgColor theme="6" tint="0.59999389629810485"/>
        <bgColor indexed="64"/>
      </patternFill>
    </fill>
    <fill>
      <patternFill patternType="solid">
        <fgColor theme="5"/>
        <bgColor rgb="FFCCCCFF"/>
      </patternFill>
    </fill>
    <fill>
      <patternFill patternType="solid">
        <fgColor theme="9"/>
        <bgColor rgb="FFCCCCFF"/>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bgColor indexed="64"/>
      </patternFill>
    </fill>
    <fill>
      <patternFill patternType="solid">
        <fgColor theme="7" tint="0.79998168889431442"/>
        <bgColor indexed="64"/>
      </patternFill>
    </fill>
    <fill>
      <patternFill patternType="solid">
        <fgColor theme="7"/>
        <bgColor rgb="FF000000"/>
      </patternFill>
    </fill>
    <fill>
      <patternFill patternType="solid">
        <fgColor theme="0"/>
        <bgColor rgb="FFCCCCFF"/>
      </patternFill>
    </fill>
    <fill>
      <patternFill patternType="solid">
        <fgColor theme="4" tint="0.79998168889431442"/>
        <bgColor rgb="FFCCCCFF"/>
      </patternFill>
    </fill>
    <fill>
      <patternFill patternType="solid">
        <fgColor theme="0" tint="-0.249977111117893"/>
        <bgColor indexed="64"/>
      </patternFill>
    </fill>
    <fill>
      <patternFill patternType="solid">
        <fgColor rgb="FFFFFFFF"/>
        <bgColor rgb="FF000000"/>
      </patternFill>
    </fill>
    <fill>
      <patternFill patternType="solid">
        <fgColor theme="0"/>
        <bgColor rgb="FF000000"/>
      </patternFill>
    </fill>
  </fills>
  <borders count="188">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1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style="medium">
        <color indexed="8"/>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medium">
        <color indexed="8"/>
      </right>
      <top/>
      <bottom style="medium">
        <color indexed="8"/>
      </bottom>
      <diagonal/>
    </border>
    <border>
      <left/>
      <right/>
      <top/>
      <bottom style="medium">
        <color indexed="8"/>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indexed="63"/>
      </left>
      <right style="thin">
        <color indexed="63"/>
      </right>
      <top style="thin">
        <color indexed="64"/>
      </top>
      <bottom style="thin">
        <color indexed="63"/>
      </bottom>
      <diagonal/>
    </border>
    <border>
      <left/>
      <right/>
      <top style="thin">
        <color indexed="12"/>
      </top>
      <bottom style="thin">
        <color indexed="12"/>
      </bottom>
      <diagonal/>
    </border>
    <border>
      <left/>
      <right/>
      <top/>
      <bottom style="thin">
        <color indexed="12"/>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theme="8"/>
      </right>
      <top/>
      <bottom/>
      <diagonal/>
    </border>
    <border>
      <left style="medium">
        <color indexed="45"/>
      </left>
      <right/>
      <top/>
      <bottom/>
      <diagonal/>
    </border>
    <border>
      <left style="medium">
        <color indexed="45"/>
      </left>
      <right/>
      <top/>
      <bottom style="dashed">
        <color indexed="45"/>
      </bottom>
      <diagonal/>
    </border>
    <border>
      <left/>
      <right/>
      <top style="dotted">
        <color indexed="45"/>
      </top>
      <bottom/>
      <diagonal/>
    </border>
    <border>
      <left/>
      <right/>
      <top/>
      <bottom style="thin">
        <color theme="8"/>
      </bottom>
      <diagonal/>
    </border>
    <border>
      <left style="medium">
        <color indexed="45"/>
      </left>
      <right/>
      <top/>
      <bottom style="thin">
        <color theme="8"/>
      </bottom>
      <diagonal/>
    </border>
    <border>
      <left/>
      <right/>
      <top style="thin">
        <color rgb="FF0000FF"/>
      </top>
      <bottom style="thin">
        <color rgb="FF0000FF"/>
      </bottom>
      <diagonal/>
    </border>
    <border>
      <left/>
      <right/>
      <top/>
      <bottom style="thin">
        <color rgb="FF0000FF"/>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style="thin">
        <color indexed="64"/>
      </top>
      <bottom style="thin">
        <color indexed="64"/>
      </bottom>
      <diagonal/>
    </border>
    <border>
      <left/>
      <right/>
      <top/>
      <bottom style="thin">
        <color auto="1"/>
      </bottom>
      <diagonal/>
    </border>
    <border>
      <left/>
      <right/>
      <top style="thin">
        <color indexed="64"/>
      </top>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12"/>
      </top>
      <bottom style="thin">
        <color indexed="12"/>
      </bottom>
      <diagonal/>
    </border>
    <border>
      <left/>
      <right/>
      <top style="thin">
        <color indexed="62"/>
      </top>
      <bottom style="double">
        <color indexed="62"/>
      </bottom>
      <diagonal/>
    </border>
    <border>
      <left/>
      <right/>
      <top/>
      <bottom style="medium">
        <color indexed="24"/>
      </bottom>
      <diagonal/>
    </border>
    <border>
      <left/>
      <right/>
      <top/>
      <bottom style="dotted">
        <color indexed="64"/>
      </bottom>
      <diagonal/>
    </border>
    <border>
      <left style="thin">
        <color indexed="64"/>
      </left>
      <right/>
      <top/>
      <bottom/>
      <diagonal/>
    </border>
    <border>
      <left style="thin">
        <color indexed="9"/>
      </left>
      <right/>
      <top style="thin">
        <color indexed="9"/>
      </top>
      <bottom style="thin">
        <color indexed="9"/>
      </bottom>
      <diagonal/>
    </border>
    <border>
      <left style="double">
        <color indexed="8"/>
      </left>
      <right style="thin">
        <color indexed="8"/>
      </right>
      <top/>
      <bottom/>
      <diagonal/>
    </border>
    <border>
      <left/>
      <right/>
      <top style="thin">
        <color indexed="64"/>
      </top>
      <bottom/>
      <diagonal/>
    </border>
    <border>
      <left/>
      <right/>
      <top style="thin">
        <color indexed="64"/>
      </top>
      <bottom style="thin">
        <color indexed="64"/>
      </bottom>
      <diagonal/>
    </border>
    <border>
      <left style="thin">
        <color indexed="9"/>
      </left>
      <right/>
      <top style="thin">
        <color indexed="9"/>
      </top>
      <bottom style="thin">
        <color indexed="9"/>
      </bottom>
      <diagonal/>
    </border>
    <border>
      <left style="medium">
        <color indexed="64"/>
      </left>
      <right/>
      <top/>
      <bottom style="thin">
        <color indexed="64"/>
      </bottom>
      <diagonal/>
    </border>
    <border>
      <left style="thin">
        <color indexed="64"/>
      </left>
      <right style="thin">
        <color indexed="64"/>
      </right>
      <top style="hair">
        <color indexed="64"/>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thin">
        <color theme="4" tint="0.39997558519241921"/>
      </bottom>
      <diagonal/>
    </border>
    <border>
      <left style="thin">
        <color theme="0" tint="-0.14996795556505021"/>
      </left>
      <right style="thin">
        <color theme="0" tint="-0.14996795556505021"/>
      </right>
      <top/>
      <bottom/>
      <diagonal/>
    </border>
    <border>
      <left style="medium">
        <color indexed="64"/>
      </left>
      <right style="thin">
        <color indexed="64"/>
      </right>
      <top/>
      <bottom/>
      <diagonal/>
    </border>
    <border>
      <left style="medium">
        <color rgb="FFFFFFFF"/>
      </left>
      <right style="medium">
        <color rgb="FFFFFFFF"/>
      </right>
      <top style="medium">
        <color rgb="FFFFFFFF"/>
      </top>
      <bottom style="medium">
        <color rgb="FFFFFFFF"/>
      </bottom>
      <diagonal/>
    </border>
    <border>
      <left style="medium">
        <color indexed="64"/>
      </left>
      <right style="medium">
        <color rgb="FFFFFFFF"/>
      </right>
      <top style="medium">
        <color indexed="64"/>
      </top>
      <bottom style="medium">
        <color rgb="FFFFFFFF"/>
      </bottom>
      <diagonal/>
    </border>
    <border>
      <left style="medium">
        <color rgb="FFFFFFFF"/>
      </left>
      <right style="medium">
        <color rgb="FFFFFFFF"/>
      </right>
      <top style="medium">
        <color indexed="64"/>
      </top>
      <bottom style="medium">
        <color rgb="FFFFFFFF"/>
      </bottom>
      <diagonal/>
    </border>
    <border>
      <left style="medium">
        <color rgb="FFFFFFFF"/>
      </left>
      <right style="medium">
        <color indexed="64"/>
      </right>
      <top style="medium">
        <color indexed="64"/>
      </top>
      <bottom style="medium">
        <color rgb="FFFFFFFF"/>
      </bottom>
      <diagonal/>
    </border>
    <border>
      <left style="medium">
        <color indexed="64"/>
      </left>
      <right style="medium">
        <color rgb="FFFFFFFF"/>
      </right>
      <top style="medium">
        <color rgb="FFFFFFFF"/>
      </top>
      <bottom style="medium">
        <color rgb="FFFFFFFF"/>
      </bottom>
      <diagonal/>
    </border>
    <border>
      <left style="medium">
        <color rgb="FFFFFFFF"/>
      </left>
      <right style="medium">
        <color indexed="64"/>
      </right>
      <top style="medium">
        <color rgb="FFFFFFFF"/>
      </top>
      <bottom style="medium">
        <color rgb="FFFFFFFF"/>
      </bottom>
      <diagonal/>
    </border>
    <border>
      <left style="medium">
        <color indexed="64"/>
      </left>
      <right style="medium">
        <color rgb="FFFFFFFF"/>
      </right>
      <top style="medium">
        <color rgb="FFFFFFFF"/>
      </top>
      <bottom style="medium">
        <color indexed="64"/>
      </bottom>
      <diagonal/>
    </border>
    <border>
      <left style="medium">
        <color rgb="FFFFFFFF"/>
      </left>
      <right style="medium">
        <color rgb="FFFFFFFF"/>
      </right>
      <top style="medium">
        <color rgb="FFFFFFFF"/>
      </top>
      <bottom style="medium">
        <color indexed="64"/>
      </bottom>
      <diagonal/>
    </border>
    <border>
      <left style="medium">
        <color rgb="FFFFFFFF"/>
      </left>
      <right style="medium">
        <color indexed="64"/>
      </right>
      <top style="medium">
        <color rgb="FFFFFFFF"/>
      </top>
      <bottom style="medium">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rgb="FF000000"/>
      </top>
      <bottom style="double">
        <color rgb="FF000000"/>
      </bottom>
      <diagonal/>
    </border>
    <border>
      <left/>
      <right/>
      <top/>
      <bottom style="thin">
        <color rgb="FF000000"/>
      </bottom>
      <diagonal/>
    </border>
    <border>
      <left/>
      <right/>
      <top/>
      <bottom style="double">
        <color rgb="FF000000"/>
      </bottom>
      <diagonal/>
    </border>
    <border>
      <left/>
      <right/>
      <top/>
      <bottom style="double">
        <color indexed="64"/>
      </bottom>
      <diagonal/>
    </border>
    <border>
      <left style="thin">
        <color rgb="FF000000"/>
      </left>
      <right style="thin">
        <color indexed="64"/>
      </right>
      <top/>
      <bottom/>
      <diagonal/>
    </border>
    <border>
      <left style="thin">
        <color rgb="FF000000"/>
      </left>
      <right style="thin">
        <color indexed="64"/>
      </right>
      <top style="medium">
        <color indexed="64"/>
      </top>
      <bottom style="medium">
        <color indexed="64"/>
      </bottom>
      <diagonal/>
    </border>
    <border>
      <left style="thin">
        <color rgb="FF000000"/>
      </left>
      <right style="thin">
        <color indexed="64"/>
      </right>
      <top/>
      <bottom style="medium">
        <color indexed="64"/>
      </bottom>
      <diagonal/>
    </border>
    <border>
      <left/>
      <right/>
      <top/>
      <bottom style="medium">
        <color theme="8"/>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right/>
      <top style="medium">
        <color theme="8"/>
      </top>
      <bottom/>
      <diagonal/>
    </border>
    <border>
      <left/>
      <right style="medium">
        <color theme="8"/>
      </right>
      <top style="medium">
        <color theme="8"/>
      </top>
      <bottom/>
      <diagonal/>
    </border>
    <border>
      <left/>
      <right/>
      <top style="medium">
        <color theme="8"/>
      </top>
      <bottom style="thin">
        <color theme="8"/>
      </bottom>
      <diagonal/>
    </border>
    <border>
      <left/>
      <right style="medium">
        <color theme="8"/>
      </right>
      <top style="medium">
        <color theme="8"/>
      </top>
      <bottom style="thin">
        <color theme="8"/>
      </bottom>
      <diagonal/>
    </border>
    <border>
      <left/>
      <right/>
      <top style="thin">
        <color theme="8"/>
      </top>
      <bottom/>
      <diagonal/>
    </border>
    <border>
      <left/>
      <right style="medium">
        <color theme="8"/>
      </right>
      <top style="thin">
        <color theme="8"/>
      </top>
      <bottom/>
      <diagonal/>
    </border>
    <border>
      <left style="medium">
        <color indexed="45"/>
      </left>
      <right/>
      <top style="medium">
        <color theme="2"/>
      </top>
      <bottom/>
      <diagonal/>
    </border>
    <border>
      <left/>
      <right/>
      <top style="medium">
        <color theme="2"/>
      </top>
      <bottom/>
      <diagonal/>
    </border>
    <border>
      <left/>
      <right style="medium">
        <color theme="8"/>
      </right>
      <top style="medium">
        <color theme="2"/>
      </top>
      <bottom/>
      <diagonal/>
    </border>
    <border>
      <left/>
      <right/>
      <top style="medium">
        <color theme="2"/>
      </top>
      <bottom style="thin">
        <color theme="8"/>
      </bottom>
      <diagonal/>
    </border>
    <border>
      <left/>
      <right style="medium">
        <color theme="8"/>
      </right>
      <top style="medium">
        <color theme="2"/>
      </top>
      <bottom style="thin">
        <color theme="8"/>
      </bottom>
      <diagonal/>
    </border>
    <border>
      <left style="medium">
        <color theme="8"/>
      </left>
      <right/>
      <top/>
      <bottom/>
      <diagonal/>
    </border>
    <border>
      <left/>
      <right style="medium">
        <color theme="8"/>
      </right>
      <top/>
      <bottom style="thin">
        <color theme="8"/>
      </bottom>
      <diagonal/>
    </border>
    <border>
      <left style="medium">
        <color indexed="45"/>
      </left>
      <right/>
      <top/>
      <bottom style="medium">
        <color theme="8"/>
      </bottom>
      <diagonal/>
    </border>
    <border>
      <left/>
      <right style="medium">
        <color theme="8"/>
      </right>
      <top/>
      <bottom style="medium">
        <color theme="8"/>
      </bottom>
      <diagonal/>
    </border>
    <border>
      <left style="thin">
        <color indexed="64"/>
      </left>
      <right/>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12"/>
      </top>
      <bottom style="thin">
        <color indexed="12"/>
      </bottom>
      <diagonal/>
    </border>
    <border>
      <left/>
      <right/>
      <top style="thin">
        <color indexed="62"/>
      </top>
      <bottom style="double">
        <color indexed="62"/>
      </bottom>
      <diagonal/>
    </border>
    <border>
      <left style="medium">
        <color indexed="30"/>
      </left>
      <right/>
      <top/>
      <bottom/>
      <diagonal/>
    </border>
    <border>
      <left/>
      <right style="medium">
        <color indexed="30"/>
      </right>
      <top/>
      <bottom/>
      <diagonal/>
    </border>
    <border>
      <left style="medium">
        <color indexed="30"/>
      </left>
      <right/>
      <top/>
      <bottom style="medium">
        <color indexed="30"/>
      </bottom>
      <diagonal/>
    </border>
    <border>
      <left/>
      <right style="medium">
        <color indexed="30"/>
      </right>
      <top/>
      <bottom style="medium">
        <color indexed="30"/>
      </bottom>
      <diagonal/>
    </border>
    <border>
      <left style="medium">
        <color indexed="30"/>
      </left>
      <right/>
      <top/>
      <bottom style="thin">
        <color indexed="30"/>
      </bottom>
      <diagonal/>
    </border>
    <border>
      <left/>
      <right/>
      <top/>
      <bottom style="thin">
        <color indexed="30"/>
      </bottom>
      <diagonal/>
    </border>
    <border>
      <left/>
      <right style="medium">
        <color indexed="30"/>
      </right>
      <top/>
      <bottom style="thin">
        <color indexed="30"/>
      </bottom>
      <diagonal/>
    </border>
    <border>
      <left style="thin">
        <color indexed="30"/>
      </left>
      <right/>
      <top/>
      <bottom/>
      <diagonal/>
    </border>
    <border>
      <left style="thin">
        <color indexed="30"/>
      </left>
      <right/>
      <top/>
      <bottom style="medium">
        <color indexed="30"/>
      </bottom>
      <diagonal/>
    </border>
    <border>
      <left/>
      <right/>
      <top/>
      <bottom style="thick">
        <color indexed="64"/>
      </bottom>
      <diagonal/>
    </border>
    <border>
      <left style="thin">
        <color rgb="FF808080"/>
      </left>
      <right style="thin">
        <color rgb="FF808080"/>
      </right>
      <top style="thin">
        <color rgb="FF808080"/>
      </top>
      <bottom style="thin">
        <color rgb="FF808080"/>
      </bottom>
      <diagonal/>
    </border>
    <border>
      <left style="double">
        <color rgb="FF333333"/>
      </left>
      <right style="double">
        <color rgb="FF333333"/>
      </right>
      <top style="double">
        <color rgb="FF333333"/>
      </top>
      <bottom style="double">
        <color rgb="FF333333"/>
      </bottom>
      <diagonal/>
    </border>
    <border>
      <left/>
      <right/>
      <top/>
      <bottom style="thick">
        <color rgb="FFC0C0C0"/>
      </bottom>
      <diagonal/>
    </border>
    <border>
      <left/>
      <right/>
      <top/>
      <bottom style="medium">
        <color rgb="FF0066CC"/>
      </bottom>
      <diagonal/>
    </border>
    <border>
      <left/>
      <right/>
      <top/>
      <bottom style="double">
        <color rgb="FFFF9900"/>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333399"/>
      </top>
      <bottom style="double">
        <color rgb="FF333399"/>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9"/>
      </left>
      <right/>
      <top style="thin">
        <color indexed="9"/>
      </top>
      <bottom style="thin">
        <color indexed="9"/>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9"/>
      </left>
      <right/>
      <top style="thin">
        <color indexed="9"/>
      </top>
      <bottom style="thin">
        <color indexed="9"/>
      </bottom>
      <diagonal/>
    </border>
    <border>
      <left/>
      <right/>
      <top style="thin">
        <color indexed="12"/>
      </top>
      <bottom style="thin">
        <color indexed="12"/>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64"/>
      </bottom>
      <diagonal/>
    </border>
    <border>
      <left style="thin">
        <color auto="1"/>
      </left>
      <right style="thin">
        <color auto="1"/>
      </right>
      <top style="medium">
        <color auto="1"/>
      </top>
      <bottom style="thin">
        <color auto="1"/>
      </bottom>
      <diagonal/>
    </border>
    <border>
      <left/>
      <right style="medium">
        <color theme="8"/>
      </right>
      <top/>
      <bottom style="medium">
        <color theme="6"/>
      </bottom>
      <diagonal/>
    </border>
    <border>
      <left/>
      <right/>
      <top/>
      <bottom style="medium">
        <color theme="6"/>
      </bottom>
      <diagonal/>
    </border>
    <border>
      <left style="medium">
        <color indexed="45"/>
      </left>
      <right/>
      <top/>
      <bottom style="medium">
        <color theme="6"/>
      </bottom>
      <diagonal/>
    </border>
    <border>
      <left style="thin">
        <color indexed="23"/>
      </left>
      <right style="thin">
        <color indexed="23"/>
      </right>
      <top style="thin">
        <color indexed="23"/>
      </top>
      <bottom style="thin">
        <color indexed="23"/>
      </bottom>
      <diagonal/>
    </border>
    <border>
      <left/>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30"/>
      </top>
      <bottom/>
      <diagonal/>
    </border>
    <border>
      <left style="thin">
        <color auto="1"/>
      </left>
      <right style="thin">
        <color auto="1"/>
      </right>
      <top style="thin">
        <color auto="1"/>
      </top>
      <bottom style="thin">
        <color auto="1"/>
      </bottom>
      <diagonal/>
    </border>
    <border>
      <left/>
      <right style="medium">
        <color theme="8"/>
      </right>
      <top style="medium">
        <color indexed="64"/>
      </top>
      <bottom/>
      <diagonal/>
    </border>
    <border>
      <left/>
      <right style="medium">
        <color theme="8"/>
      </right>
      <top/>
      <bottom style="medium">
        <color indexed="64"/>
      </bottom>
      <diagonal/>
    </border>
    <border>
      <left style="thick">
        <color theme="9"/>
      </left>
      <right/>
      <top/>
      <bottom style="medium">
        <color theme="8"/>
      </bottom>
      <diagonal/>
    </border>
    <border>
      <left style="thick">
        <color theme="9"/>
      </left>
      <right/>
      <top/>
      <bottom/>
      <diagonal/>
    </border>
    <border>
      <left/>
      <right style="thick">
        <color theme="0"/>
      </right>
      <top style="medium">
        <color theme="8"/>
      </top>
      <bottom style="thin">
        <color theme="8"/>
      </bottom>
      <diagonal/>
    </border>
    <border>
      <left/>
      <right/>
      <top style="thin">
        <color theme="8"/>
      </top>
      <bottom style="thin">
        <color theme="8"/>
      </bottom>
      <diagonal/>
    </border>
    <border>
      <left/>
      <right style="thick">
        <color theme="0"/>
      </right>
      <top style="thin">
        <color theme="8"/>
      </top>
      <bottom style="thin">
        <color theme="8"/>
      </bottom>
      <diagonal/>
    </border>
    <border>
      <left/>
      <right style="thick">
        <color theme="0"/>
      </right>
      <top/>
      <bottom/>
      <diagonal/>
    </border>
    <border>
      <left/>
      <right/>
      <top style="thin">
        <color theme="8"/>
      </top>
      <bottom style="medium">
        <color theme="8"/>
      </bottom>
      <diagonal/>
    </border>
    <border>
      <left/>
      <right style="thick">
        <color theme="0"/>
      </right>
      <top style="thin">
        <color theme="8"/>
      </top>
      <bottom style="medium">
        <color theme="8"/>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top style="thin">
        <color indexed="45"/>
      </top>
      <bottom/>
      <diagonal/>
    </border>
    <border>
      <left/>
      <right/>
      <top style="thin">
        <color indexed="30"/>
      </top>
      <bottom/>
      <diagonal/>
    </border>
    <border>
      <left style="thin">
        <color indexed="30"/>
      </left>
      <right/>
      <top style="thin">
        <color indexed="30"/>
      </top>
      <bottom/>
      <diagonal/>
    </border>
    <border>
      <left style="medium">
        <color indexed="30"/>
      </left>
      <right/>
      <top style="thin">
        <color indexed="30"/>
      </top>
      <bottom/>
      <diagonal/>
    </border>
  </borders>
  <cellStyleXfs count="2812">
    <xf numFmtId="0" fontId="0" fillId="0" borderId="0"/>
    <xf numFmtId="0" fontId="1" fillId="0" borderId="0"/>
    <xf numFmtId="43" fontId="1"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1" fillId="0" borderId="0" applyFont="0" applyFill="0" applyBorder="0" applyAlignment="0" applyProtection="0"/>
    <xf numFmtId="0" fontId="17" fillId="0" borderId="0" applyNumberFormat="0" applyFill="0" applyBorder="0" applyAlignment="0" applyProtection="0"/>
    <xf numFmtId="0" fontId="6" fillId="0" borderId="0"/>
    <xf numFmtId="43" fontId="6" fillId="0" borderId="0" applyFont="0" applyFill="0" applyBorder="0" applyAlignment="0" applyProtection="0"/>
    <xf numFmtId="0" fontId="19" fillId="0" borderId="0" applyNumberFormat="0" applyFill="0" applyBorder="0" applyAlignment="0" applyProtection="0">
      <alignment vertical="top"/>
      <protection locked="0"/>
    </xf>
    <xf numFmtId="9" fontId="1" fillId="0" borderId="0" applyFont="0" applyFill="0" applyBorder="0" applyAlignment="0" applyProtection="0"/>
    <xf numFmtId="0" fontId="6" fillId="0" borderId="0"/>
    <xf numFmtId="0" fontId="6" fillId="0" borderId="0"/>
    <xf numFmtId="0" fontId="6" fillId="0" borderId="0"/>
    <xf numFmtId="0" fontId="6" fillId="0" borderId="0"/>
    <xf numFmtId="0" fontId="23" fillId="0" borderId="12" applyNumberFormat="0" applyFill="0" applyProtection="0">
      <alignment horizontal="center"/>
    </xf>
    <xf numFmtId="164" fontId="6" fillId="0" borderId="0" applyFont="0" applyFill="0" applyBorder="0" applyProtection="0">
      <alignment horizontal="right"/>
    </xf>
    <xf numFmtId="164" fontId="6" fillId="0" borderId="0" applyFont="0" applyFill="0" applyBorder="0" applyProtection="0">
      <alignment horizontal="right"/>
    </xf>
    <xf numFmtId="0" fontId="22" fillId="8"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167" fontId="6" fillId="0" borderId="0" applyFont="0" applyFill="0" applyBorder="0" applyProtection="0">
      <alignment horizontal="right"/>
    </xf>
    <xf numFmtId="167" fontId="6" fillId="0" borderId="0" applyFont="0" applyFill="0" applyBorder="0" applyProtection="0">
      <alignment horizontal="right"/>
    </xf>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1" borderId="0" applyNumberFormat="0" applyBorder="0" applyAlignment="0" applyProtection="0"/>
    <xf numFmtId="0" fontId="22" fillId="14" borderId="0" applyNumberFormat="0" applyBorder="0" applyAlignment="0" applyProtection="0"/>
    <xf numFmtId="0" fontId="22" fillId="17" borderId="0" applyNumberFormat="0" applyBorder="0" applyAlignment="0" applyProtection="0"/>
    <xf numFmtId="168" fontId="6" fillId="0" borderId="0" applyFont="0" applyFill="0" applyBorder="0" applyProtection="0">
      <alignment horizontal="right"/>
    </xf>
    <xf numFmtId="168" fontId="6" fillId="0" borderId="0" applyFont="0" applyFill="0" applyBorder="0" applyProtection="0">
      <alignment horizontal="right"/>
    </xf>
    <xf numFmtId="0" fontId="41" fillId="18"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41" fillId="24" borderId="0" applyNumberFormat="0" applyBorder="0" applyAlignment="0" applyProtection="0"/>
    <xf numFmtId="0" fontId="41" fillId="25"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41" fillId="26" borderId="0" applyNumberFormat="0" applyBorder="0" applyAlignment="0" applyProtection="0"/>
    <xf numFmtId="0" fontId="42" fillId="9" borderId="0" applyNumberFormat="0" applyBorder="0" applyAlignment="0" applyProtection="0"/>
    <xf numFmtId="178" fontId="6" fillId="0" borderId="0" applyBorder="0"/>
    <xf numFmtId="0" fontId="43" fillId="27" borderId="13" applyNumberFormat="0" applyAlignment="0" applyProtection="0"/>
    <xf numFmtId="0" fontId="44" fillId="28" borderId="14" applyNumberFormat="0" applyAlignment="0" applyProtection="0"/>
    <xf numFmtId="168" fontId="24" fillId="0" borderId="0" applyFont="0" applyFill="0" applyBorder="0" applyProtection="0">
      <alignment horizontal="right"/>
    </xf>
    <xf numFmtId="169" fontId="24" fillId="0" borderId="0" applyFont="0" applyFill="0" applyBorder="0" applyProtection="0">
      <alignment horizontal="left"/>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57" fillId="0" borderId="8" applyNumberFormat="0" applyBorder="0" applyAlignment="0" applyProtection="0">
      <alignment horizontal="right" vertical="center"/>
    </xf>
    <xf numFmtId="179" fontId="6" fillId="0" borderId="0" applyFont="0" applyFill="0" applyBorder="0" applyAlignment="0" applyProtection="0"/>
    <xf numFmtId="0" fontId="45" fillId="0" borderId="0" applyNumberFormat="0" applyFill="0" applyBorder="0" applyAlignment="0" applyProtection="0"/>
    <xf numFmtId="0" fontId="58" fillId="0" borderId="0">
      <alignment horizontal="right"/>
      <protection locked="0"/>
    </xf>
    <xf numFmtId="0" fontId="25" fillId="0" borderId="0">
      <alignment horizontal="left"/>
    </xf>
    <xf numFmtId="0" fontId="26" fillId="0" borderId="0">
      <alignment horizontal="left"/>
    </xf>
    <xf numFmtId="0" fontId="6" fillId="0" borderId="0" applyFont="0" applyFill="0" applyBorder="0" applyProtection="0">
      <alignment horizontal="right"/>
    </xf>
    <xf numFmtId="0" fontId="6" fillId="0" borderId="0" applyFont="0" applyFill="0" applyBorder="0" applyProtection="0">
      <alignment horizontal="right"/>
    </xf>
    <xf numFmtId="0" fontId="46" fillId="10" borderId="0" applyNumberFormat="0" applyBorder="0" applyAlignment="0" applyProtection="0"/>
    <xf numFmtId="38" fontId="40" fillId="29" borderId="0" applyNumberFormat="0" applyBorder="0" applyAlignment="0" applyProtection="0"/>
    <xf numFmtId="0" fontId="27" fillId="30" borderId="15" applyProtection="0">
      <alignment horizontal="right"/>
    </xf>
    <xf numFmtId="0" fontId="28" fillId="30" borderId="0" applyProtection="0">
      <alignment horizontal="left"/>
    </xf>
    <xf numFmtId="0" fontId="47" fillId="0" borderId="16" applyNumberFormat="0" applyFill="0" applyAlignment="0" applyProtection="0"/>
    <xf numFmtId="0" fontId="59" fillId="0" borderId="0">
      <alignment vertical="top" wrapText="1"/>
    </xf>
    <xf numFmtId="0" fontId="59" fillId="0" borderId="0">
      <alignment vertical="top" wrapText="1"/>
    </xf>
    <xf numFmtId="0" fontId="59" fillId="0" borderId="0">
      <alignment vertical="top" wrapText="1"/>
    </xf>
    <xf numFmtId="0" fontId="59" fillId="0" borderId="0">
      <alignment vertical="top" wrapText="1"/>
    </xf>
    <xf numFmtId="0" fontId="48" fillId="0" borderId="17" applyNumberFormat="0" applyFill="0" applyAlignment="0" applyProtection="0"/>
    <xf numFmtId="170" fontId="60" fillId="0" borderId="0" applyNumberFormat="0" applyFill="0" applyAlignment="0" applyProtection="0"/>
    <xf numFmtId="0" fontId="49" fillId="0" borderId="18" applyNumberFormat="0" applyFill="0" applyAlignment="0" applyProtection="0"/>
    <xf numFmtId="170" fontId="61" fillId="0" borderId="0" applyNumberFormat="0" applyFill="0" applyAlignment="0" applyProtection="0"/>
    <xf numFmtId="0" fontId="49" fillId="0" borderId="0" applyNumberFormat="0" applyFill="0" applyBorder="0" applyAlignment="0" applyProtection="0"/>
    <xf numFmtId="170" fontId="62" fillId="0" borderId="0" applyNumberFormat="0" applyFill="0" applyAlignment="0" applyProtection="0"/>
    <xf numFmtId="170" fontId="29" fillId="0" borderId="0" applyNumberFormat="0" applyFill="0" applyAlignment="0" applyProtection="0"/>
    <xf numFmtId="170" fontId="30" fillId="0" borderId="0" applyNumberFormat="0" applyFill="0" applyAlignment="0" applyProtection="0"/>
    <xf numFmtId="170" fontId="30" fillId="0" borderId="0" applyNumberFormat="0" applyFont="0" applyFill="0" applyBorder="0" applyAlignment="0" applyProtection="0"/>
    <xf numFmtId="170" fontId="30" fillId="0" borderId="0" applyNumberFormat="0" applyFont="0" applyFill="0" applyBorder="0" applyAlignment="0" applyProtection="0"/>
    <xf numFmtId="0" fontId="78" fillId="0" borderId="0" applyNumberFormat="0" applyFill="0" applyBorder="0" applyAlignment="0" applyProtection="0">
      <alignment vertical="top"/>
      <protection locked="0"/>
    </xf>
    <xf numFmtId="0" fontId="31" fillId="0" borderId="0" applyFill="0" applyBorder="0" applyProtection="0">
      <alignment horizontal="left"/>
    </xf>
    <xf numFmtId="10" fontId="40" fillId="31" borderId="6" applyNumberFormat="0" applyBorder="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27" fillId="0" borderId="19" applyProtection="0">
      <alignment horizontal="right"/>
    </xf>
    <xf numFmtId="0" fontId="27" fillId="0" borderId="15" applyProtection="0">
      <alignment horizontal="right"/>
    </xf>
    <xf numFmtId="0" fontId="27" fillId="0" borderId="20" applyProtection="0">
      <alignment horizontal="center"/>
      <protection locked="0"/>
    </xf>
    <xf numFmtId="0" fontId="51" fillId="0" borderId="21" applyNumberFormat="0" applyFill="0" applyAlignment="0" applyProtection="0"/>
    <xf numFmtId="0" fontId="6" fillId="0" borderId="0"/>
    <xf numFmtId="0" fontId="6" fillId="0" borderId="0"/>
    <xf numFmtId="1" fontId="6" fillId="0" borderId="0" applyFont="0" applyFill="0" applyBorder="0" applyProtection="0">
      <alignment horizontal="right"/>
    </xf>
    <xf numFmtId="1" fontId="6" fillId="0" borderId="0" applyFont="0" applyFill="0" applyBorder="0" applyProtection="0">
      <alignment horizontal="right"/>
    </xf>
    <xf numFmtId="0" fontId="52" fillId="20" borderId="0" applyNumberFormat="0" applyBorder="0" applyAlignment="0" applyProtection="0"/>
    <xf numFmtId="0" fontId="63" fillId="0" borderId="0"/>
    <xf numFmtId="0" fontId="63" fillId="0" borderId="0"/>
    <xf numFmtId="0" fontId="63" fillId="0" borderId="0"/>
    <xf numFmtId="0" fontId="63" fillId="0" borderId="0"/>
    <xf numFmtId="0" fontId="63" fillId="0" borderId="0"/>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0" borderId="0"/>
    <xf numFmtId="0" fontId="22" fillId="0" borderId="0"/>
    <xf numFmtId="0" fontId="6" fillId="0" borderId="0">
      <alignment vertical="top"/>
    </xf>
    <xf numFmtId="0" fontId="6" fillId="0" borderId="0"/>
    <xf numFmtId="0" fontId="6" fillId="0" borderId="0"/>
    <xf numFmtId="0" fontId="6" fillId="0" borderId="0"/>
    <xf numFmtId="0" fontId="6" fillId="0" borderId="0"/>
    <xf numFmtId="0" fontId="6"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32" fillId="0" borderId="0"/>
    <xf numFmtId="0" fontId="1" fillId="0" borderId="0"/>
    <xf numFmtId="0" fontId="22"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6"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6" fillId="0" borderId="0"/>
    <xf numFmtId="0" fontId="6" fillId="0" borderId="0">
      <alignment vertical="top"/>
    </xf>
    <xf numFmtId="0" fontId="6" fillId="0" borderId="0">
      <alignment vertical="top"/>
    </xf>
    <xf numFmtId="0" fontId="6" fillId="0" borderId="0">
      <alignment vertical="top"/>
    </xf>
    <xf numFmtId="0" fontId="6" fillId="0" borderId="0">
      <alignment vertical="top"/>
    </xf>
    <xf numFmtId="0" fontId="6" fillId="32" borderId="22" applyNumberFormat="0" applyFont="0" applyAlignment="0" applyProtection="0"/>
    <xf numFmtId="0" fontId="53" fillId="27" borderId="23" applyNumberFormat="0" applyAlignment="0" applyProtection="0"/>
    <xf numFmtId="40" fontId="64" fillId="33" borderId="0">
      <alignment horizontal="right"/>
    </xf>
    <xf numFmtId="0" fontId="65" fillId="33" borderId="0">
      <alignment horizontal="right"/>
    </xf>
    <xf numFmtId="0" fontId="66" fillId="33" borderId="7"/>
    <xf numFmtId="0" fontId="66" fillId="0" borderId="0" applyBorder="0">
      <alignment horizontal="centerContinuous"/>
    </xf>
    <xf numFmtId="0" fontId="67" fillId="0" borderId="0" applyBorder="0">
      <alignment horizontal="centerContinuous"/>
    </xf>
    <xf numFmtId="171" fontId="6" fillId="0" borderId="0" applyFont="0" applyFill="0" applyBorder="0" applyProtection="0">
      <alignment horizontal="right"/>
    </xf>
    <xf numFmtId="171" fontId="6" fillId="0" borderId="0" applyFont="0" applyFill="0" applyBorder="0" applyProtection="0">
      <alignment horizontal="right"/>
    </xf>
    <xf numFmtId="10"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6" fillId="0" borderId="0"/>
    <xf numFmtId="2" fontId="68" fillId="34" borderId="24" applyAlignment="0" applyProtection="0">
      <protection locked="0"/>
    </xf>
    <xf numFmtId="0" fontId="69" fillId="31" borderId="24" applyNumberFormat="0" applyAlignment="0" applyProtection="0"/>
    <xf numFmtId="0" fontId="70" fillId="35" borderId="6" applyNumberFormat="0" applyAlignment="0" applyProtection="0">
      <alignment horizontal="center" vertical="center"/>
    </xf>
    <xf numFmtId="4" fontId="32" fillId="36" borderId="23" applyNumberFormat="0" applyProtection="0">
      <alignment vertical="center"/>
    </xf>
    <xf numFmtId="4" fontId="71" fillId="36" borderId="23" applyNumberFormat="0" applyProtection="0">
      <alignment vertical="center"/>
    </xf>
    <xf numFmtId="4" fontId="32" fillId="36" borderId="23" applyNumberFormat="0" applyProtection="0">
      <alignment horizontal="left" vertical="center" indent="1"/>
    </xf>
    <xf numFmtId="4" fontId="32" fillId="36" borderId="23" applyNumberFormat="0" applyProtection="0">
      <alignment horizontal="left" vertical="center" indent="1"/>
    </xf>
    <xf numFmtId="0" fontId="6" fillId="37" borderId="23" applyNumberFormat="0" applyProtection="0">
      <alignment horizontal="left" vertical="center" indent="1"/>
    </xf>
    <xf numFmtId="4" fontId="32" fillId="38" borderId="23" applyNumberFormat="0" applyProtection="0">
      <alignment horizontal="right" vertical="center"/>
    </xf>
    <xf numFmtId="4" fontId="32" fillId="39" borderId="23" applyNumberFormat="0" applyProtection="0">
      <alignment horizontal="right" vertical="center"/>
    </xf>
    <xf numFmtId="4" fontId="32" fillId="40" borderId="23" applyNumberFormat="0" applyProtection="0">
      <alignment horizontal="right" vertical="center"/>
    </xf>
    <xf numFmtId="4" fontId="32" fillId="41" borderId="23" applyNumberFormat="0" applyProtection="0">
      <alignment horizontal="right" vertical="center"/>
    </xf>
    <xf numFmtId="4" fontId="32" fillId="42" borderId="23" applyNumberFormat="0" applyProtection="0">
      <alignment horizontal="right" vertical="center"/>
    </xf>
    <xf numFmtId="4" fontId="32" fillId="43" borderId="23" applyNumberFormat="0" applyProtection="0">
      <alignment horizontal="right" vertical="center"/>
    </xf>
    <xf numFmtId="4" fontId="32" fillId="44" borderId="23" applyNumberFormat="0" applyProtection="0">
      <alignment horizontal="right" vertical="center"/>
    </xf>
    <xf numFmtId="4" fontId="32" fillId="45" borderId="23" applyNumberFormat="0" applyProtection="0">
      <alignment horizontal="right" vertical="center"/>
    </xf>
    <xf numFmtId="4" fontId="32" fillId="46" borderId="23" applyNumberFormat="0" applyProtection="0">
      <alignment horizontal="right" vertical="center"/>
    </xf>
    <xf numFmtId="4" fontId="72" fillId="47" borderId="23" applyNumberFormat="0" applyProtection="0">
      <alignment horizontal="left" vertical="center" indent="1"/>
    </xf>
    <xf numFmtId="4" fontId="32" fillId="48" borderId="25" applyNumberFormat="0" applyProtection="0">
      <alignment horizontal="left" vertical="center" indent="1"/>
    </xf>
    <xf numFmtId="4" fontId="73" fillId="49" borderId="0" applyNumberFormat="0" applyProtection="0">
      <alignment horizontal="left" vertical="center" indent="1"/>
    </xf>
    <xf numFmtId="0" fontId="6" fillId="37" borderId="23" applyNumberFormat="0" applyProtection="0">
      <alignment horizontal="left" vertical="center" indent="1"/>
    </xf>
    <xf numFmtId="4" fontId="32" fillId="48" borderId="23" applyNumberFormat="0" applyProtection="0">
      <alignment horizontal="left" vertical="center" indent="1"/>
    </xf>
    <xf numFmtId="4" fontId="32" fillId="50" borderId="23" applyNumberFormat="0" applyProtection="0">
      <alignment horizontal="left" vertical="center" indent="1"/>
    </xf>
    <xf numFmtId="0" fontId="6" fillId="50" borderId="23" applyNumberFormat="0" applyProtection="0">
      <alignment horizontal="left" vertical="center" indent="1"/>
    </xf>
    <xf numFmtId="0" fontId="6" fillId="50" borderId="23" applyNumberFormat="0" applyProtection="0">
      <alignment horizontal="left" vertical="center" indent="1"/>
    </xf>
    <xf numFmtId="0" fontId="6" fillId="35" borderId="23" applyNumberFormat="0" applyProtection="0">
      <alignment horizontal="left" vertical="center" indent="1"/>
    </xf>
    <xf numFmtId="0" fontId="6" fillId="35" borderId="23" applyNumberFormat="0" applyProtection="0">
      <alignment horizontal="left" vertical="center" indent="1"/>
    </xf>
    <xf numFmtId="0" fontId="6" fillId="29" borderId="23" applyNumberFormat="0" applyProtection="0">
      <alignment horizontal="left" vertical="center" indent="1"/>
    </xf>
    <xf numFmtId="0" fontId="6" fillId="29" borderId="23" applyNumberFormat="0" applyProtection="0">
      <alignment horizontal="left" vertical="center" indent="1"/>
    </xf>
    <xf numFmtId="0" fontId="6" fillId="37" borderId="23" applyNumberFormat="0" applyProtection="0">
      <alignment horizontal="left" vertical="center" indent="1"/>
    </xf>
    <xf numFmtId="0" fontId="6" fillId="37" borderId="23" applyNumberFormat="0" applyProtection="0">
      <alignment horizontal="left" vertical="center" indent="1"/>
    </xf>
    <xf numFmtId="4" fontId="32" fillId="31" borderId="23" applyNumberFormat="0" applyProtection="0">
      <alignment vertical="center"/>
    </xf>
    <xf numFmtId="4" fontId="71" fillId="31" borderId="23" applyNumberFormat="0" applyProtection="0">
      <alignment vertical="center"/>
    </xf>
    <xf numFmtId="4" fontId="32" fillId="31" borderId="23" applyNumberFormat="0" applyProtection="0">
      <alignment horizontal="left" vertical="center" indent="1"/>
    </xf>
    <xf numFmtId="4" fontId="32" fillId="31" borderId="23" applyNumberFormat="0" applyProtection="0">
      <alignment horizontal="left" vertical="center" indent="1"/>
    </xf>
    <xf numFmtId="4" fontId="32" fillId="48" borderId="23" applyNumberFormat="0" applyProtection="0">
      <alignment horizontal="right" vertical="center"/>
    </xf>
    <xf numFmtId="4" fontId="71" fillId="48" borderId="23" applyNumberFormat="0" applyProtection="0">
      <alignment horizontal="right" vertical="center"/>
    </xf>
    <xf numFmtId="0" fontId="6" fillId="37" borderId="23" applyNumberFormat="0" applyProtection="0">
      <alignment horizontal="left" vertical="center" indent="1"/>
    </xf>
    <xf numFmtId="0" fontId="6" fillId="37" borderId="23" applyNumberFormat="0" applyProtection="0">
      <alignment horizontal="left" vertical="center" indent="1"/>
    </xf>
    <xf numFmtId="0" fontId="74" fillId="0" borderId="0"/>
    <xf numFmtId="4" fontId="75" fillId="48" borderId="23" applyNumberFormat="0" applyProtection="0">
      <alignment horizontal="right" vertical="center"/>
    </xf>
    <xf numFmtId="0" fontId="6" fillId="0" borderId="0"/>
    <xf numFmtId="0" fontId="33" fillId="33" borderId="4">
      <alignment horizontal="center"/>
    </xf>
    <xf numFmtId="3" fontId="34" fillId="33" borderId="0"/>
    <xf numFmtId="3" fontId="33" fillId="33" borderId="0"/>
    <xf numFmtId="0" fontId="34" fillId="33" borderId="0"/>
    <xf numFmtId="0" fontId="33" fillId="33" borderId="0"/>
    <xf numFmtId="0" fontId="34" fillId="33" borderId="0">
      <alignment horizontal="center"/>
    </xf>
    <xf numFmtId="0" fontId="35" fillId="0" borderId="0">
      <alignment wrapText="1"/>
    </xf>
    <xf numFmtId="0" fontId="35" fillId="0" borderId="0">
      <alignment wrapText="1"/>
    </xf>
    <xf numFmtId="0" fontId="35" fillId="0" borderId="0">
      <alignment wrapText="1"/>
    </xf>
    <xf numFmtId="0" fontId="36" fillId="51" borderId="0">
      <alignment horizontal="right" vertical="top" wrapText="1"/>
    </xf>
    <xf numFmtId="0" fontId="36" fillId="51" borderId="0">
      <alignment horizontal="right" vertical="top" wrapText="1"/>
    </xf>
    <xf numFmtId="0" fontId="36" fillId="51" borderId="0">
      <alignment horizontal="right" vertical="top" wrapText="1"/>
    </xf>
    <xf numFmtId="0" fontId="37" fillId="0" borderId="0"/>
    <xf numFmtId="0" fontId="37" fillId="0" borderId="0"/>
    <xf numFmtId="0" fontId="37" fillId="0" borderId="0"/>
    <xf numFmtId="0" fontId="38" fillId="0" borderId="0"/>
    <xf numFmtId="0" fontId="38" fillId="0" borderId="0"/>
    <xf numFmtId="0" fontId="39" fillId="0" borderId="0"/>
    <xf numFmtId="0" fontId="39" fillId="0" borderId="0"/>
    <xf numFmtId="172" fontId="40" fillId="0" borderId="0">
      <alignment wrapText="1"/>
      <protection locked="0"/>
    </xf>
    <xf numFmtId="172" fontId="40" fillId="0" borderId="0">
      <alignment wrapText="1"/>
      <protection locked="0"/>
    </xf>
    <xf numFmtId="172" fontId="36" fillId="52" borderId="0">
      <alignment wrapText="1"/>
      <protection locked="0"/>
    </xf>
    <xf numFmtId="172" fontId="36" fillId="52" borderId="0">
      <alignment wrapText="1"/>
      <protection locked="0"/>
    </xf>
    <xf numFmtId="172" fontId="36" fillId="52" borderId="0">
      <alignment wrapText="1"/>
      <protection locked="0"/>
    </xf>
    <xf numFmtId="172" fontId="36" fillId="52" borderId="0">
      <alignment wrapText="1"/>
      <protection locked="0"/>
    </xf>
    <xf numFmtId="173" fontId="40" fillId="0" borderId="0">
      <alignment wrapText="1"/>
      <protection locked="0"/>
    </xf>
    <xf numFmtId="173" fontId="40" fillId="0" borderId="0">
      <alignment wrapText="1"/>
      <protection locked="0"/>
    </xf>
    <xf numFmtId="173" fontId="40" fillId="0" borderId="0">
      <alignment wrapText="1"/>
      <protection locked="0"/>
    </xf>
    <xf numFmtId="173" fontId="36" fillId="52" borderId="0">
      <alignment wrapText="1"/>
      <protection locked="0"/>
    </xf>
    <xf numFmtId="173" fontId="36" fillId="52" borderId="0">
      <alignment wrapText="1"/>
      <protection locked="0"/>
    </xf>
    <xf numFmtId="173" fontId="36" fillId="52" borderId="0">
      <alignment wrapText="1"/>
      <protection locked="0"/>
    </xf>
    <xf numFmtId="173" fontId="36" fillId="52" borderId="0">
      <alignment wrapText="1"/>
      <protection locked="0"/>
    </xf>
    <xf numFmtId="173" fontId="36" fillId="52" borderId="0">
      <alignment wrapText="1"/>
      <protection locked="0"/>
    </xf>
    <xf numFmtId="174" fontId="40" fillId="0" borderId="0">
      <alignment wrapText="1"/>
      <protection locked="0"/>
    </xf>
    <xf numFmtId="174" fontId="40" fillId="0" borderId="0">
      <alignment wrapText="1"/>
      <protection locked="0"/>
    </xf>
    <xf numFmtId="174" fontId="36" fillId="52" borderId="0">
      <alignment wrapText="1"/>
      <protection locked="0"/>
    </xf>
    <xf numFmtId="174" fontId="36" fillId="52" borderId="0">
      <alignment wrapText="1"/>
      <protection locked="0"/>
    </xf>
    <xf numFmtId="174" fontId="36" fillId="52" borderId="0">
      <alignment wrapText="1"/>
      <protection locked="0"/>
    </xf>
    <xf numFmtId="174" fontId="36" fillId="52" borderId="0">
      <alignment wrapText="1"/>
      <protection locked="0"/>
    </xf>
    <xf numFmtId="175" fontId="36" fillId="51" borderId="26">
      <alignment wrapText="1"/>
    </xf>
    <xf numFmtId="175" fontId="36" fillId="51" borderId="26">
      <alignment wrapText="1"/>
    </xf>
    <xf numFmtId="176" fontId="36" fillId="51" borderId="26">
      <alignment wrapText="1"/>
    </xf>
    <xf numFmtId="176" fontId="36" fillId="51" borderId="26">
      <alignment wrapText="1"/>
    </xf>
    <xf numFmtId="176" fontId="36" fillId="51" borderId="26">
      <alignment wrapText="1"/>
    </xf>
    <xf numFmtId="177" fontId="36" fillId="51" borderId="26">
      <alignment wrapText="1"/>
    </xf>
    <xf numFmtId="177" fontId="36" fillId="51" borderId="26">
      <alignment wrapText="1"/>
    </xf>
    <xf numFmtId="0" fontId="37" fillId="0" borderId="27">
      <alignment horizontal="right"/>
    </xf>
    <xf numFmtId="0" fontId="37" fillId="0" borderId="27">
      <alignment horizontal="right"/>
    </xf>
    <xf numFmtId="0" fontId="37" fillId="0" borderId="27">
      <alignment horizontal="right"/>
    </xf>
    <xf numFmtId="40" fontId="76" fillId="0" borderId="0"/>
    <xf numFmtId="0" fontId="54" fillId="0" borderId="0" applyNumberFormat="0" applyFill="0" applyBorder="0" applyAlignment="0" applyProtection="0"/>
    <xf numFmtId="0" fontId="77" fillId="0" borderId="0" applyNumberFormat="0" applyFill="0" applyBorder="0" applyProtection="0">
      <alignment horizontal="left" vertical="center" indent="10"/>
    </xf>
    <xf numFmtId="0" fontId="77" fillId="0" borderId="0" applyNumberFormat="0" applyFill="0" applyBorder="0" applyProtection="0">
      <alignment horizontal="left" vertical="center" indent="10"/>
    </xf>
    <xf numFmtId="0" fontId="55" fillId="0" borderId="28" applyNumberFormat="0" applyFill="0" applyAlignment="0" applyProtection="0"/>
    <xf numFmtId="0" fontId="56" fillId="0" borderId="0" applyNumberFormat="0" applyFill="0" applyBorder="0" applyAlignment="0" applyProtection="0"/>
    <xf numFmtId="0" fontId="40"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6" fillId="0" borderId="0"/>
    <xf numFmtId="0" fontId="80" fillId="0" borderId="0"/>
    <xf numFmtId="43" fontId="6"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84"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83" fillId="0" borderId="0" applyNumberFormat="0" applyFill="0" applyBorder="0" applyAlignment="0" applyProtection="0">
      <alignment vertical="top"/>
      <protection locked="0"/>
    </xf>
    <xf numFmtId="180" fontId="82" fillId="0" borderId="0"/>
    <xf numFmtId="0" fontId="6" fillId="0" borderId="0">
      <alignment vertical="top"/>
    </xf>
    <xf numFmtId="0" fontId="1" fillId="0" borderId="0"/>
    <xf numFmtId="0" fontId="1" fillId="0" borderId="0"/>
    <xf numFmtId="0" fontId="1" fillId="0" borderId="0"/>
    <xf numFmtId="0" fontId="1" fillId="0" borderId="0"/>
    <xf numFmtId="0" fontId="6"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alignment vertical="top"/>
    </xf>
    <xf numFmtId="0" fontId="1" fillId="0" borderId="0"/>
    <xf numFmtId="0" fontId="6" fillId="0" borderId="0">
      <alignment vertical="top"/>
    </xf>
    <xf numFmtId="0" fontId="1" fillId="0" borderId="0"/>
    <xf numFmtId="0" fontId="6" fillId="0" borderId="0">
      <alignment vertical="top"/>
    </xf>
    <xf numFmtId="0" fontId="1" fillId="0" borderId="0"/>
    <xf numFmtId="0" fontId="6" fillId="0" borderId="0">
      <alignment vertical="top"/>
    </xf>
    <xf numFmtId="0" fontId="1" fillId="0" borderId="0"/>
    <xf numFmtId="180" fontId="82" fillId="0" borderId="0"/>
    <xf numFmtId="0" fontId="6" fillId="0" borderId="0">
      <alignment vertical="top"/>
    </xf>
    <xf numFmtId="0" fontId="1" fillId="0" borderId="0"/>
    <xf numFmtId="0" fontId="6" fillId="0" borderId="0">
      <alignment vertical="top"/>
    </xf>
    <xf numFmtId="180" fontId="81" fillId="0" borderId="0"/>
    <xf numFmtId="0" fontId="1" fillId="0" borderId="0"/>
    <xf numFmtId="0" fontId="6" fillId="0" borderId="0">
      <alignment vertical="top"/>
    </xf>
    <xf numFmtId="0" fontId="1" fillId="0" borderId="0"/>
    <xf numFmtId="0" fontId="1" fillId="0" borderId="0"/>
    <xf numFmtId="0" fontId="6" fillId="0" borderId="0">
      <alignment vertical="top"/>
    </xf>
    <xf numFmtId="180" fontId="82" fillId="0" borderId="0"/>
    <xf numFmtId="0" fontId="6" fillId="0" borderId="0"/>
    <xf numFmtId="0" fontId="1" fillId="0" borderId="0"/>
    <xf numFmtId="0" fontId="6" fillId="0" borderId="0">
      <alignment vertical="top"/>
    </xf>
    <xf numFmtId="0" fontId="1" fillId="0" borderId="0"/>
    <xf numFmtId="0" fontId="6"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180" fontId="82" fillId="0" borderId="0"/>
    <xf numFmtId="0" fontId="32" fillId="0" borderId="0"/>
    <xf numFmtId="0" fontId="85" fillId="0" borderId="0"/>
    <xf numFmtId="180" fontId="82" fillId="0" borderId="0"/>
    <xf numFmtId="0" fontId="1" fillId="0" borderId="0"/>
    <xf numFmtId="180" fontId="82" fillId="0" borderId="0"/>
    <xf numFmtId="180" fontId="82" fillId="0" borderId="0"/>
    <xf numFmtId="180" fontId="82" fillId="0" borderId="0"/>
    <xf numFmtId="180" fontId="82" fillId="0" borderId="0"/>
    <xf numFmtId="180" fontId="82" fillId="0" borderId="0"/>
    <xf numFmtId="180" fontId="82" fillId="0" borderId="0"/>
    <xf numFmtId="180" fontId="82" fillId="0" borderId="0"/>
    <xf numFmtId="0" fontId="1" fillId="0" borderId="0"/>
    <xf numFmtId="180" fontId="82" fillId="0" borderId="0"/>
    <xf numFmtId="0" fontId="6" fillId="0" borderId="0"/>
    <xf numFmtId="0" fontId="1" fillId="0" borderId="0"/>
    <xf numFmtId="0" fontId="6" fillId="0" borderId="0"/>
    <xf numFmtId="0" fontId="1" fillId="0" borderId="0"/>
    <xf numFmtId="180" fontId="82" fillId="0" borderId="0"/>
    <xf numFmtId="0" fontId="6" fillId="0" borderId="0"/>
    <xf numFmtId="180" fontId="81" fillId="0" borderId="0"/>
    <xf numFmtId="0" fontId="6" fillId="0" borderId="0"/>
    <xf numFmtId="0" fontId="6" fillId="0" borderId="0"/>
    <xf numFmtId="180" fontId="82" fillId="0" borderId="0"/>
    <xf numFmtId="0" fontId="6" fillId="0" borderId="0">
      <alignment vertical="top"/>
    </xf>
    <xf numFmtId="180" fontId="82" fillId="0" borderId="0"/>
    <xf numFmtId="0" fontId="6" fillId="0" borderId="0">
      <alignment vertical="top"/>
    </xf>
    <xf numFmtId="180" fontId="82" fillId="0" borderId="0"/>
    <xf numFmtId="0" fontId="6" fillId="0" borderId="0">
      <alignment vertical="top"/>
    </xf>
    <xf numFmtId="180" fontId="82" fillId="0" borderId="0"/>
    <xf numFmtId="0" fontId="6" fillId="0" borderId="0">
      <alignment vertical="top"/>
    </xf>
    <xf numFmtId="0" fontId="1" fillId="53" borderId="29" applyNumberFormat="0" applyFont="0" applyAlignment="0" applyProtection="0"/>
    <xf numFmtId="9" fontId="2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0" fillId="0" borderId="0"/>
    <xf numFmtId="0" fontId="78" fillId="0" borderId="0" applyNumberFormat="0" applyFill="0" applyBorder="0" applyAlignment="0" applyProtection="0"/>
    <xf numFmtId="43" fontId="1" fillId="0" borderId="0" applyFont="0" applyFill="0" applyBorder="0" applyAlignment="0" applyProtection="0"/>
    <xf numFmtId="0" fontId="90" fillId="0" borderId="0"/>
    <xf numFmtId="0" fontId="90" fillId="0" borderId="0"/>
    <xf numFmtId="0" fontId="78" fillId="0" borderId="0" applyNumberFormat="0" applyFill="0" applyBorder="0" applyAlignment="0" applyProtection="0"/>
    <xf numFmtId="0" fontId="90" fillId="0" borderId="0"/>
    <xf numFmtId="0" fontId="17" fillId="0" borderId="0" applyNumberFormat="0" applyFill="0" applyBorder="0" applyAlignment="0" applyProtection="0"/>
    <xf numFmtId="0" fontId="90" fillId="0" borderId="0"/>
    <xf numFmtId="43" fontId="1" fillId="0" borderId="0" applyFont="0" applyFill="0" applyBorder="0" applyAlignment="0" applyProtection="0"/>
    <xf numFmtId="0" fontId="6" fillId="0" borderId="0"/>
    <xf numFmtId="0" fontId="6" fillId="0" borderId="0"/>
    <xf numFmtId="0" fontId="94" fillId="59" borderId="0" applyNumberFormat="0" applyFont="0" applyBorder="0" applyAlignment="0" applyProtection="0"/>
    <xf numFmtId="0" fontId="106" fillId="60" borderId="0" applyNumberFormat="0" applyBorder="0" applyAlignment="0" applyProtection="0"/>
    <xf numFmtId="0" fontId="107" fillId="0" borderId="0" applyNumberFormat="0" applyBorder="0" applyProtection="0">
      <alignment vertical="top" wrapText="1"/>
    </xf>
    <xf numFmtId="0" fontId="107" fillId="0" borderId="0" applyNumberFormat="0" applyBorder="0" applyProtection="0">
      <alignment vertical="top" wrapText="1"/>
    </xf>
    <xf numFmtId="0" fontId="108" fillId="0" borderId="0" applyNumberFormat="0" applyFill="0" applyBorder="0" applyAlignment="0" applyProtection="0"/>
    <xf numFmtId="0" fontId="108" fillId="0" borderId="0" applyNumberFormat="0" applyFill="0" applyBorder="0" applyAlignment="0" applyProtection="0"/>
    <xf numFmtId="0" fontId="94" fillId="0" borderId="0" applyNumberFormat="0" applyFont="0" applyBorder="0" applyProtection="0"/>
    <xf numFmtId="0" fontId="94" fillId="0" borderId="0" applyNumberFormat="0" applyFont="0" applyBorder="0" applyProtection="0"/>
    <xf numFmtId="0" fontId="94" fillId="0" borderId="0" applyNumberFormat="0" applyFont="0" applyBorder="0" applyProtection="0"/>
    <xf numFmtId="0" fontId="94" fillId="0" borderId="0"/>
    <xf numFmtId="9" fontId="94" fillId="0" borderId="0" applyFont="0" applyFill="0" applyBorder="0" applyAlignment="0" applyProtection="0"/>
    <xf numFmtId="9" fontId="94" fillId="0" borderId="0" applyFont="0" applyFill="0" applyBorder="0" applyAlignment="0" applyProtection="0"/>
    <xf numFmtId="0" fontId="109" fillId="0" borderId="0" applyNumberFormat="0" applyBorder="0" applyProtection="0">
      <alignment wrapText="1"/>
    </xf>
    <xf numFmtId="0" fontId="110" fillId="61" borderId="0" applyNumberFormat="0" applyBorder="0" applyProtection="0">
      <alignment horizontal="right" vertical="top" wrapText="1"/>
    </xf>
    <xf numFmtId="0" fontId="111" fillId="0" borderId="0" applyNumberFormat="0" applyBorder="0" applyProtection="0"/>
    <xf numFmtId="0" fontId="112" fillId="0" borderId="0" applyNumberFormat="0" applyBorder="0" applyProtection="0"/>
    <xf numFmtId="183" fontId="113" fillId="0" borderId="0" applyBorder="0">
      <alignment wrapText="1"/>
      <protection locked="0"/>
    </xf>
    <xf numFmtId="184" fontId="113" fillId="0" borderId="0" applyBorder="0">
      <alignment wrapText="1"/>
      <protection locked="0"/>
    </xf>
    <xf numFmtId="185" fontId="113" fillId="0" borderId="0" applyBorder="0">
      <alignment wrapText="1"/>
      <protection locked="0"/>
    </xf>
    <xf numFmtId="186" fontId="110" fillId="61" borderId="42" applyProtection="0">
      <alignment wrapText="1"/>
    </xf>
    <xf numFmtId="187" fontId="110" fillId="61" borderId="42" applyProtection="0">
      <alignment wrapText="1"/>
    </xf>
    <xf numFmtId="0" fontId="111" fillId="0" borderId="43" applyNumberFormat="0" applyProtection="0">
      <alignment horizontal="right"/>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136" fillId="0" borderId="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79" fillId="0" borderId="0"/>
    <xf numFmtId="0" fontId="138" fillId="0" borderId="0" applyNumberFormat="0" applyFill="0" applyBorder="0" applyAlignment="0" applyProtection="0"/>
    <xf numFmtId="0" fontId="6" fillId="0" borderId="0"/>
    <xf numFmtId="0" fontId="22" fillId="0" borderId="0"/>
    <xf numFmtId="9" fontId="22" fillId="0" borderId="0" applyFont="0" applyFill="0" applyBorder="0" applyAlignment="0" applyProtection="0"/>
    <xf numFmtId="9" fontId="79" fillId="0" borderId="0" applyFont="0" applyFill="0" applyBorder="0" applyAlignment="0" applyProtection="0"/>
    <xf numFmtId="0" fontId="79" fillId="0" borderId="0"/>
    <xf numFmtId="0" fontId="1" fillId="0" borderId="0"/>
    <xf numFmtId="9" fontId="6" fillId="0" borderId="0" applyFont="0" applyFill="0" applyBorder="0" applyAlignment="0" applyProtection="0"/>
    <xf numFmtId="0" fontId="79" fillId="0" borderId="0"/>
    <xf numFmtId="0" fontId="6" fillId="0" borderId="0"/>
    <xf numFmtId="0" fontId="6" fillId="0" borderId="0"/>
    <xf numFmtId="0" fontId="6" fillId="0" borderId="0"/>
    <xf numFmtId="0" fontId="137" fillId="0" borderId="0" applyNumberFormat="0" applyFill="0" applyBorder="0" applyAlignment="0" applyProtection="0">
      <alignment vertical="top"/>
      <protection locked="0"/>
    </xf>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 fillId="0" borderId="0"/>
    <xf numFmtId="0" fontId="6" fillId="0" borderId="0"/>
    <xf numFmtId="0" fontId="6" fillId="0" borderId="0"/>
    <xf numFmtId="0" fontId="43" fillId="27" borderId="57" applyNumberFormat="0" applyAlignment="0" applyProtection="0"/>
    <xf numFmtId="43" fontId="22" fillId="0" borderId="0" applyFont="0" applyFill="0" applyBorder="0" applyAlignment="0" applyProtection="0"/>
    <xf numFmtId="0" fontId="59" fillId="0" borderId="0">
      <alignment vertical="top" wrapText="1"/>
    </xf>
    <xf numFmtId="0" fontId="50" fillId="13" borderId="57" applyNumberFormat="0" applyAlignment="0" applyProtection="0"/>
    <xf numFmtId="0" fontId="40" fillId="0" borderId="0"/>
    <xf numFmtId="0" fontId="40" fillId="0" borderId="0"/>
    <xf numFmtId="0" fontId="40" fillId="0" borderId="0"/>
    <xf numFmtId="0" fontId="40" fillId="32" borderId="58" applyNumberFormat="0" applyFont="0" applyAlignment="0" applyProtection="0"/>
    <xf numFmtId="0" fontId="53" fillId="27" borderId="59" applyNumberFormat="0" applyAlignment="0" applyProtection="0"/>
    <xf numFmtId="0" fontId="35" fillId="0" borderId="0">
      <alignment wrapText="1"/>
    </xf>
    <xf numFmtId="0" fontId="36" fillId="51" borderId="0">
      <alignment horizontal="right" vertical="top" wrapText="1"/>
    </xf>
    <xf numFmtId="0" fontId="36" fillId="51" borderId="0">
      <alignment horizontal="right" vertical="top" wrapText="1"/>
    </xf>
    <xf numFmtId="0" fontId="37" fillId="0" borderId="0"/>
    <xf numFmtId="0" fontId="37" fillId="0" borderId="0"/>
    <xf numFmtId="0" fontId="38" fillId="0" borderId="0"/>
    <xf numFmtId="0" fontId="39" fillId="0" borderId="0"/>
    <xf numFmtId="172" fontId="40" fillId="0" borderId="0">
      <alignment wrapText="1"/>
      <protection locked="0"/>
    </xf>
    <xf numFmtId="173" fontId="40" fillId="0" borderId="0">
      <alignment wrapText="1"/>
      <protection locked="0"/>
    </xf>
    <xf numFmtId="173" fontId="40" fillId="0" borderId="0">
      <alignment wrapText="1"/>
      <protection locked="0"/>
    </xf>
    <xf numFmtId="173" fontId="36" fillId="52" borderId="0">
      <alignment wrapText="1"/>
      <protection locked="0"/>
    </xf>
    <xf numFmtId="173" fontId="36" fillId="52" borderId="0">
      <alignment wrapText="1"/>
      <protection locked="0"/>
    </xf>
    <xf numFmtId="173" fontId="40" fillId="0" borderId="0">
      <alignment wrapText="1"/>
      <protection locked="0"/>
    </xf>
    <xf numFmtId="174" fontId="40" fillId="0" borderId="0">
      <alignment wrapText="1"/>
      <protection locked="0"/>
    </xf>
    <xf numFmtId="175" fontId="36" fillId="51" borderId="60">
      <alignment wrapText="1"/>
    </xf>
    <xf numFmtId="175" fontId="36" fillId="51" borderId="60">
      <alignment wrapText="1"/>
    </xf>
    <xf numFmtId="175" fontId="36" fillId="51" borderId="60">
      <alignment wrapText="1"/>
    </xf>
    <xf numFmtId="176" fontId="36" fillId="51" borderId="60">
      <alignment wrapText="1"/>
    </xf>
    <xf numFmtId="176" fontId="36" fillId="51" borderId="60">
      <alignment wrapText="1"/>
    </xf>
    <xf numFmtId="176" fontId="36" fillId="51" borderId="60">
      <alignment wrapText="1"/>
    </xf>
    <xf numFmtId="176" fontId="36" fillId="51" borderId="60">
      <alignment wrapText="1"/>
    </xf>
    <xf numFmtId="176" fontId="36" fillId="51" borderId="60">
      <alignment wrapText="1"/>
    </xf>
    <xf numFmtId="177" fontId="36" fillId="51" borderId="60">
      <alignment wrapText="1"/>
    </xf>
    <xf numFmtId="177" fontId="36" fillId="51" borderId="60">
      <alignment wrapText="1"/>
    </xf>
    <xf numFmtId="177" fontId="36" fillId="51" borderId="60">
      <alignment wrapText="1"/>
    </xf>
    <xf numFmtId="0" fontId="37" fillId="0" borderId="27">
      <alignment horizontal="right"/>
    </xf>
    <xf numFmtId="0" fontId="37" fillId="0" borderId="27">
      <alignment horizontal="right"/>
    </xf>
    <xf numFmtId="0" fontId="77" fillId="0" borderId="0" applyNumberFormat="0" applyFill="0" applyBorder="0" applyProtection="0">
      <alignment horizontal="left" vertical="center" indent="10"/>
    </xf>
    <xf numFmtId="0" fontId="55" fillId="0" borderId="61" applyNumberFormat="0" applyFill="0" applyAlignment="0" applyProtection="0"/>
    <xf numFmtId="43" fontId="1" fillId="0" borderId="0" applyFont="0" applyFill="0" applyBorder="0" applyAlignment="0" applyProtection="0"/>
    <xf numFmtId="0" fontId="40" fillId="0" borderId="0"/>
    <xf numFmtId="174" fontId="40" fillId="0" borderId="0">
      <alignment wrapText="1"/>
      <protection locked="0"/>
    </xf>
    <xf numFmtId="0" fontId="1" fillId="0" borderId="0"/>
    <xf numFmtId="0" fontId="6" fillId="0" borderId="0"/>
    <xf numFmtId="43" fontId="40" fillId="0" borderId="0" applyFont="0" applyFill="0" applyBorder="0" applyAlignment="0" applyProtection="0"/>
    <xf numFmtId="0" fontId="6" fillId="0" borderId="0"/>
    <xf numFmtId="43" fontId="6" fillId="0" borderId="0" applyFont="0" applyFill="0" applyBorder="0" applyAlignment="0" applyProtection="0"/>
    <xf numFmtId="0" fontId="6" fillId="0" borderId="0"/>
    <xf numFmtId="0" fontId="6" fillId="0" borderId="0"/>
    <xf numFmtId="43" fontId="22" fillId="0" borderId="0" applyFont="0" applyFill="0" applyBorder="0" applyAlignment="0" applyProtection="0"/>
    <xf numFmtId="0" fontId="40" fillId="0" borderId="0"/>
    <xf numFmtId="0" fontId="40" fillId="32" borderId="58" applyNumberFormat="0" applyFont="0" applyAlignment="0" applyProtection="0"/>
    <xf numFmtId="172" fontId="40" fillId="0" borderId="0">
      <alignment wrapText="1"/>
      <protection locked="0"/>
    </xf>
    <xf numFmtId="172" fontId="40" fillId="0" borderId="0">
      <alignment wrapText="1"/>
      <protection locked="0"/>
    </xf>
    <xf numFmtId="173" fontId="40" fillId="0" borderId="0">
      <alignment wrapText="1"/>
      <protection locked="0"/>
    </xf>
    <xf numFmtId="174" fontId="40" fillId="0" borderId="0">
      <alignment wrapText="1"/>
      <protection locked="0"/>
    </xf>
    <xf numFmtId="0" fontId="40" fillId="0" borderId="0"/>
    <xf numFmtId="43" fontId="40" fillId="0" borderId="0" applyFont="0" applyFill="0" applyBorder="0" applyAlignment="0" applyProtection="0"/>
    <xf numFmtId="43" fontId="6" fillId="0" borderId="0" applyFont="0" applyFill="0" applyBorder="0" applyAlignment="0" applyProtection="0"/>
    <xf numFmtId="0" fontId="113" fillId="0" borderId="0"/>
    <xf numFmtId="0" fontId="153" fillId="96" borderId="0" applyNumberFormat="0" applyBorder="0" applyAlignment="0" applyProtection="0"/>
    <xf numFmtId="0" fontId="153" fillId="96" borderId="0" applyNumberFormat="0" applyBorder="0" applyAlignment="0" applyProtection="0"/>
    <xf numFmtId="0" fontId="153" fillId="96" borderId="0" applyNumberFormat="0" applyBorder="0" applyAlignment="0" applyProtection="0"/>
    <xf numFmtId="0" fontId="153" fillId="96" borderId="0" applyNumberFormat="0" applyBorder="0" applyAlignment="0" applyProtection="0"/>
    <xf numFmtId="0" fontId="153" fillId="96" borderId="0" applyNumberFormat="0" applyBorder="0" applyAlignment="0" applyProtection="0"/>
    <xf numFmtId="184" fontId="113" fillId="0" borderId="0" applyFont="0" applyBorder="0">
      <alignment wrapText="1"/>
      <protection locked="0"/>
    </xf>
    <xf numFmtId="185" fontId="113" fillId="0" borderId="0" applyFont="0" applyBorder="0">
      <alignment wrapText="1"/>
      <protection locked="0"/>
    </xf>
    <xf numFmtId="184" fontId="113" fillId="0" borderId="0" applyFont="0" applyBorder="0">
      <alignment wrapText="1"/>
      <protection locked="0"/>
    </xf>
    <xf numFmtId="193" fontId="6" fillId="0" borderId="0" applyFill="0" applyBorder="0" applyAlignment="0" applyProtection="0"/>
    <xf numFmtId="0" fontId="6" fillId="0" borderId="0"/>
    <xf numFmtId="0" fontId="6" fillId="0" borderId="0"/>
    <xf numFmtId="0" fontId="6" fillId="0" borderId="0"/>
    <xf numFmtId="0" fontId="6" fillId="0" borderId="0"/>
    <xf numFmtId="0" fontId="6" fillId="0" borderId="0"/>
    <xf numFmtId="0" fontId="32" fillId="0" borderId="0">
      <alignment vertical="top"/>
    </xf>
    <xf numFmtId="0" fontId="32" fillId="0" borderId="0">
      <alignment vertical="top"/>
    </xf>
    <xf numFmtId="0" fontId="154" fillId="0" borderId="0"/>
    <xf numFmtId="0" fontId="6" fillId="0" borderId="0"/>
    <xf numFmtId="0" fontId="6" fillId="0" borderId="0"/>
    <xf numFmtId="0" fontId="6" fillId="0" borderId="0"/>
    <xf numFmtId="0" fontId="6" fillId="0" borderId="0"/>
    <xf numFmtId="0" fontId="6" fillId="0" borderId="0"/>
    <xf numFmtId="0" fontId="6" fillId="0" borderId="0"/>
    <xf numFmtId="0" fontId="154" fillId="0" borderId="0"/>
    <xf numFmtId="0" fontId="154" fillId="0" borderId="0"/>
    <xf numFmtId="0" fontId="6" fillId="0" borderId="0"/>
    <xf numFmtId="0" fontId="6" fillId="0" borderId="0"/>
    <xf numFmtId="0" fontId="15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xf numFmtId="0" fontId="6" fillId="0" borderId="0"/>
    <xf numFmtId="0" fontId="6" fillId="0" borderId="0"/>
    <xf numFmtId="0" fontId="155" fillId="0" borderId="0" applyNumberFormat="0" applyFill="0" applyBorder="0" applyAlignment="0">
      <protection locked="0"/>
    </xf>
    <xf numFmtId="0" fontId="156" fillId="0" borderId="0" applyNumberFormat="0" applyAlignment="0">
      <alignment horizontal="left"/>
    </xf>
    <xf numFmtId="194" fontId="157" fillId="0" borderId="55" applyAlignment="0" applyProtection="0"/>
    <xf numFmtId="49" fontId="158" fillId="0" borderId="0" applyFont="0" applyFill="0" applyBorder="0" applyAlignment="0" applyProtection="0">
      <alignment horizontal="left"/>
    </xf>
    <xf numFmtId="3" fontId="24" fillId="0" borderId="0" applyAlignment="0" applyProtection="0"/>
    <xf numFmtId="166" fontId="40" fillId="0" borderId="0" applyFill="0" applyBorder="0" applyAlignment="0" applyProtection="0"/>
    <xf numFmtId="49" fontId="40" fillId="0" borderId="0" applyNumberFormat="0" applyAlignment="0" applyProtection="0">
      <alignment horizontal="left"/>
    </xf>
    <xf numFmtId="49" fontId="159" fillId="0" borderId="62" applyNumberFormat="0" applyAlignment="0" applyProtection="0">
      <alignment horizontal="left" wrapText="1"/>
    </xf>
    <xf numFmtId="49" fontId="159" fillId="0" borderId="0" applyNumberFormat="0" applyAlignment="0" applyProtection="0">
      <alignment horizontal="left" wrapText="1"/>
    </xf>
    <xf numFmtId="49" fontId="160" fillId="0" borderId="0" applyAlignment="0" applyProtection="0">
      <alignment horizontal="left"/>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195" fontId="72" fillId="95" borderId="56"/>
    <xf numFmtId="3" fontId="161" fillId="0" borderId="0"/>
    <xf numFmtId="3" fontId="161" fillId="0" borderId="0"/>
    <xf numFmtId="3" fontId="161" fillId="0" borderId="0"/>
    <xf numFmtId="3" fontId="161" fillId="0" borderId="0"/>
    <xf numFmtId="3" fontId="161" fillId="0" borderId="0"/>
    <xf numFmtId="3" fontId="161" fillId="0" borderId="0"/>
    <xf numFmtId="3" fontId="161" fillId="0" borderId="0"/>
    <xf numFmtId="3" fontId="161" fillId="0" borderId="0"/>
    <xf numFmtId="0" fontId="162" fillId="0" borderId="0" applyFont="0" applyFill="0" applyBorder="0" applyAlignment="0" applyProtection="0">
      <alignment horizontal="right"/>
    </xf>
    <xf numFmtId="196" fontId="162" fillId="0" borderId="0" applyFont="0" applyFill="0" applyBorder="0" applyAlignment="0" applyProtection="0"/>
    <xf numFmtId="197" fontId="162" fillId="0" borderId="0" applyFont="0" applyFill="0" applyBorder="0" applyAlignment="0" applyProtection="0">
      <alignment horizontal="right"/>
    </xf>
    <xf numFmtId="43" fontId="6" fillId="0" borderId="0" applyFont="0" applyFill="0" applyBorder="0" applyAlignment="0" applyProtection="0"/>
    <xf numFmtId="198" fontId="162" fillId="0" borderId="0" applyFont="0" applyFill="0" applyBorder="0" applyAlignment="0" applyProtection="0"/>
    <xf numFmtId="199" fontId="162" fillId="0" borderId="0" applyFont="0" applyFill="0" applyBorder="0" applyAlignment="0" applyProtection="0">
      <alignment horizontal="right"/>
    </xf>
    <xf numFmtId="43" fontId="6" fillId="0" borderId="0" applyFont="0" applyFill="0" applyBorder="0" applyAlignment="0" applyProtection="0"/>
    <xf numFmtId="43" fontId="6" fillId="0" borderId="0" applyFont="0" applyFill="0" applyBorder="0" applyAlignment="0" applyProtection="0"/>
    <xf numFmtId="43" fontId="22" fillId="0" borderId="0" applyFont="0" applyFill="0" applyBorder="0" applyAlignment="0" applyProtection="0"/>
    <xf numFmtId="200" fontId="16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201" fontId="162" fillId="0" borderId="0" applyFont="0" applyFill="0" applyBorder="0" applyAlignment="0" applyProtection="0"/>
    <xf numFmtId="3" fontId="163" fillId="0" borderId="0" applyFont="0" applyFill="0" applyBorder="0" applyAlignment="0" applyProtection="0"/>
    <xf numFmtId="0" fontId="164" fillId="0" borderId="0"/>
    <xf numFmtId="0" fontId="165" fillId="0" borderId="0"/>
    <xf numFmtId="0" fontId="164" fillId="0" borderId="0"/>
    <xf numFmtId="0" fontId="165" fillId="0" borderId="0"/>
    <xf numFmtId="0" fontId="6" fillId="0" borderId="0"/>
    <xf numFmtId="0" fontId="6" fillId="0" borderId="0"/>
    <xf numFmtId="0" fontId="6" fillId="0" borderId="0"/>
    <xf numFmtId="0" fontId="62" fillId="0" borderId="0">
      <alignment horizontal="left" indent="3"/>
    </xf>
    <xf numFmtId="0" fontId="62" fillId="0" borderId="0">
      <alignment horizontal="left" indent="5"/>
    </xf>
    <xf numFmtId="0" fontId="6" fillId="0" borderId="0">
      <alignment horizontal="left"/>
    </xf>
    <xf numFmtId="0" fontId="6" fillId="0" borderId="0"/>
    <xf numFmtId="0" fontId="6" fillId="0" borderId="0">
      <alignment horizontal="left"/>
    </xf>
    <xf numFmtId="0" fontId="162" fillId="0" borderId="0" applyFont="0" applyFill="0" applyBorder="0" applyAlignment="0" applyProtection="0">
      <alignment horizontal="right"/>
    </xf>
    <xf numFmtId="44" fontId="6" fillId="0" borderId="0" applyFont="0" applyFill="0" applyBorder="0" applyAlignment="0" applyProtection="0"/>
    <xf numFmtId="202" fontId="6" fillId="0" borderId="0" applyFont="0" applyFill="0" applyBorder="0" applyAlignment="0" applyProtection="0"/>
    <xf numFmtId="192" fontId="6" fillId="0" borderId="0" applyFont="0" applyFill="0" applyBorder="0" applyAlignment="0" applyProtection="0"/>
    <xf numFmtId="203" fontId="166" fillId="0" borderId="0" applyFont="0" applyFill="0" applyBorder="0" applyAlignment="0" applyProtection="0"/>
    <xf numFmtId="0" fontId="162" fillId="0" borderId="0" applyFill="0" applyBorder="0" applyProtection="0"/>
    <xf numFmtId="204" fontId="166" fillId="0" borderId="0" applyFont="0" applyFill="0" applyBorder="0" applyAlignment="0" applyProtection="0"/>
    <xf numFmtId="205" fontId="162" fillId="0" borderId="0" applyFont="0" applyFill="0" applyBorder="0" applyAlignment="0" applyProtection="0"/>
    <xf numFmtId="206" fontId="162" fillId="0" borderId="0" applyFont="0" applyFill="0" applyBorder="0" applyAlignment="0" applyProtection="0"/>
    <xf numFmtId="0" fontId="163" fillId="0" borderId="0" applyFont="0" applyFill="0" applyBorder="0" applyAlignment="0" applyProtection="0"/>
    <xf numFmtId="0" fontId="162" fillId="0" borderId="0" applyFont="0" applyFill="0" applyBorder="0" applyAlignment="0" applyProtection="0"/>
    <xf numFmtId="207" fontId="162" fillId="0" borderId="0" applyFont="0" applyFill="0" applyBorder="0" applyAlignment="0" applyProtection="0"/>
    <xf numFmtId="208" fontId="162" fillId="0" borderId="0" applyFont="0" applyFill="0" applyBorder="0" applyAlignment="0" applyProtection="0"/>
    <xf numFmtId="0" fontId="6" fillId="0" borderId="0">
      <protection locked="0"/>
    </xf>
    <xf numFmtId="0" fontId="6" fillId="0" borderId="0"/>
    <xf numFmtId="0" fontId="162" fillId="0" borderId="63" applyNumberFormat="0" applyFont="0" applyFill="0" applyAlignment="0" applyProtection="0"/>
    <xf numFmtId="0" fontId="6" fillId="0" borderId="0">
      <protection locked="0"/>
    </xf>
    <xf numFmtId="0" fontId="6" fillId="0" borderId="0">
      <protection locked="0"/>
    </xf>
    <xf numFmtId="209" fontId="6" fillId="0" borderId="0" applyFont="0" applyFill="0" applyBorder="0" applyAlignment="0" applyProtection="0"/>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2" fontId="163" fillId="0" borderId="0" applyFont="0" applyFill="0" applyBorder="0" applyAlignment="0" applyProtection="0"/>
    <xf numFmtId="0" fontId="167" fillId="0" borderId="0"/>
    <xf numFmtId="0" fontId="6" fillId="0" borderId="32"/>
    <xf numFmtId="0" fontId="6" fillId="0" borderId="0">
      <alignment horizontal="left"/>
    </xf>
    <xf numFmtId="0" fontId="168" fillId="0" borderId="0">
      <alignment horizontal="left"/>
    </xf>
    <xf numFmtId="0" fontId="25" fillId="0" borderId="0" applyFill="0" applyBorder="0" applyProtection="0">
      <alignment horizontal="left"/>
    </xf>
    <xf numFmtId="0" fontId="169" fillId="0" borderId="0" applyNumberFormat="0" applyFill="0" applyBorder="0" applyProtection="0">
      <alignment horizontal="left"/>
    </xf>
    <xf numFmtId="0" fontId="169" fillId="0" borderId="0">
      <alignment horizontal="left"/>
    </xf>
    <xf numFmtId="0" fontId="6" fillId="0" borderId="0"/>
    <xf numFmtId="0" fontId="6" fillId="0" borderId="0"/>
    <xf numFmtId="0" fontId="162" fillId="0" borderId="0" applyFont="0" applyFill="0" applyBorder="0" applyAlignment="0" applyProtection="0">
      <alignment horizontal="right"/>
    </xf>
    <xf numFmtId="0" fontId="170" fillId="0" borderId="0" applyProtection="0">
      <alignment horizontal="right"/>
    </xf>
    <xf numFmtId="0" fontId="171" fillId="0" borderId="0">
      <alignment horizontal="left"/>
    </xf>
    <xf numFmtId="0" fontId="171" fillId="0" borderId="0">
      <alignment horizontal="left"/>
    </xf>
    <xf numFmtId="0" fontId="60" fillId="0" borderId="10" applyNumberFormat="0" applyAlignment="0" applyProtection="0">
      <alignment horizontal="left" vertical="center"/>
    </xf>
    <xf numFmtId="0" fontId="60" fillId="0" borderId="53">
      <alignment horizontal="left" vertical="center"/>
    </xf>
    <xf numFmtId="0" fontId="172" fillId="0" borderId="0" applyNumberFormat="0" applyFill="0" applyBorder="0" applyAlignment="0" applyProtection="0"/>
    <xf numFmtId="0" fontId="47" fillId="0" borderId="16" applyNumberFormat="0" applyFill="0" applyAlignment="0" applyProtection="0"/>
    <xf numFmtId="0" fontId="47" fillId="0" borderId="16" applyNumberFormat="0" applyFill="0" applyAlignment="0" applyProtection="0"/>
    <xf numFmtId="0" fontId="173" fillId="0" borderId="0">
      <alignment horizontal="left"/>
    </xf>
    <xf numFmtId="0" fontId="6" fillId="0" borderId="64">
      <alignment horizontal="left" vertical="top"/>
    </xf>
    <xf numFmtId="0" fontId="174" fillId="0" borderId="0">
      <alignment horizontal="left"/>
    </xf>
    <xf numFmtId="0" fontId="6" fillId="0" borderId="64">
      <alignment horizontal="left" vertical="top"/>
    </xf>
    <xf numFmtId="0" fontId="175" fillId="0" borderId="0">
      <alignment horizontal="left"/>
    </xf>
    <xf numFmtId="0" fontId="40" fillId="32" borderId="22" applyNumberFormat="0" applyFont="0" applyAlignment="0" applyProtection="0"/>
    <xf numFmtId="0" fontId="167" fillId="0" borderId="0"/>
    <xf numFmtId="0" fontId="167" fillId="0" borderId="0"/>
    <xf numFmtId="0" fontId="167" fillId="0" borderId="0"/>
    <xf numFmtId="0" fontId="167" fillId="0" borderId="0"/>
    <xf numFmtId="0" fontId="167" fillId="0" borderId="0"/>
    <xf numFmtId="0" fontId="6" fillId="0" borderId="0">
      <alignment horizontal="center"/>
    </xf>
    <xf numFmtId="0" fontId="137" fillId="0" borderId="0" applyNumberFormat="0" applyFill="0" applyBorder="0" applyAlignment="0" applyProtection="0">
      <alignment vertical="top"/>
      <protection locked="0"/>
    </xf>
    <xf numFmtId="10" fontId="40" fillId="31" borderId="44" applyNumberFormat="0" applyBorder="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50" fillId="13" borderId="57" applyNumberFormat="0" applyAlignment="0" applyProtection="0"/>
    <xf numFmtId="0" fontId="166" fillId="0" borderId="0" applyFill="0" applyBorder="0" applyProtection="0"/>
    <xf numFmtId="0" fontId="166" fillId="0" borderId="0" applyFill="0" applyBorder="0" applyProtection="0"/>
    <xf numFmtId="0" fontId="166" fillId="0" borderId="0" applyFill="0" applyBorder="0" applyProtection="0"/>
    <xf numFmtId="0" fontId="166" fillId="0" borderId="0" applyFill="0" applyBorder="0" applyProtection="0"/>
    <xf numFmtId="0" fontId="6" fillId="0" borderId="0"/>
    <xf numFmtId="0" fontId="6" fillId="0" borderId="0"/>
    <xf numFmtId="210" fontId="162" fillId="0" borderId="0" applyFont="0" applyFill="0" applyBorder="0" applyAlignment="0" applyProtection="0"/>
    <xf numFmtId="211" fontId="162" fillId="0" borderId="0" applyFont="0" applyFill="0" applyBorder="0" applyAlignment="0" applyProtection="0"/>
    <xf numFmtId="191" fontId="32" fillId="0" borderId="0" applyFont="0" applyFill="0" applyBorder="0" applyAlignment="0" applyProtection="0"/>
    <xf numFmtId="192" fontId="32" fillId="0" borderId="0" applyFont="0" applyFill="0" applyBorder="0" applyAlignment="0" applyProtection="0"/>
    <xf numFmtId="0" fontId="176" fillId="0" borderId="0" applyNumberFormat="0">
      <alignment horizontal="left"/>
    </xf>
    <xf numFmtId="0" fontId="162" fillId="0" borderId="0" applyFont="0" applyFill="0" applyBorder="0" applyAlignment="0" applyProtection="0">
      <alignment horizontal="right"/>
    </xf>
    <xf numFmtId="212" fontId="162" fillId="0" borderId="0" applyFont="0" applyFill="0" applyBorder="0" applyAlignment="0" applyProtection="0">
      <alignment horizontal="right"/>
    </xf>
    <xf numFmtId="37" fontId="177" fillId="0" borderId="0"/>
    <xf numFmtId="3" fontId="178" fillId="0" borderId="0"/>
    <xf numFmtId="0" fontId="162" fillId="0" borderId="0" applyFill="0" applyBorder="0" applyProtection="0"/>
    <xf numFmtId="0" fontId="6" fillId="0" borderId="0"/>
    <xf numFmtId="176" fontId="36" fillId="51" borderId="26">
      <alignment wrapText="1"/>
    </xf>
    <xf numFmtId="0" fontId="6" fillId="0" borderId="0"/>
    <xf numFmtId="0" fontId="22" fillId="0" borderId="0"/>
    <xf numFmtId="0" fontId="6" fillId="0" borderId="0"/>
    <xf numFmtId="0" fontId="6" fillId="0" borderId="0"/>
    <xf numFmtId="0" fontId="6" fillId="0" borderId="0"/>
    <xf numFmtId="0" fontId="6" fillId="0" borderId="0"/>
    <xf numFmtId="0" fontId="6" fillId="0" borderId="0"/>
    <xf numFmtId="193" fontId="6" fillId="0" borderId="0" applyFill="0" applyBorder="0" applyAlignment="0" applyProtection="0"/>
    <xf numFmtId="193" fontId="6" fillId="0" borderId="0" applyFill="0" applyBorder="0" applyAlignment="0" applyProtection="0"/>
    <xf numFmtId="193" fontId="6" fillId="0" borderId="0" applyFill="0" applyBorder="0" applyAlignment="0" applyProtection="0"/>
    <xf numFmtId="0" fontId="32" fillId="0" borderId="0"/>
    <xf numFmtId="0" fontId="22" fillId="0" borderId="0"/>
    <xf numFmtId="0" fontId="22" fillId="0" borderId="0"/>
    <xf numFmtId="0" fontId="6" fillId="0" borderId="0"/>
    <xf numFmtId="0" fontId="6" fillId="0" borderId="0"/>
    <xf numFmtId="0" fontId="6" fillId="0" borderId="0">
      <alignment vertical="top"/>
    </xf>
    <xf numFmtId="0" fontId="22" fillId="32" borderId="58" applyNumberFormat="0" applyFont="0" applyAlignment="0" applyProtection="0"/>
    <xf numFmtId="0" fontId="6" fillId="32" borderId="58" applyNumberFormat="0" applyFont="0" applyAlignment="0" applyProtection="0"/>
    <xf numFmtId="0" fontId="179" fillId="0" borderId="0"/>
    <xf numFmtId="0" fontId="167" fillId="0" borderId="0"/>
    <xf numFmtId="0" fontId="167" fillId="0" borderId="0"/>
    <xf numFmtId="1" fontId="180" fillId="0" borderId="0" applyProtection="0">
      <alignment horizontal="right" vertical="center"/>
    </xf>
    <xf numFmtId="9" fontId="6" fillId="0" borderId="0" applyFont="0" applyFill="0" applyBorder="0" applyAlignment="0" applyProtection="0"/>
    <xf numFmtId="9" fontId="181" fillId="0" borderId="0" applyFont="0" applyFill="0" applyBorder="0" applyAlignment="0" applyProtection="0"/>
    <xf numFmtId="9" fontId="129" fillId="0" borderId="0" applyFont="0" applyFill="0" applyBorder="0" applyAlignment="0" applyProtection="0"/>
    <xf numFmtId="9" fontId="129" fillId="0" borderId="0" applyFont="0" applyFill="0" applyBorder="0" applyAlignment="0" applyProtection="0"/>
    <xf numFmtId="9" fontId="129" fillId="0" borderId="0" applyFont="0" applyFill="0" applyBorder="0" applyAlignment="0" applyProtection="0"/>
    <xf numFmtId="213" fontId="166" fillId="0" borderId="0" applyFont="0" applyFill="0" applyBorder="0" applyAlignment="0" applyProtection="0"/>
    <xf numFmtId="3" fontId="40" fillId="97" borderId="65"/>
    <xf numFmtId="3" fontId="40" fillId="0" borderId="65" applyFont="0" applyFill="0" applyBorder="0" applyAlignment="0" applyProtection="0">
      <protection locked="0"/>
    </xf>
    <xf numFmtId="0" fontId="179" fillId="0" borderId="0"/>
    <xf numFmtId="0" fontId="6" fillId="0" borderId="0"/>
    <xf numFmtId="0" fontId="40" fillId="0" borderId="0"/>
    <xf numFmtId="214" fontId="182" fillId="0" borderId="0"/>
    <xf numFmtId="0" fontId="6" fillId="0" borderId="0"/>
    <xf numFmtId="0" fontId="70" fillId="35" borderId="44" applyNumberFormat="0" applyAlignment="0" applyProtection="0">
      <alignment horizontal="center" vertical="center"/>
    </xf>
    <xf numFmtId="0" fontId="40" fillId="0" borderId="0"/>
    <xf numFmtId="0" fontId="6" fillId="0" borderId="0"/>
    <xf numFmtId="4" fontId="32" fillId="36" borderId="59" applyNumberFormat="0" applyProtection="0">
      <alignment vertical="center"/>
    </xf>
    <xf numFmtId="4" fontId="71" fillId="36" borderId="59" applyNumberFormat="0" applyProtection="0">
      <alignment vertical="center"/>
    </xf>
    <xf numFmtId="4" fontId="32" fillId="36" borderId="59" applyNumberFormat="0" applyProtection="0">
      <alignment horizontal="left" vertical="center" indent="1"/>
    </xf>
    <xf numFmtId="4" fontId="32" fillId="36" borderId="59" applyNumberFormat="0" applyProtection="0">
      <alignment horizontal="left" vertical="center" indent="1"/>
    </xf>
    <xf numFmtId="0" fontId="6" fillId="37" borderId="59" applyNumberFormat="0" applyProtection="0">
      <alignment horizontal="left" vertical="center" indent="1"/>
    </xf>
    <xf numFmtId="4" fontId="32" fillId="38" borderId="59" applyNumberFormat="0" applyProtection="0">
      <alignment horizontal="right" vertical="center"/>
    </xf>
    <xf numFmtId="4" fontId="32" fillId="39" borderId="59" applyNumberFormat="0" applyProtection="0">
      <alignment horizontal="right" vertical="center"/>
    </xf>
    <xf numFmtId="4" fontId="32" fillId="40" borderId="59" applyNumberFormat="0" applyProtection="0">
      <alignment horizontal="right" vertical="center"/>
    </xf>
    <xf numFmtId="4" fontId="32" fillId="41" borderId="59" applyNumberFormat="0" applyProtection="0">
      <alignment horizontal="right" vertical="center"/>
    </xf>
    <xf numFmtId="4" fontId="32" fillId="42" borderId="59" applyNumberFormat="0" applyProtection="0">
      <alignment horizontal="right" vertical="center"/>
    </xf>
    <xf numFmtId="4" fontId="32" fillId="43" borderId="59" applyNumberFormat="0" applyProtection="0">
      <alignment horizontal="right" vertical="center"/>
    </xf>
    <xf numFmtId="4" fontId="32" fillId="44" borderId="59" applyNumberFormat="0" applyProtection="0">
      <alignment horizontal="right" vertical="center"/>
    </xf>
    <xf numFmtId="4" fontId="32" fillId="45" borderId="59" applyNumberFormat="0" applyProtection="0">
      <alignment horizontal="right" vertical="center"/>
    </xf>
    <xf numFmtId="4" fontId="32" fillId="46" borderId="59" applyNumberFormat="0" applyProtection="0">
      <alignment horizontal="right" vertical="center"/>
    </xf>
    <xf numFmtId="4" fontId="72" fillId="47" borderId="59" applyNumberFormat="0" applyProtection="0">
      <alignment horizontal="left" vertical="center" indent="1"/>
    </xf>
    <xf numFmtId="0" fontId="40" fillId="32" borderId="22" applyNumberFormat="0" applyFont="0" applyAlignment="0" applyProtection="0"/>
    <xf numFmtId="0" fontId="6" fillId="37" borderId="59" applyNumberFormat="0" applyProtection="0">
      <alignment horizontal="left" vertical="center" indent="1"/>
    </xf>
    <xf numFmtId="4" fontId="32" fillId="48" borderId="59" applyNumberFormat="0" applyProtection="0">
      <alignment horizontal="left" vertical="center" indent="1"/>
    </xf>
    <xf numFmtId="4" fontId="32" fillId="50" borderId="59" applyNumberFormat="0" applyProtection="0">
      <alignment horizontal="left" vertical="center" indent="1"/>
    </xf>
    <xf numFmtId="0" fontId="6" fillId="50" borderId="59" applyNumberFormat="0" applyProtection="0">
      <alignment horizontal="left" vertical="center" indent="1"/>
    </xf>
    <xf numFmtId="0" fontId="6" fillId="50" borderId="59" applyNumberFormat="0" applyProtection="0">
      <alignment horizontal="left" vertical="center" indent="1"/>
    </xf>
    <xf numFmtId="0" fontId="6" fillId="35" borderId="59" applyNumberFormat="0" applyProtection="0">
      <alignment horizontal="left" vertical="center" indent="1"/>
    </xf>
    <xf numFmtId="0" fontId="6" fillId="35" borderId="59" applyNumberFormat="0" applyProtection="0">
      <alignment horizontal="left" vertical="center" indent="1"/>
    </xf>
    <xf numFmtId="0" fontId="6" fillId="29" borderId="59" applyNumberFormat="0" applyProtection="0">
      <alignment horizontal="left" vertical="center" indent="1"/>
    </xf>
    <xf numFmtId="0" fontId="6" fillId="29" borderId="59" applyNumberFormat="0" applyProtection="0">
      <alignment horizontal="left" vertical="center" indent="1"/>
    </xf>
    <xf numFmtId="0" fontId="6" fillId="37" borderId="59" applyNumberFormat="0" applyProtection="0">
      <alignment horizontal="left" vertical="center" indent="1"/>
    </xf>
    <xf numFmtId="0" fontId="6" fillId="37" borderId="59" applyNumberFormat="0" applyProtection="0">
      <alignment horizontal="left" vertical="center" indent="1"/>
    </xf>
    <xf numFmtId="4" fontId="32" fillId="31" borderId="59" applyNumberFormat="0" applyProtection="0">
      <alignment vertical="center"/>
    </xf>
    <xf numFmtId="4" fontId="71" fillId="31" borderId="59" applyNumberFormat="0" applyProtection="0">
      <alignment vertical="center"/>
    </xf>
    <xf numFmtId="4" fontId="32" fillId="31" borderId="59" applyNumberFormat="0" applyProtection="0">
      <alignment horizontal="left" vertical="center" indent="1"/>
    </xf>
    <xf numFmtId="4" fontId="32" fillId="31" borderId="59" applyNumberFormat="0" applyProtection="0">
      <alignment horizontal="left" vertical="center" indent="1"/>
    </xf>
    <xf numFmtId="4" fontId="32" fillId="48" borderId="59" applyNumberFormat="0" applyProtection="0">
      <alignment horizontal="right" vertical="center"/>
    </xf>
    <xf numFmtId="4" fontId="71" fillId="48" borderId="59" applyNumberFormat="0" applyProtection="0">
      <alignment horizontal="right" vertical="center"/>
    </xf>
    <xf numFmtId="0" fontId="6" fillId="37" borderId="59" applyNumberFormat="0" applyProtection="0">
      <alignment horizontal="left" vertical="center" indent="1"/>
    </xf>
    <xf numFmtId="0" fontId="6" fillId="37" borderId="59" applyNumberFormat="0" applyProtection="0">
      <alignment horizontal="left" vertical="center" indent="1"/>
    </xf>
    <xf numFmtId="4" fontId="75" fillId="48" borderId="59" applyNumberFormat="0" applyProtection="0">
      <alignment horizontal="right" vertical="center"/>
    </xf>
    <xf numFmtId="0" fontId="6" fillId="0" borderId="32"/>
    <xf numFmtId="0" fontId="154" fillId="0" borderId="0"/>
    <xf numFmtId="0" fontId="6" fillId="0" borderId="0">
      <alignment vertical="top"/>
    </xf>
    <xf numFmtId="0" fontId="6" fillId="0" borderId="33"/>
    <xf numFmtId="0" fontId="183" fillId="0" borderId="0" applyBorder="0" applyProtection="0">
      <alignment vertical="center"/>
    </xf>
    <xf numFmtId="0" fontId="183" fillId="0" borderId="54" applyBorder="0" applyProtection="0">
      <alignment horizontal="right" vertical="center"/>
    </xf>
    <xf numFmtId="0" fontId="184" fillId="98" borderId="0" applyBorder="0" applyProtection="0">
      <alignment horizontal="centerContinuous" vertical="center"/>
    </xf>
    <xf numFmtId="0" fontId="184" fillId="99" borderId="54" applyBorder="0" applyProtection="0">
      <alignment horizontal="centerContinuous" vertical="center"/>
    </xf>
    <xf numFmtId="0" fontId="185" fillId="0" borderId="0" applyNumberFormat="0" applyFill="0" applyBorder="0" applyProtection="0">
      <alignment horizontal="left"/>
    </xf>
    <xf numFmtId="0" fontId="36" fillId="0" borderId="0" applyBorder="0" applyProtection="0">
      <alignment horizontal="left"/>
    </xf>
    <xf numFmtId="0" fontId="6" fillId="0" borderId="0"/>
    <xf numFmtId="0" fontId="169" fillId="0" borderId="0" applyNumberFormat="0" applyFill="0" applyBorder="0" applyProtection="0">
      <alignment horizontal="left"/>
    </xf>
    <xf numFmtId="0" fontId="174" fillId="0" borderId="0" applyNumberFormat="0" applyFill="0" applyBorder="0" applyProtection="0"/>
    <xf numFmtId="0" fontId="186" fillId="0" borderId="0" applyFill="0" applyBorder="0" applyProtection="0">
      <alignment horizontal="left"/>
    </xf>
    <xf numFmtId="0" fontId="40" fillId="0" borderId="64" applyFill="0" applyBorder="0" applyProtection="0">
      <alignment horizontal="left" vertical="top"/>
    </xf>
    <xf numFmtId="215" fontId="6" fillId="0" borderId="0" applyNumberFormat="0" applyFill="0" applyBorder="0">
      <alignment horizontal="left"/>
    </xf>
    <xf numFmtId="215" fontId="6" fillId="0" borderId="0" applyNumberFormat="0" applyFill="0" applyBorder="0">
      <alignment horizontal="right"/>
    </xf>
    <xf numFmtId="0" fontId="6" fillId="0" borderId="0"/>
    <xf numFmtId="0" fontId="187" fillId="0" borderId="0" applyNumberFormat="0" applyFill="0" applyBorder="0" applyProtection="0"/>
    <xf numFmtId="0" fontId="187" fillId="0" borderId="0" applyNumberFormat="0" applyFill="0" applyBorder="0" applyProtection="0"/>
    <xf numFmtId="0" fontId="6" fillId="0" borderId="0" applyNumberFormat="0" applyFill="0" applyBorder="0" applyProtection="0"/>
    <xf numFmtId="0" fontId="6" fillId="0" borderId="0" applyNumberFormat="0" applyFill="0" applyBorder="0" applyProtection="0"/>
    <xf numFmtId="0" fontId="187" fillId="0" borderId="0" applyNumberFormat="0" applyFill="0" applyBorder="0" applyProtection="0"/>
    <xf numFmtId="0" fontId="187" fillId="0" borderId="0"/>
    <xf numFmtId="0" fontId="54" fillId="0" borderId="0" applyNumberFormat="0" applyFill="0" applyBorder="0" applyAlignment="0" applyProtection="0"/>
    <xf numFmtId="0" fontId="54" fillId="0" borderId="0" applyNumberFormat="0" applyFill="0" applyBorder="0" applyAlignment="0" applyProtection="0"/>
    <xf numFmtId="0" fontId="6" fillId="0" borderId="0"/>
    <xf numFmtId="0" fontId="187" fillId="0" borderId="0"/>
    <xf numFmtId="0" fontId="188" fillId="0" borderId="0" applyFill="0" applyBorder="0" applyProtection="0"/>
    <xf numFmtId="0" fontId="188" fillId="0" borderId="0" applyFill="0" applyBorder="0" applyProtection="0"/>
    <xf numFmtId="0" fontId="6" fillId="0" borderId="0"/>
    <xf numFmtId="0" fontId="179" fillId="0" borderId="0"/>
    <xf numFmtId="0" fontId="6" fillId="0" borderId="0"/>
    <xf numFmtId="0" fontId="6" fillId="0" borderId="0"/>
    <xf numFmtId="0" fontId="6" fillId="0" borderId="0">
      <alignment horizontal="center" textRotation="180"/>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2" fillId="0" borderId="0"/>
    <xf numFmtId="0" fontId="22" fillId="0" borderId="0"/>
    <xf numFmtId="0" fontId="6" fillId="0" borderId="0"/>
    <xf numFmtId="0" fontId="189" fillId="0" borderId="0"/>
    <xf numFmtId="0" fontId="6" fillId="0" borderId="0"/>
    <xf numFmtId="0" fontId="6" fillId="0" borderId="0"/>
    <xf numFmtId="0" fontId="6" fillId="0" borderId="0"/>
    <xf numFmtId="9" fontId="79" fillId="0" borderId="0" applyFont="0" applyFill="0" applyBorder="0" applyAlignment="0" applyProtection="0"/>
    <xf numFmtId="0" fontId="6" fillId="0" borderId="0"/>
    <xf numFmtId="0" fontId="79" fillId="0" borderId="0"/>
    <xf numFmtId="0" fontId="24" fillId="0" borderId="0"/>
    <xf numFmtId="0" fontId="32" fillId="0" borderId="0">
      <alignment vertical="top"/>
    </xf>
    <xf numFmtId="43" fontId="24" fillId="0" borderId="0" applyFont="0" applyFill="0" applyBorder="0" applyAlignment="0" applyProtection="0"/>
    <xf numFmtId="0" fontId="190" fillId="0" borderId="0" applyNumberFormat="0" applyFill="0" applyBorder="0" applyAlignment="0" applyProtection="0">
      <alignment vertical="top"/>
      <protection locked="0"/>
    </xf>
    <xf numFmtId="9" fontId="24" fillId="0" borderId="0" applyFont="0" applyFill="0" applyBorder="0" applyAlignment="0" applyProtection="0"/>
    <xf numFmtId="0" fontId="32" fillId="0" borderId="0">
      <alignment vertical="top"/>
    </xf>
    <xf numFmtId="0" fontId="191" fillId="100" borderId="66"/>
    <xf numFmtId="0" fontId="24" fillId="0" borderId="0"/>
    <xf numFmtId="43" fontId="24" fillId="0" borderId="0" applyFont="0" applyFill="0" applyBorder="0" applyAlignment="0" applyProtection="0"/>
    <xf numFmtId="9" fontId="24" fillId="0" borderId="0" applyFont="0" applyFill="0" applyBorder="0" applyAlignment="0" applyProtection="0"/>
    <xf numFmtId="43" fontId="6" fillId="0" borderId="0" applyFont="0" applyFill="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51" fillId="74" borderId="0" applyNumberFormat="0" applyBorder="0" applyAlignment="0" applyProtection="0"/>
    <xf numFmtId="0" fontId="151" fillId="78" borderId="0" applyNumberFormat="0" applyBorder="0" applyAlignment="0" applyProtection="0"/>
    <xf numFmtId="0" fontId="151" fillId="82" borderId="0" applyNumberFormat="0" applyBorder="0" applyAlignment="0" applyProtection="0"/>
    <xf numFmtId="0" fontId="151" fillId="86" borderId="0" applyNumberFormat="0" applyBorder="0" applyAlignment="0" applyProtection="0"/>
    <xf numFmtId="0" fontId="151" fillId="90" borderId="0" applyNumberFormat="0" applyBorder="0" applyAlignment="0" applyProtection="0"/>
    <xf numFmtId="0" fontId="151" fillId="94" borderId="0" applyNumberFormat="0" applyBorder="0" applyAlignment="0" applyProtection="0"/>
    <xf numFmtId="0" fontId="151" fillId="71" borderId="0" applyNumberFormat="0" applyBorder="0" applyAlignment="0" applyProtection="0"/>
    <xf numFmtId="0" fontId="151" fillId="75" borderId="0" applyNumberFormat="0" applyBorder="0" applyAlignment="0" applyProtection="0"/>
    <xf numFmtId="0" fontId="151" fillId="79" borderId="0" applyNumberFormat="0" applyBorder="0" applyAlignment="0" applyProtection="0"/>
    <xf numFmtId="0" fontId="151" fillId="83" borderId="0" applyNumberFormat="0" applyBorder="0" applyAlignment="0" applyProtection="0"/>
    <xf numFmtId="0" fontId="151" fillId="87" borderId="0" applyNumberFormat="0" applyBorder="0" applyAlignment="0" applyProtection="0"/>
    <xf numFmtId="0" fontId="151" fillId="91" borderId="0" applyNumberFormat="0" applyBorder="0" applyAlignment="0" applyProtection="0"/>
    <xf numFmtId="0" fontId="144" fillId="66" borderId="0" applyNumberFormat="0" applyBorder="0" applyAlignment="0" applyProtection="0"/>
    <xf numFmtId="0" fontId="147" fillId="69" borderId="48" applyNumberFormat="0" applyAlignment="0" applyProtection="0"/>
    <xf numFmtId="0" fontId="149" fillId="70" borderId="51" applyNumberFormat="0" applyAlignment="0" applyProtection="0"/>
    <xf numFmtId="43" fontId="79" fillId="0" borderId="0" applyFont="0" applyFill="0" applyBorder="0" applyAlignment="0" applyProtection="0"/>
    <xf numFmtId="43" fontId="7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1" fillId="0" borderId="0" applyFont="0" applyFill="0" applyBorder="0" applyAlignment="0" applyProtection="0"/>
    <xf numFmtId="44" fontId="192" fillId="0" borderId="0" applyFont="0" applyFill="0" applyBorder="0" applyAlignment="0" applyProtection="0"/>
    <xf numFmtId="0" fontId="150" fillId="0" borderId="0" applyNumberFormat="0" applyFill="0" applyBorder="0" applyAlignment="0" applyProtection="0"/>
    <xf numFmtId="0" fontId="143" fillId="65" borderId="0" applyNumberFormat="0" applyBorder="0" applyAlignment="0" applyProtection="0"/>
    <xf numFmtId="0" fontId="140" fillId="0" borderId="45" applyNumberFormat="0" applyFill="0" applyAlignment="0" applyProtection="0"/>
    <xf numFmtId="0" fontId="59" fillId="0" borderId="0">
      <alignment vertical="top" wrapText="1"/>
    </xf>
    <xf numFmtId="170" fontId="60" fillId="0" borderId="0" applyNumberFormat="0" applyFill="0" applyAlignment="0" applyProtection="0"/>
    <xf numFmtId="0" fontId="141" fillId="0" borderId="46" applyNumberFormat="0" applyFill="0" applyAlignment="0" applyProtection="0"/>
    <xf numFmtId="170" fontId="60" fillId="0" borderId="0" applyNumberFormat="0" applyFill="0" applyAlignment="0" applyProtection="0"/>
    <xf numFmtId="170" fontId="61" fillId="0" borderId="0" applyNumberFormat="0" applyFill="0" applyAlignment="0" applyProtection="0"/>
    <xf numFmtId="0" fontId="142" fillId="0" borderId="47" applyNumberFormat="0" applyFill="0" applyAlignment="0" applyProtection="0"/>
    <xf numFmtId="170" fontId="61" fillId="0" borderId="0" applyNumberFormat="0" applyFill="0" applyAlignment="0" applyProtection="0"/>
    <xf numFmtId="170" fontId="62" fillId="0" borderId="0" applyNumberFormat="0" applyFill="0" applyAlignment="0" applyProtection="0"/>
    <xf numFmtId="0" fontId="142" fillId="0" borderId="0" applyNumberFormat="0" applyFill="0" applyBorder="0" applyAlignment="0" applyProtection="0"/>
    <xf numFmtId="170" fontId="62" fillId="0" borderId="0" applyNumberFormat="0" applyFill="0" applyAlignment="0" applyProtection="0"/>
    <xf numFmtId="0" fontId="145" fillId="68" borderId="48" applyNumberFormat="0" applyAlignment="0" applyProtection="0"/>
    <xf numFmtId="0" fontId="148" fillId="0" borderId="50" applyNumberFormat="0" applyFill="0" applyAlignment="0" applyProtection="0"/>
    <xf numFmtId="0" fontId="6" fillId="0" borderId="0"/>
    <xf numFmtId="0" fontId="193" fillId="67" borderId="0" applyNumberFormat="0" applyBorder="0" applyAlignment="0" applyProtection="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6" fillId="0" borderId="0">
      <alignment vertical="top"/>
    </xf>
    <xf numFmtId="0" fontId="79" fillId="0" borderId="0"/>
    <xf numFmtId="0" fontId="6" fillId="0" borderId="0">
      <alignment vertical="top"/>
    </xf>
    <xf numFmtId="0" fontId="79" fillId="0" borderId="0"/>
    <xf numFmtId="0" fontId="152" fillId="0" borderId="0"/>
    <xf numFmtId="0" fontId="6" fillId="0" borderId="0">
      <alignment vertical="top"/>
    </xf>
    <xf numFmtId="0" fontId="6" fillId="0" borderId="0">
      <alignment vertical="top"/>
    </xf>
    <xf numFmtId="0" fontId="6" fillId="0" borderId="0"/>
    <xf numFmtId="0" fontId="6" fillId="0" borderId="0"/>
    <xf numFmtId="0" fontId="6" fillId="0" borderId="0"/>
    <xf numFmtId="0" fontId="6" fillId="0" borderId="0"/>
    <xf numFmtId="0" fontId="6" fillId="0" borderId="0"/>
    <xf numFmtId="0" fontId="6" fillId="0" borderId="0"/>
    <xf numFmtId="0" fontId="1" fillId="53" borderId="29" applyNumberFormat="0" applyFont="0" applyAlignment="0" applyProtection="0"/>
    <xf numFmtId="0" fontId="146" fillId="69" borderId="49"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94" fillId="0" borderId="0" applyNumberFormat="0" applyFill="0" applyBorder="0" applyAlignment="0" applyProtection="0"/>
    <xf numFmtId="0" fontId="77" fillId="0" borderId="0" applyNumberFormat="0" applyFill="0" applyBorder="0" applyProtection="0">
      <alignment horizontal="left" vertical="center" indent="10"/>
    </xf>
    <xf numFmtId="0" fontId="2" fillId="0" borderId="52" applyNumberFormat="0" applyFill="0" applyAlignment="0" applyProtection="0"/>
    <xf numFmtId="0" fontId="88" fillId="0" borderId="0" applyNumberFormat="0" applyFill="0" applyBorder="0" applyAlignment="0" applyProtection="0"/>
    <xf numFmtId="0" fontId="40" fillId="0" borderId="0"/>
    <xf numFmtId="0" fontId="24" fillId="0" borderId="0"/>
    <xf numFmtId="0" fontId="24" fillId="0" borderId="0"/>
    <xf numFmtId="0" fontId="24" fillId="0" borderId="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43" fontId="1" fillId="0" borderId="0" applyFont="0" applyFill="0" applyBorder="0" applyAlignment="0" applyProtection="0"/>
    <xf numFmtId="0" fontId="79" fillId="0" borderId="0"/>
    <xf numFmtId="0" fontId="79" fillId="0" borderId="0"/>
    <xf numFmtId="9" fontId="79" fillId="0" borderId="0" applyFont="0" applyFill="0" applyBorder="0" applyAlignment="0" applyProtection="0"/>
    <xf numFmtId="0" fontId="79"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43" fontId="24" fillId="0" borderId="0" applyFont="0" applyFill="0" applyBorder="0" applyAlignment="0" applyProtection="0"/>
    <xf numFmtId="0" fontId="24" fillId="0" borderId="0"/>
    <xf numFmtId="9"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24" fillId="0" borderId="0"/>
    <xf numFmtId="9" fontId="24" fillId="0" borderId="0" applyFont="0" applyFill="0" applyBorder="0" applyAlignment="0" applyProtection="0"/>
    <xf numFmtId="9" fontId="24"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94" fontId="157" fillId="0" borderId="67" applyAlignment="0" applyProtection="0"/>
    <xf numFmtId="0" fontId="60" fillId="0" borderId="68">
      <alignment horizontal="left" vertical="center"/>
    </xf>
    <xf numFmtId="0" fontId="22" fillId="32" borderId="22" applyNumberFormat="0" applyFont="0" applyAlignment="0" applyProtection="0"/>
    <xf numFmtId="0" fontId="6" fillId="32" borderId="22" applyNumberFormat="0" applyFont="0" applyAlignment="0" applyProtection="0"/>
    <xf numFmtId="3" fontId="40" fillId="97" borderId="69"/>
    <xf numFmtId="3" fontId="40" fillId="0" borderId="69" applyFont="0" applyFill="0" applyBorder="0" applyAlignment="0" applyProtection="0">
      <protection locked="0"/>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198" fillId="0" borderId="0"/>
    <xf numFmtId="43" fontId="198" fillId="0" borderId="0" applyFont="0" applyFill="0" applyBorder="0" applyAlignment="0" applyProtection="0"/>
    <xf numFmtId="0" fontId="199" fillId="0" borderId="0"/>
    <xf numFmtId="9" fontId="198" fillId="0" borderId="0" applyFont="0" applyFill="0" applyBorder="0" applyAlignment="0" applyProtection="0"/>
    <xf numFmtId="0" fontId="198" fillId="0" borderId="0"/>
    <xf numFmtId="43" fontId="198" fillId="0" borderId="0" applyFont="0" applyFill="0" applyBorder="0" applyAlignment="0" applyProtection="0"/>
    <xf numFmtId="0" fontId="198" fillId="0" borderId="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9" fontId="198" fillId="0" borderId="0" applyFont="0" applyFill="0" applyBorder="0" applyAlignment="0" applyProtection="0"/>
    <xf numFmtId="0" fontId="198" fillId="0" borderId="0"/>
    <xf numFmtId="0" fontId="198" fillId="0" borderId="0"/>
    <xf numFmtId="0" fontId="198" fillId="0" borderId="0"/>
    <xf numFmtId="0" fontId="198" fillId="0" borderId="0"/>
    <xf numFmtId="0" fontId="198" fillId="0" borderId="0"/>
    <xf numFmtId="0" fontId="198" fillId="0" borderId="0"/>
    <xf numFmtId="0" fontId="198" fillId="0" borderId="0"/>
    <xf numFmtId="43"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43" fontId="198" fillId="0" borderId="0" applyFont="0" applyFill="0" applyBorder="0" applyAlignment="0" applyProtection="0"/>
    <xf numFmtId="0" fontId="198" fillId="0" borderId="0"/>
    <xf numFmtId="9" fontId="198" fillId="0" borderId="0" applyFont="0" applyFill="0" applyBorder="0" applyAlignment="0" applyProtection="0"/>
    <xf numFmtId="9" fontId="198" fillId="0" borderId="0" applyFont="0" applyFill="0" applyBorder="0" applyAlignment="0" applyProtection="0"/>
    <xf numFmtId="0" fontId="6" fillId="0" borderId="0"/>
    <xf numFmtId="219" fontId="203" fillId="0" borderId="0"/>
    <xf numFmtId="219" fontId="203" fillId="0" borderId="0"/>
    <xf numFmtId="0" fontId="6" fillId="0" borderId="0"/>
    <xf numFmtId="219" fontId="200" fillId="101"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240" fillId="0" borderId="0"/>
    <xf numFmtId="0" fontId="248" fillId="0" borderId="0">
      <alignment vertical="top" wrapText="1"/>
    </xf>
    <xf numFmtId="0" fontId="240" fillId="0" borderId="0"/>
    <xf numFmtId="0" fontId="50" fillId="13" borderId="13" applyNumberFormat="0" applyAlignment="0" applyProtection="0"/>
    <xf numFmtId="0" fontId="50" fillId="13" borderId="13" applyNumberFormat="0" applyAlignment="0" applyProtection="0"/>
    <xf numFmtId="0" fontId="50" fillId="13" borderId="13" applyNumberFormat="0" applyAlignment="0" applyProtection="0"/>
    <xf numFmtId="0" fontId="247" fillId="0" borderId="0"/>
    <xf numFmtId="0" fontId="50" fillId="13" borderId="13" applyNumberFormat="0" applyAlignment="0" applyProtection="0"/>
    <xf numFmtId="0" fontId="251" fillId="0" borderId="27">
      <alignment horizontal="right"/>
    </xf>
    <xf numFmtId="0" fontId="248" fillId="0" borderId="0">
      <alignment vertical="top" wrapText="1"/>
    </xf>
    <xf numFmtId="176" fontId="250" fillId="51" borderId="119">
      <alignment wrapText="1"/>
    </xf>
    <xf numFmtId="0" fontId="43" fillId="27" borderId="116" applyNumberFormat="0" applyAlignment="0" applyProtection="0"/>
    <xf numFmtId="0" fontId="240" fillId="0" borderId="0"/>
    <xf numFmtId="0" fontId="248" fillId="0" borderId="0">
      <alignment vertical="top" wrapText="1"/>
    </xf>
    <xf numFmtId="0" fontId="240" fillId="0" borderId="0"/>
    <xf numFmtId="0" fontId="50" fillId="13" borderId="13" applyNumberFormat="0" applyAlignment="0" applyProtection="0"/>
    <xf numFmtId="0" fontId="50" fillId="13" borderId="116" applyNumberFormat="0" applyAlignment="0" applyProtection="0"/>
    <xf numFmtId="0" fontId="6" fillId="0" borderId="0"/>
    <xf numFmtId="0" fontId="40" fillId="32" borderId="117" applyNumberFormat="0" applyFont="0" applyAlignment="0" applyProtection="0"/>
    <xf numFmtId="0" fontId="53" fillId="27" borderId="118" applyNumberFormat="0" applyAlignment="0" applyProtection="0"/>
    <xf numFmtId="0" fontId="50" fillId="13" borderId="116" applyNumberFormat="0" applyAlignment="0" applyProtection="0"/>
    <xf numFmtId="0" fontId="240" fillId="0" borderId="0"/>
    <xf numFmtId="0" fontId="50" fillId="13" borderId="13" applyNumberFormat="0" applyAlignment="0" applyProtection="0"/>
    <xf numFmtId="0" fontId="50" fillId="13" borderId="13" applyNumberFormat="0" applyAlignment="0" applyProtection="0"/>
    <xf numFmtId="175" fontId="36" fillId="51" borderId="119">
      <alignment wrapText="1"/>
    </xf>
    <xf numFmtId="176" fontId="36" fillId="51" borderId="119">
      <alignment wrapText="1"/>
    </xf>
    <xf numFmtId="177" fontId="36" fillId="51" borderId="119">
      <alignment wrapText="1"/>
    </xf>
    <xf numFmtId="0" fontId="55" fillId="0" borderId="120" applyNumberFormat="0" applyFill="0" applyAlignment="0" applyProtection="0"/>
    <xf numFmtId="173" fontId="240" fillId="0" borderId="0">
      <alignment wrapText="1"/>
      <protection locked="0"/>
    </xf>
    <xf numFmtId="181" fontId="34" fillId="95" borderId="44"/>
    <xf numFmtId="0" fontId="50" fillId="13" borderId="13" applyNumberFormat="0" applyAlignment="0" applyProtection="0"/>
    <xf numFmtId="43" fontId="6" fillId="0" borderId="0" applyFont="0" applyFill="0" applyBorder="0" applyAlignment="0" applyProtection="0"/>
    <xf numFmtId="0" fontId="249" fillId="0" borderId="0">
      <alignment wrapText="1"/>
    </xf>
    <xf numFmtId="0" fontId="240" fillId="32" borderId="117" applyNumberFormat="0" applyFont="0" applyAlignment="0" applyProtection="0"/>
    <xf numFmtId="0" fontId="253" fillId="0" borderId="0"/>
    <xf numFmtId="0" fontId="43" fillId="27" borderId="116" applyNumberFormat="0" applyAlignment="0" applyProtection="0"/>
    <xf numFmtId="0" fontId="240" fillId="0" borderId="0"/>
    <xf numFmtId="0" fontId="252" fillId="0" borderId="0"/>
    <xf numFmtId="0" fontId="6" fillId="0" borderId="0"/>
    <xf numFmtId="0" fontId="50" fillId="13" borderId="116" applyNumberFormat="0" applyAlignment="0" applyProtection="0"/>
    <xf numFmtId="0" fontId="250" fillId="51" borderId="0">
      <alignment horizontal="right" vertical="top" wrapText="1"/>
    </xf>
    <xf numFmtId="0" fontId="40" fillId="32" borderId="117" applyNumberFormat="0" applyFont="0" applyAlignment="0" applyProtection="0"/>
    <xf numFmtId="0" fontId="53" fillId="27" borderId="118" applyNumberFormat="0" applyAlignment="0" applyProtection="0"/>
    <xf numFmtId="0" fontId="50" fillId="13" borderId="13" applyNumberFormat="0" applyAlignment="0" applyProtection="0"/>
    <xf numFmtId="0" fontId="240" fillId="0" borderId="0"/>
    <xf numFmtId="0" fontId="247" fillId="0" borderId="0"/>
    <xf numFmtId="0" fontId="50" fillId="13" borderId="13" applyNumberFormat="0" applyAlignment="0" applyProtection="0"/>
    <xf numFmtId="177" fontId="250" fillId="51" borderId="119">
      <alignment wrapText="1"/>
    </xf>
    <xf numFmtId="0" fontId="50" fillId="13" borderId="13" applyNumberFormat="0" applyAlignment="0" applyProtection="0"/>
    <xf numFmtId="175" fontId="36" fillId="51" borderId="119">
      <alignment wrapText="1"/>
    </xf>
    <xf numFmtId="176" fontId="36" fillId="51" borderId="119">
      <alignment wrapText="1"/>
    </xf>
    <xf numFmtId="176" fontId="36" fillId="51" borderId="119">
      <alignment wrapText="1"/>
    </xf>
    <xf numFmtId="177" fontId="36" fillId="51" borderId="119">
      <alignment wrapText="1"/>
    </xf>
    <xf numFmtId="0" fontId="240" fillId="0" borderId="0"/>
    <xf numFmtId="0" fontId="240" fillId="0" borderId="0"/>
    <xf numFmtId="0" fontId="240" fillId="0" borderId="0"/>
    <xf numFmtId="0" fontId="55" fillId="0" borderId="120" applyNumberFormat="0" applyFill="0" applyAlignment="0" applyProtection="0"/>
    <xf numFmtId="0" fontId="36" fillId="51" borderId="0">
      <alignment horizontal="right" vertical="top" wrapText="1"/>
    </xf>
    <xf numFmtId="0" fontId="40" fillId="0" borderId="0"/>
    <xf numFmtId="0" fontId="6" fillId="0" borderId="0"/>
    <xf numFmtId="43" fontId="6" fillId="0" borderId="0" applyFont="0" applyFill="0" applyBorder="0" applyAlignment="0" applyProtection="0"/>
    <xf numFmtId="0" fontId="6" fillId="0" borderId="0"/>
    <xf numFmtId="0" fontId="50" fillId="13" borderId="13" applyNumberFormat="0" applyAlignment="0" applyProtection="0"/>
    <xf numFmtId="173" fontId="240" fillId="0" borderId="0">
      <alignment wrapText="1"/>
      <protection locked="0"/>
    </xf>
    <xf numFmtId="0" fontId="240" fillId="0" borderId="0"/>
    <xf numFmtId="0" fontId="240" fillId="0" borderId="0"/>
    <xf numFmtId="0" fontId="246" fillId="0" borderId="0" applyNumberFormat="0" applyFill="0" applyBorder="0" applyAlignment="0" applyProtection="0"/>
    <xf numFmtId="0" fontId="50" fillId="13" borderId="13" applyNumberFormat="0" applyAlignment="0" applyProtection="0"/>
    <xf numFmtId="0" fontId="6" fillId="0" borderId="0"/>
    <xf numFmtId="172" fontId="240" fillId="0" borderId="0">
      <alignment wrapText="1"/>
      <protection locked="0"/>
    </xf>
    <xf numFmtId="0" fontId="251" fillId="0" borderId="0"/>
    <xf numFmtId="174" fontId="240" fillId="0" borderId="0">
      <alignment wrapText="1"/>
      <protection locked="0"/>
    </xf>
    <xf numFmtId="175" fontId="250" fillId="51" borderId="119">
      <alignment wrapText="1"/>
    </xf>
    <xf numFmtId="0" fontId="240" fillId="0" borderId="0"/>
    <xf numFmtId="0" fontId="247" fillId="0" borderId="0"/>
    <xf numFmtId="0" fontId="240" fillId="0" borderId="0"/>
    <xf numFmtId="0" fontId="6" fillId="0" borderId="0"/>
    <xf numFmtId="173" fontId="240" fillId="0" borderId="0">
      <alignment wrapText="1"/>
      <protection locked="0"/>
    </xf>
    <xf numFmtId="0" fontId="6" fillId="0" borderId="0"/>
    <xf numFmtId="0" fontId="24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5"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94" fillId="0" borderId="0"/>
    <xf numFmtId="0" fontId="274" fillId="0" borderId="0" applyNumberFormat="0" applyFill="0" applyBorder="0" applyProtection="0">
      <alignment horizontal="left" vertical="center" indent="10"/>
    </xf>
    <xf numFmtId="0" fontId="50" fillId="13" borderId="144" applyNumberFormat="0" applyAlignment="0" applyProtection="0"/>
    <xf numFmtId="0" fontId="267" fillId="0" borderId="133" applyNumberFormat="0" applyFill="0" applyAlignment="0" applyProtection="0"/>
    <xf numFmtId="0" fontId="268" fillId="0" borderId="134" applyNumberFormat="0" applyFill="0" applyAlignment="0" applyProtection="0"/>
    <xf numFmtId="0" fontId="268" fillId="0" borderId="0" applyNumberFormat="0" applyFill="0" applyBorder="0" applyAlignment="0" applyProtection="0"/>
    <xf numFmtId="0" fontId="266" fillId="127" borderId="0" applyNumberFormat="0" applyBorder="0" applyAlignment="0" applyProtection="0"/>
    <xf numFmtId="0" fontId="262" fillId="126" borderId="0" applyNumberFormat="0" applyBorder="0" applyAlignment="0" applyProtection="0"/>
    <xf numFmtId="0" fontId="271" fillId="145" borderId="0" applyNumberFormat="0" applyBorder="0" applyAlignment="0" applyProtection="0"/>
    <xf numFmtId="0" fontId="269" fillId="130" borderId="131" applyNumberFormat="0" applyAlignment="0" applyProtection="0"/>
    <xf numFmtId="0" fontId="272" fillId="143" borderId="137" applyNumberFormat="0" applyAlignment="0" applyProtection="0"/>
    <xf numFmtId="0" fontId="263" fillId="143" borderId="131" applyNumberFormat="0" applyAlignment="0" applyProtection="0"/>
    <xf numFmtId="0" fontId="270" fillId="0" borderId="135" applyNumberFormat="0" applyFill="0" applyAlignment="0" applyProtection="0"/>
    <xf numFmtId="0" fontId="264" fillId="144" borderId="132" applyNumberFormat="0" applyAlignment="0" applyProtection="0"/>
    <xf numFmtId="0" fontId="275" fillId="0" borderId="0" applyNumberFormat="0" applyFill="0" applyBorder="0" applyAlignment="0" applyProtection="0"/>
    <xf numFmtId="0" fontId="94" fillId="146" borderId="136" applyNumberFormat="0" applyFont="0" applyAlignment="0" applyProtection="0"/>
    <xf numFmtId="0" fontId="265" fillId="0" borderId="0" applyNumberFormat="0" applyFill="0" applyBorder="0" applyAlignment="0" applyProtection="0"/>
    <xf numFmtId="0" fontId="197" fillId="0" borderId="138" applyNumberFormat="0" applyFill="0" applyAlignment="0" applyProtection="0"/>
    <xf numFmtId="0" fontId="261" fillId="139" borderId="0" applyNumberFormat="0" applyBorder="0" applyAlignment="0" applyProtection="0"/>
    <xf numFmtId="0" fontId="115" fillId="125" borderId="0" applyNumberFormat="0" applyBorder="0" applyAlignment="0" applyProtection="0"/>
    <xf numFmtId="0" fontId="115" fillId="131" borderId="0" applyNumberFormat="0" applyBorder="0" applyAlignment="0" applyProtection="0"/>
    <xf numFmtId="0" fontId="261" fillId="135" borderId="0" applyNumberFormat="0" applyBorder="0" applyAlignment="0" applyProtection="0"/>
    <xf numFmtId="0" fontId="261" fillId="140" borderId="0" applyNumberFormat="0" applyBorder="0" applyAlignment="0" applyProtection="0"/>
    <xf numFmtId="0" fontId="115" fillId="126" borderId="0" applyNumberFormat="0" applyBorder="0" applyAlignment="0" applyProtection="0"/>
    <xf numFmtId="0" fontId="115" fillId="132" borderId="0" applyNumberFormat="0" applyBorder="0" applyAlignment="0" applyProtection="0"/>
    <xf numFmtId="0" fontId="261" fillId="132" borderId="0" applyNumberFormat="0" applyBorder="0" applyAlignment="0" applyProtection="0"/>
    <xf numFmtId="0" fontId="261" fillId="141" borderId="0" applyNumberFormat="0" applyBorder="0" applyAlignment="0" applyProtection="0"/>
    <xf numFmtId="0" fontId="115" fillId="127" borderId="0" applyNumberFormat="0" applyBorder="0" applyAlignment="0" applyProtection="0"/>
    <xf numFmtId="0" fontId="115" fillId="133" borderId="0" applyNumberFormat="0" applyBorder="0" applyAlignment="0" applyProtection="0"/>
    <xf numFmtId="0" fontId="261" fillId="133" borderId="0" applyNumberFormat="0" applyBorder="0" applyAlignment="0" applyProtection="0"/>
    <xf numFmtId="0" fontId="261" fillId="136" borderId="0" applyNumberFormat="0" applyBorder="0" applyAlignment="0" applyProtection="0"/>
    <xf numFmtId="0" fontId="115" fillId="128" borderId="0" applyNumberFormat="0" applyBorder="0" applyAlignment="0" applyProtection="0"/>
    <xf numFmtId="0" fontId="115" fillId="128" borderId="0" applyNumberFormat="0" applyBorder="0" applyAlignment="0" applyProtection="0"/>
    <xf numFmtId="0" fontId="261" fillId="136" borderId="0" applyNumberFormat="0" applyBorder="0" applyAlignment="0" applyProtection="0"/>
    <xf numFmtId="0" fontId="261" fillId="137" borderId="0" applyNumberFormat="0" applyBorder="0" applyAlignment="0" applyProtection="0"/>
    <xf numFmtId="0" fontId="115" fillId="129" borderId="0" applyNumberFormat="0" applyBorder="0" applyAlignment="0" applyProtection="0"/>
    <xf numFmtId="0" fontId="115" fillId="131" borderId="0" applyNumberFormat="0" applyBorder="0" applyAlignment="0" applyProtection="0"/>
    <xf numFmtId="0" fontId="261" fillId="137" borderId="0" applyNumberFormat="0" applyBorder="0" applyAlignment="0" applyProtection="0"/>
    <xf numFmtId="0" fontId="261" fillId="142" borderId="0" applyNumberFormat="0" applyBorder="0" applyAlignment="0" applyProtection="0"/>
    <xf numFmtId="0" fontId="115" fillId="130" borderId="0" applyNumberFormat="0" applyBorder="0" applyAlignment="0" applyProtection="0"/>
    <xf numFmtId="0" fontId="115" fillId="134" borderId="0" applyNumberFormat="0" applyBorder="0" applyAlignment="0" applyProtection="0"/>
    <xf numFmtId="0" fontId="261" fillId="138" borderId="0" applyNumberFormat="0" applyBorder="0" applyAlignment="0" applyProtection="0"/>
    <xf numFmtId="0" fontId="94" fillId="0" borderId="0" applyNumberFormat="0" applyFont="0" applyBorder="0" applyProtection="0"/>
    <xf numFmtId="0" fontId="50" fillId="13" borderId="144" applyNumberFormat="0" applyAlignment="0" applyProtection="0"/>
    <xf numFmtId="0" fontId="269" fillId="130" borderId="131" applyNumberFormat="0" applyAlignment="0" applyProtection="0"/>
    <xf numFmtId="0" fontId="110" fillId="61" borderId="0" applyNumberFormat="0" applyBorder="0" applyProtection="0">
      <alignment horizontal="right" vertical="top" wrapText="1"/>
    </xf>
    <xf numFmtId="0" fontId="273" fillId="0" borderId="0" applyNumberFormat="0" applyBorder="0" applyProtection="0"/>
    <xf numFmtId="183" fontId="110" fillId="147" borderId="0" applyBorder="0">
      <alignment wrapText="1"/>
      <protection locked="0"/>
    </xf>
    <xf numFmtId="184" fontId="113" fillId="0" borderId="0" applyBorder="0">
      <alignment wrapText="1"/>
      <protection locked="0"/>
    </xf>
    <xf numFmtId="184" fontId="110" fillId="147" borderId="0" applyBorder="0">
      <alignment wrapText="1"/>
      <protection locked="0"/>
    </xf>
    <xf numFmtId="185" fontId="110" fillId="147" borderId="0" applyBorder="0">
      <alignment wrapText="1"/>
      <protection locked="0"/>
    </xf>
    <xf numFmtId="187" fontId="110" fillId="61" borderId="42" applyProtection="0">
      <alignment wrapText="1"/>
    </xf>
    <xf numFmtId="225" fontId="110" fillId="61" borderId="42" applyProtection="0">
      <alignment wrapText="1"/>
    </xf>
    <xf numFmtId="0" fontId="94" fillId="0" borderId="0"/>
    <xf numFmtId="0" fontId="276" fillId="0" borderId="0"/>
    <xf numFmtId="41" fontId="82" fillId="0" borderId="0" applyFont="0" applyFill="0" applyBorder="0" applyAlignment="0" applyProtection="0"/>
    <xf numFmtId="43" fontId="6" fillId="0" borderId="0" applyFont="0" applyFill="0" applyBorder="0" applyAlignment="0" applyProtection="0"/>
    <xf numFmtId="41" fontId="82" fillId="0" borderId="0" applyFont="0" applyFill="0" applyBorder="0" applyAlignment="0" applyProtection="0"/>
    <xf numFmtId="43" fontId="1"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184" fontId="113" fillId="0" borderId="0" applyBorder="0">
      <alignment wrapText="1"/>
      <protection locked="0"/>
    </xf>
    <xf numFmtId="0" fontId="50" fillId="13" borderId="13"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50" fillId="13" borderId="116" applyNumberFormat="0" applyAlignment="0" applyProtection="0"/>
    <xf numFmtId="0" fontId="22" fillId="32" borderId="145" applyNumberFormat="0" applyFont="0" applyAlignment="0" applyProtection="0"/>
    <xf numFmtId="0" fontId="6" fillId="32" borderId="145" applyNumberFormat="0" applyFont="0" applyAlignment="0" applyProtection="0"/>
    <xf numFmtId="0" fontId="277" fillId="0" borderId="0">
      <alignment horizontal="left"/>
    </xf>
    <xf numFmtId="0" fontId="60" fillId="0" borderId="141">
      <alignment horizontal="left" vertical="center"/>
    </xf>
    <xf numFmtId="3" fontId="40" fillId="97" borderId="146"/>
    <xf numFmtId="3" fontId="40" fillId="0" borderId="146" applyFont="0" applyFill="0" applyBorder="0" applyAlignment="0" applyProtection="0">
      <protection locked="0"/>
    </xf>
    <xf numFmtId="43" fontId="6" fillId="0" borderId="0" applyFont="0" applyFill="0" applyBorder="0" applyAlignment="0" applyProtection="0"/>
    <xf numFmtId="43" fontId="22" fillId="0" borderId="0" applyFont="0" applyFill="0" applyBorder="0" applyAlignment="0" applyProtection="0"/>
    <xf numFmtId="194" fontId="157" fillId="0" borderId="139" applyAlignment="0" applyProtection="0"/>
    <xf numFmtId="175" fontId="36" fillId="51" borderId="147">
      <alignment wrapText="1"/>
    </xf>
    <xf numFmtId="175" fontId="36" fillId="51" borderId="147">
      <alignment wrapText="1"/>
    </xf>
    <xf numFmtId="176" fontId="36" fillId="51" borderId="147">
      <alignment wrapText="1"/>
    </xf>
    <xf numFmtId="176" fontId="36" fillId="51" borderId="147">
      <alignment wrapText="1"/>
    </xf>
    <xf numFmtId="177" fontId="36" fillId="51" borderId="147">
      <alignment wrapText="1"/>
    </xf>
    <xf numFmtId="9" fontId="22" fillId="0" borderId="0" applyFont="0" applyFill="0" applyBorder="0" applyAlignment="0" applyProtection="0"/>
    <xf numFmtId="0" fontId="22" fillId="0" borderId="0"/>
    <xf numFmtId="9" fontId="278" fillId="0" borderId="0" applyFont="0" applyFill="0" applyBorder="0" applyAlignment="0" applyProtection="0"/>
    <xf numFmtId="3" fontId="40" fillId="97" borderId="142"/>
    <xf numFmtId="3" fontId="40" fillId="0" borderId="142" applyFont="0" applyFill="0" applyBorder="0" applyAlignment="0" applyProtection="0">
      <protection locked="0"/>
    </xf>
    <xf numFmtId="0" fontId="43" fillId="27" borderId="144" applyNumberFormat="0" applyAlignment="0" applyProtection="0"/>
    <xf numFmtId="0" fontId="43" fillId="27" borderId="144" applyNumberFormat="0" applyAlignment="0" applyProtection="0"/>
    <xf numFmtId="194" fontId="157" fillId="0" borderId="143" applyAlignment="0" applyProtection="0"/>
    <xf numFmtId="0" fontId="183" fillId="0" borderId="140" applyBorder="0" applyProtection="0">
      <alignment horizontal="right" vertical="center"/>
    </xf>
    <xf numFmtId="0" fontId="184" fillId="99" borderId="140" applyBorder="0" applyProtection="0">
      <alignment horizontal="centerContinuous" vertical="center"/>
    </xf>
    <xf numFmtId="0" fontId="277" fillId="0" borderId="0" applyNumberFormat="0" applyFill="0" applyBorder="0" applyProtection="0"/>
    <xf numFmtId="0" fontId="78" fillId="0" borderId="0" applyNumberFormat="0" applyFill="0" applyBorder="0" applyAlignment="0" applyProtection="0"/>
    <xf numFmtId="0" fontId="6" fillId="0" borderId="0"/>
    <xf numFmtId="9" fontId="22" fillId="0" borderId="0" applyFont="0" applyFill="0" applyBorder="0" applyAlignment="0" applyProtection="0"/>
    <xf numFmtId="0" fontId="6" fillId="0" borderId="0"/>
    <xf numFmtId="43" fontId="22" fillId="0" borderId="0" applyFont="0" applyFill="0" applyBorder="0" applyAlignment="0" applyProtection="0"/>
    <xf numFmtId="0" fontId="6" fillId="0" borderId="0"/>
    <xf numFmtId="193" fontId="6" fillId="0" borderId="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Protection="0">
      <alignment horizontal="right"/>
    </xf>
    <xf numFmtId="164" fontId="6" fillId="0" borderId="0" applyFont="0" applyFill="0" applyBorder="0" applyProtection="0">
      <alignment horizontal="right"/>
    </xf>
    <xf numFmtId="167" fontId="6" fillId="0" borderId="0" applyFont="0" applyFill="0" applyBorder="0" applyProtection="0">
      <alignment horizontal="right"/>
    </xf>
    <xf numFmtId="167" fontId="6" fillId="0" borderId="0" applyFont="0" applyFill="0" applyBorder="0" applyProtection="0">
      <alignment horizontal="right"/>
    </xf>
    <xf numFmtId="168" fontId="6" fillId="0" borderId="0" applyFont="0" applyFill="0" applyBorder="0" applyProtection="0">
      <alignment horizontal="right"/>
    </xf>
    <xf numFmtId="168" fontId="6" fillId="0" borderId="0" applyFont="0" applyFill="0" applyBorder="0" applyProtection="0">
      <alignment horizontal="right"/>
    </xf>
    <xf numFmtId="178" fontId="6" fillId="0" borderId="0" applyBorder="0"/>
    <xf numFmtId="0" fontId="6" fillId="0" borderId="0"/>
    <xf numFmtId="0" fontId="6" fillId="0" borderId="0"/>
    <xf numFmtId="0" fontId="6" fillId="0" borderId="0"/>
    <xf numFmtId="0" fontId="6" fillId="0" borderId="0"/>
    <xf numFmtId="168" fontId="24" fillId="0" borderId="0" applyFont="0" applyFill="0" applyBorder="0" applyProtection="0">
      <alignment horizontal="right"/>
    </xf>
    <xf numFmtId="169" fontId="24" fillId="0" borderId="0" applyFont="0" applyFill="0" applyBorder="0" applyProtection="0">
      <alignment horizontal="left"/>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alignment horizontal="left"/>
    </xf>
    <xf numFmtId="0" fontId="6" fillId="0" borderId="0"/>
    <xf numFmtId="0" fontId="6" fillId="0" borderId="0">
      <alignment horizontal="left"/>
    </xf>
    <xf numFmtId="44" fontId="6" fillId="0" borderId="0" applyFont="0" applyFill="0" applyBorder="0" applyAlignment="0" applyProtection="0"/>
    <xf numFmtId="202" fontId="6" fillId="0" borderId="0" applyFont="0" applyFill="0" applyBorder="0" applyAlignment="0" applyProtection="0"/>
    <xf numFmtId="192" fontId="6" fillId="0" borderId="0" applyFont="0" applyFill="0" applyBorder="0" applyAlignment="0" applyProtection="0"/>
    <xf numFmtId="0" fontId="6" fillId="0" borderId="0">
      <protection locked="0"/>
    </xf>
    <xf numFmtId="0" fontId="6" fillId="0" borderId="0"/>
    <xf numFmtId="0" fontId="6" fillId="0" borderId="0">
      <protection locked="0"/>
    </xf>
    <xf numFmtId="0" fontId="6" fillId="0" borderId="0">
      <protection locked="0"/>
    </xf>
    <xf numFmtId="179" fontId="6" fillId="0" borderId="0" applyFont="0" applyFill="0" applyBorder="0" applyAlignment="0" applyProtection="0"/>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protection locked="0"/>
    </xf>
    <xf numFmtId="0" fontId="6" fillId="0" borderId="0">
      <alignment horizontal="left"/>
    </xf>
    <xf numFmtId="0" fontId="6" fillId="0" borderId="0" applyFont="0" applyFill="0" applyBorder="0" applyProtection="0">
      <alignment horizontal="right"/>
    </xf>
    <xf numFmtId="0" fontId="6" fillId="0" borderId="0" applyFont="0" applyFill="0" applyBorder="0" applyProtection="0">
      <alignment horizontal="right"/>
    </xf>
    <xf numFmtId="38" fontId="40" fillId="29" borderId="0" applyNumberFormat="0" applyBorder="0" applyAlignment="0" applyProtection="0"/>
    <xf numFmtId="0" fontId="6" fillId="0" borderId="0"/>
    <xf numFmtId="0" fontId="6" fillId="0" borderId="64">
      <alignment horizontal="left" vertical="top"/>
    </xf>
    <xf numFmtId="0" fontId="6" fillId="0" borderId="64">
      <alignment horizontal="left" vertical="top"/>
    </xf>
    <xf numFmtId="10" fontId="40" fillId="31" borderId="6" applyNumberFormat="0" applyBorder="0" applyAlignment="0" applyProtection="0"/>
    <xf numFmtId="0" fontId="6" fillId="0" borderId="0"/>
    <xf numFmtId="0" fontId="6" fillId="0" borderId="0"/>
    <xf numFmtId="1" fontId="6" fillId="0" borderId="0" applyFont="0" applyFill="0" applyBorder="0" applyProtection="0">
      <alignment horizontal="right"/>
    </xf>
    <xf numFmtId="1" fontId="6" fillId="0" borderId="0" applyFont="0" applyFill="0" applyBorder="0" applyProtection="0">
      <alignment horizontal="right"/>
    </xf>
    <xf numFmtId="0" fontId="50" fillId="13" borderId="144" applyNumberFormat="0" applyAlignment="0" applyProtection="0"/>
    <xf numFmtId="0" fontId="6" fillId="0" borderId="0">
      <alignment vertical="top"/>
    </xf>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50" fillId="13" borderId="144" applyNumberFormat="0" applyAlignment="0" applyProtection="0"/>
    <xf numFmtId="0" fontId="6" fillId="0" borderId="0">
      <alignment vertical="top"/>
    </xf>
    <xf numFmtId="0" fontId="6" fillId="0" borderId="0">
      <alignment vertical="top"/>
    </xf>
    <xf numFmtId="0" fontId="6" fillId="0" borderId="0">
      <alignment vertical="top"/>
    </xf>
    <xf numFmtId="0" fontId="6" fillId="0" borderId="0"/>
    <xf numFmtId="0" fontId="6" fillId="0" borderId="0"/>
    <xf numFmtId="0" fontId="6" fillId="0" borderId="0"/>
    <xf numFmtId="0" fontId="6" fillId="0" borderId="0"/>
    <xf numFmtId="0" fontId="6" fillId="0" borderId="0"/>
    <xf numFmtId="0" fontId="6" fillId="32" borderId="22" applyNumberFormat="0" applyFont="0" applyAlignment="0" applyProtection="0"/>
    <xf numFmtId="171" fontId="6" fillId="0" borderId="0" applyFont="0" applyFill="0" applyBorder="0" applyProtection="0">
      <alignment horizontal="right"/>
    </xf>
    <xf numFmtId="171" fontId="6" fillId="0" borderId="0" applyFont="0" applyFill="0" applyBorder="0" applyProtection="0">
      <alignment horizontal="right"/>
    </xf>
    <xf numFmtId="10"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40" fillId="0" borderId="0"/>
    <xf numFmtId="0" fontId="6" fillId="0" borderId="0"/>
    <xf numFmtId="0" fontId="6" fillId="0" borderId="0"/>
    <xf numFmtId="0" fontId="40" fillId="0" borderId="0"/>
    <xf numFmtId="4" fontId="32" fillId="36" borderId="23" applyNumberFormat="0" applyProtection="0">
      <alignment vertical="center"/>
    </xf>
    <xf numFmtId="4" fontId="32" fillId="36" borderId="23" applyNumberFormat="0" applyProtection="0">
      <alignment horizontal="left" vertical="center" indent="1"/>
    </xf>
    <xf numFmtId="4" fontId="32" fillId="36" borderId="23" applyNumberFormat="0" applyProtection="0">
      <alignment horizontal="left" vertical="center" indent="1"/>
    </xf>
    <xf numFmtId="0" fontId="6" fillId="37" borderId="23" applyNumberFormat="0" applyProtection="0">
      <alignment horizontal="left" vertical="center" indent="1"/>
    </xf>
    <xf numFmtId="4" fontId="32" fillId="38" borderId="23" applyNumberFormat="0" applyProtection="0">
      <alignment horizontal="right" vertical="center"/>
    </xf>
    <xf numFmtId="4" fontId="32" fillId="39" borderId="23" applyNumberFormat="0" applyProtection="0">
      <alignment horizontal="right" vertical="center"/>
    </xf>
    <xf numFmtId="4" fontId="32" fillId="40" borderId="23" applyNumberFormat="0" applyProtection="0">
      <alignment horizontal="right" vertical="center"/>
    </xf>
    <xf numFmtId="4" fontId="32" fillId="41" borderId="23" applyNumberFormat="0" applyProtection="0">
      <alignment horizontal="right" vertical="center"/>
    </xf>
    <xf numFmtId="4" fontId="32" fillId="42" borderId="23" applyNumberFormat="0" applyProtection="0">
      <alignment horizontal="right" vertical="center"/>
    </xf>
    <xf numFmtId="4" fontId="32" fillId="43" borderId="23" applyNumberFormat="0" applyProtection="0">
      <alignment horizontal="right" vertical="center"/>
    </xf>
    <xf numFmtId="4" fontId="32" fillId="44" borderId="23" applyNumberFormat="0" applyProtection="0">
      <alignment horizontal="right" vertical="center"/>
    </xf>
    <xf numFmtId="4" fontId="32" fillId="45" borderId="23" applyNumberFormat="0" applyProtection="0">
      <alignment horizontal="right" vertical="center"/>
    </xf>
    <xf numFmtId="4" fontId="32" fillId="46" borderId="23" applyNumberFormat="0" applyProtection="0">
      <alignment horizontal="right" vertical="center"/>
    </xf>
    <xf numFmtId="4" fontId="32" fillId="48" borderId="25" applyNumberFormat="0" applyProtection="0">
      <alignment horizontal="left" vertical="center" indent="1"/>
    </xf>
    <xf numFmtId="0" fontId="6" fillId="37" borderId="23" applyNumberFormat="0" applyProtection="0">
      <alignment horizontal="left" vertical="center" indent="1"/>
    </xf>
    <xf numFmtId="4" fontId="32" fillId="48" borderId="23" applyNumberFormat="0" applyProtection="0">
      <alignment horizontal="left" vertical="center" indent="1"/>
    </xf>
    <xf numFmtId="4" fontId="32" fillId="50" borderId="23" applyNumberFormat="0" applyProtection="0">
      <alignment horizontal="left" vertical="center" indent="1"/>
    </xf>
    <xf numFmtId="0" fontId="6" fillId="50" borderId="23" applyNumberFormat="0" applyProtection="0">
      <alignment horizontal="left" vertical="center" indent="1"/>
    </xf>
    <xf numFmtId="0" fontId="6" fillId="50" borderId="23" applyNumberFormat="0" applyProtection="0">
      <alignment horizontal="left" vertical="center" indent="1"/>
    </xf>
    <xf numFmtId="0" fontId="6" fillId="35" borderId="23" applyNumberFormat="0" applyProtection="0">
      <alignment horizontal="left" vertical="center" indent="1"/>
    </xf>
    <xf numFmtId="0" fontId="6" fillId="35" borderId="23" applyNumberFormat="0" applyProtection="0">
      <alignment horizontal="left" vertical="center" indent="1"/>
    </xf>
    <xf numFmtId="0" fontId="6" fillId="29" borderId="23" applyNumberFormat="0" applyProtection="0">
      <alignment horizontal="left" vertical="center" indent="1"/>
    </xf>
    <xf numFmtId="0" fontId="6" fillId="29" borderId="23" applyNumberFormat="0" applyProtection="0">
      <alignment horizontal="left" vertical="center" indent="1"/>
    </xf>
    <xf numFmtId="0" fontId="6" fillId="37" borderId="23" applyNumberFormat="0" applyProtection="0">
      <alignment horizontal="left" vertical="center" indent="1"/>
    </xf>
    <xf numFmtId="0" fontId="6" fillId="37" borderId="23" applyNumberFormat="0" applyProtection="0">
      <alignment horizontal="left" vertical="center" indent="1"/>
    </xf>
    <xf numFmtId="4" fontId="32" fillId="31" borderId="23" applyNumberFormat="0" applyProtection="0">
      <alignment vertical="center"/>
    </xf>
    <xf numFmtId="4" fontId="32" fillId="31" borderId="23" applyNumberFormat="0" applyProtection="0">
      <alignment horizontal="left" vertical="center" indent="1"/>
    </xf>
    <xf numFmtId="4" fontId="32" fillId="31" borderId="23" applyNumberFormat="0" applyProtection="0">
      <alignment horizontal="left" vertical="center" indent="1"/>
    </xf>
    <xf numFmtId="4" fontId="32" fillId="48" borderId="23" applyNumberFormat="0" applyProtection="0">
      <alignment horizontal="right" vertical="center"/>
    </xf>
    <xf numFmtId="0" fontId="6" fillId="37" borderId="23" applyNumberFormat="0" applyProtection="0">
      <alignment horizontal="left" vertical="center" indent="1"/>
    </xf>
    <xf numFmtId="0" fontId="6" fillId="37" borderId="23" applyNumberFormat="0" applyProtection="0">
      <alignment horizontal="left" vertical="center" indent="1"/>
    </xf>
    <xf numFmtId="0" fontId="6" fillId="0" borderId="0">
      <alignment vertical="top"/>
    </xf>
    <xf numFmtId="173" fontId="40" fillId="0" borderId="0">
      <alignment wrapText="1"/>
      <protection locked="0"/>
    </xf>
    <xf numFmtId="215" fontId="6" fillId="0" borderId="0" applyNumberFormat="0" applyFill="0" applyBorder="0">
      <alignment horizontal="left"/>
    </xf>
    <xf numFmtId="215" fontId="6" fillId="0" borderId="0" applyNumberFormat="0" applyFill="0" applyBorder="0">
      <alignment horizontal="right"/>
    </xf>
    <xf numFmtId="0" fontId="6" fillId="0" borderId="0"/>
    <xf numFmtId="0" fontId="6" fillId="0" borderId="0" applyNumberFormat="0" applyFill="0" applyBorder="0" applyProtection="0"/>
    <xf numFmtId="0" fontId="6" fillId="0" borderId="0" applyNumberFormat="0" applyFill="0" applyBorder="0" applyProtection="0"/>
    <xf numFmtId="0" fontId="6" fillId="0" borderId="0"/>
    <xf numFmtId="0" fontId="6" fillId="0" borderId="0"/>
    <xf numFmtId="0" fontId="6" fillId="0" borderId="0"/>
    <xf numFmtId="0" fontId="6" fillId="0" borderId="0"/>
    <xf numFmtId="0" fontId="22" fillId="0" borderId="0"/>
    <xf numFmtId="0" fontId="6" fillId="0" borderId="0"/>
    <xf numFmtId="0" fontId="6" fillId="0" borderId="0"/>
    <xf numFmtId="0" fontId="6" fillId="0" borderId="0"/>
    <xf numFmtId="0" fontId="6" fillId="0" borderId="0"/>
    <xf numFmtId="0" fontId="6" fillId="0" borderId="0"/>
    <xf numFmtId="0" fontId="6" fillId="0" borderId="0"/>
    <xf numFmtId="0" fontId="279" fillId="0" borderId="0" applyNumberFormat="0" applyFill="0" applyBorder="0" applyAlignment="0" applyProtection="0">
      <alignment vertical="top"/>
      <protection locked="0"/>
    </xf>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6" fillId="0" borderId="0"/>
    <xf numFmtId="43" fontId="22" fillId="0" borderId="0" applyFont="0" applyFill="0" applyBorder="0" applyAlignment="0" applyProtection="0"/>
    <xf numFmtId="177" fontId="36" fillId="51" borderId="147">
      <alignment wrapText="1"/>
    </xf>
    <xf numFmtId="176" fontId="36" fillId="51" borderId="147">
      <alignment wrapText="1"/>
    </xf>
    <xf numFmtId="0" fontId="140" fillId="0" borderId="45" applyNumberFormat="0" applyFill="0" applyAlignment="0" applyProtection="0"/>
    <xf numFmtId="0" fontId="152" fillId="0" borderId="0"/>
    <xf numFmtId="0" fontId="1" fillId="0" borderId="0"/>
    <xf numFmtId="0" fontId="6" fillId="0" borderId="0"/>
    <xf numFmtId="0" fontId="1" fillId="53" borderId="29" applyNumberFormat="0" applyFont="0" applyAlignment="0" applyProtection="0"/>
    <xf numFmtId="0" fontId="140" fillId="0" borderId="45" applyNumberFormat="0" applyFill="0" applyAlignment="0" applyProtection="0"/>
    <xf numFmtId="0" fontId="145" fillId="68" borderId="48" applyNumberFormat="0" applyAlignment="0" applyProtection="0"/>
    <xf numFmtId="0" fontId="6" fillId="0" borderId="0"/>
    <xf numFmtId="0" fontId="1" fillId="72"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40" fillId="0" borderId="45" applyNumberFormat="0" applyFill="0" applyAlignment="0" applyProtection="0"/>
    <xf numFmtId="0" fontId="145" fillId="68" borderId="48" applyNumberFormat="0" applyAlignment="0" applyProtection="0"/>
    <xf numFmtId="0" fontId="1" fillId="0" borderId="0"/>
    <xf numFmtId="0" fontId="1" fillId="53" borderId="29" applyNumberFormat="0" applyFont="0" applyAlignment="0" applyProtection="0"/>
    <xf numFmtId="0" fontId="1" fillId="0" borderId="0"/>
    <xf numFmtId="0" fontId="6" fillId="0" borderId="0"/>
    <xf numFmtId="0" fontId="1" fillId="0" borderId="0"/>
    <xf numFmtId="0" fontId="1" fillId="0" borderId="0"/>
    <xf numFmtId="0" fontId="6" fillId="0" borderId="0"/>
    <xf numFmtId="0" fontId="6" fillId="0" borderId="0"/>
    <xf numFmtId="0" fontId="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 fillId="0" borderId="0"/>
    <xf numFmtId="0" fontId="6" fillId="0" borderId="0"/>
    <xf numFmtId="0" fontId="6" fillId="0" borderId="0"/>
    <xf numFmtId="0" fontId="6" fillId="0" borderId="0"/>
    <xf numFmtId="0" fontId="1" fillId="0" borderId="0"/>
    <xf numFmtId="0" fontId="6" fillId="0" borderId="0"/>
    <xf numFmtId="0" fontId="6" fillId="0" borderId="0"/>
    <xf numFmtId="0" fontId="6" fillId="0" borderId="0"/>
    <xf numFmtId="0" fontId="1" fillId="0" borderId="0"/>
    <xf numFmtId="0" fontId="6" fillId="0" borderId="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6" fillId="0" borderId="0"/>
    <xf numFmtId="0" fontId="6" fillId="0" borderId="0"/>
    <xf numFmtId="0" fontId="6" fillId="0" borderId="0"/>
    <xf numFmtId="0" fontId="140" fillId="0" borderId="45" applyNumberFormat="0" applyFill="0" applyAlignment="0" applyProtection="0"/>
    <xf numFmtId="0" fontId="1" fillId="72"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40" fillId="0" borderId="45" applyNumberFormat="0" applyFill="0" applyAlignment="0" applyProtection="0"/>
    <xf numFmtId="0" fontId="140" fillId="0" borderId="45" applyNumberFormat="0" applyFill="0" applyAlignment="0" applyProtection="0"/>
    <xf numFmtId="0" fontId="145" fillId="68" borderId="48" applyNumberFormat="0" applyAlignment="0" applyProtection="0"/>
    <xf numFmtId="0" fontId="145" fillId="68" borderId="48" applyNumberFormat="0" applyAlignment="0" applyProtection="0"/>
    <xf numFmtId="0" fontId="145" fillId="68" borderId="48" applyNumberFormat="0" applyAlignment="0" applyProtection="0"/>
    <xf numFmtId="0" fontId="145" fillId="68" borderId="48" applyNumberFormat="0" applyAlignment="0" applyProtection="0"/>
    <xf numFmtId="0" fontId="1" fillId="0" borderId="0"/>
    <xf numFmtId="0" fontId="1" fillId="53" borderId="29" applyNumberFormat="0" applyFont="0" applyAlignment="0" applyProtection="0"/>
    <xf numFmtId="0" fontId="6" fillId="0" borderId="0"/>
    <xf numFmtId="0" fontId="145" fillId="68" borderId="48" applyNumberFormat="0" applyAlignment="0" applyProtection="0"/>
    <xf numFmtId="0" fontId="145" fillId="68" borderId="48" applyNumberFormat="0" applyAlignment="0" applyProtection="0"/>
    <xf numFmtId="0" fontId="145" fillId="68" borderId="48" applyNumberForma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 fillId="0" borderId="0"/>
    <xf numFmtId="0" fontId="6" fillId="0" borderId="0"/>
    <xf numFmtId="0" fontId="6" fillId="0" borderId="0"/>
    <xf numFmtId="0" fontId="6" fillId="0" borderId="0"/>
    <xf numFmtId="0" fontId="6" fillId="0" borderId="0"/>
    <xf numFmtId="0" fontId="50" fillId="13" borderId="144" applyNumberFormat="0" applyAlignment="0" applyProtection="0"/>
    <xf numFmtId="0" fontId="1" fillId="0" borderId="0"/>
    <xf numFmtId="0" fontId="1" fillId="0" borderId="0"/>
    <xf numFmtId="0" fontId="6" fillId="0" borderId="0"/>
    <xf numFmtId="0" fontId="1" fillId="80"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6" fillId="0" borderId="0"/>
    <xf numFmtId="0" fontId="6" fillId="0" borderId="0"/>
    <xf numFmtId="0" fontId="1" fillId="0" borderId="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6" fillId="0" borderId="0"/>
    <xf numFmtId="0" fontId="6" fillId="0" borderId="0"/>
    <xf numFmtId="0" fontId="6" fillId="0" borderId="0"/>
    <xf numFmtId="0" fontId="6" fillId="0" borderId="0"/>
    <xf numFmtId="0" fontId="145" fillId="68" borderId="48" applyNumberFormat="0" applyAlignment="0" applyProtection="0"/>
    <xf numFmtId="0" fontId="1" fillId="0" borderId="0"/>
    <xf numFmtId="0" fontId="1" fillId="53" borderId="29" applyNumberFormat="0" applyFont="0" applyAlignment="0" applyProtection="0"/>
    <xf numFmtId="0" fontId="6" fillId="0" borderId="0"/>
    <xf numFmtId="0" fontId="145" fillId="68" borderId="48" applyNumberFormat="0" applyAlignment="0" applyProtection="0"/>
    <xf numFmtId="0" fontId="1" fillId="0" borderId="0"/>
    <xf numFmtId="0" fontId="1" fillId="0" borderId="0"/>
    <xf numFmtId="0" fontId="1" fillId="0" borderId="0"/>
    <xf numFmtId="0" fontId="1" fillId="0" borderId="0"/>
    <xf numFmtId="0" fontId="1" fillId="0" borderId="0"/>
    <xf numFmtId="0" fontId="6" fillId="0" borderId="0"/>
    <xf numFmtId="0" fontId="1" fillId="80"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6" fillId="0" borderId="0"/>
    <xf numFmtId="0" fontId="1" fillId="0" borderId="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0" borderId="0"/>
    <xf numFmtId="0" fontId="6" fillId="0" borderId="0"/>
    <xf numFmtId="0" fontId="145" fillId="68" borderId="48" applyNumberFormat="0" applyAlignment="0" applyProtection="0"/>
    <xf numFmtId="0" fontId="145" fillId="68" borderId="48" applyNumberFormat="0" applyAlignment="0" applyProtection="0"/>
    <xf numFmtId="0" fontId="6" fillId="0" borderId="0"/>
    <xf numFmtId="0" fontId="6" fillId="0" borderId="0"/>
    <xf numFmtId="0" fontId="1" fillId="53" borderId="29" applyNumberFormat="0" applyFont="0" applyAlignment="0" applyProtection="0"/>
    <xf numFmtId="0" fontId="6" fillId="0" borderId="0"/>
    <xf numFmtId="0" fontId="145" fillId="68" borderId="48" applyNumberFormat="0" applyAlignment="0" applyProtection="0"/>
    <xf numFmtId="0" fontId="6" fillId="0" borderId="0"/>
    <xf numFmtId="0" fontId="6" fillId="0" borderId="0"/>
    <xf numFmtId="0" fontId="1" fillId="0" borderId="0"/>
    <xf numFmtId="0" fontId="1" fillId="0" borderId="0"/>
    <xf numFmtId="0" fontId="6" fillId="0" borderId="0"/>
    <xf numFmtId="0" fontId="6" fillId="0" borderId="0"/>
    <xf numFmtId="0" fontId="6" fillId="0" borderId="0"/>
    <xf numFmtId="0" fontId="1" fillId="0" borderId="0"/>
    <xf numFmtId="0" fontId="6" fillId="0" borderId="0"/>
    <xf numFmtId="0" fontId="6" fillId="0" borderId="0"/>
    <xf numFmtId="0" fontId="6" fillId="0" borderId="0"/>
    <xf numFmtId="0" fontId="6" fillId="0" borderId="0"/>
    <xf numFmtId="0" fontId="6" fillId="0" borderId="0"/>
    <xf numFmtId="0" fontId="6" fillId="0" borderId="0"/>
    <xf numFmtId="0" fontId="1" fillId="72" borderId="0" applyNumberFormat="0" applyBorder="0" applyAlignment="0" applyProtection="0"/>
    <xf numFmtId="0" fontId="6" fillId="0" borderId="0"/>
    <xf numFmtId="0" fontId="1" fillId="0" borderId="0"/>
    <xf numFmtId="0" fontId="1" fillId="76"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6" fillId="0" borderId="0"/>
    <xf numFmtId="0" fontId="6" fillId="0" borderId="0"/>
    <xf numFmtId="0" fontId="6" fillId="0" borderId="0"/>
    <xf numFmtId="0" fontId="6" fillId="0" borderId="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45" fillId="68" borderId="48" applyNumberFormat="0" applyAlignment="0" applyProtection="0"/>
    <xf numFmtId="0" fontId="6" fillId="0" borderId="0"/>
    <xf numFmtId="0" fontId="6" fillId="0" borderId="0"/>
    <xf numFmtId="0" fontId="6" fillId="0" borderId="0"/>
    <xf numFmtId="0" fontId="6" fillId="0" borderId="0"/>
    <xf numFmtId="0" fontId="145" fillId="68" borderId="48" applyNumberFormat="0" applyAlignment="0" applyProtection="0"/>
    <xf numFmtId="0" fontId="145" fillId="68" borderId="48" applyNumberFormat="0" applyAlignment="0" applyProtection="0"/>
    <xf numFmtId="0" fontId="1" fillId="53" borderId="29" applyNumberFormat="0" applyFont="0" applyAlignment="0" applyProtection="0"/>
    <xf numFmtId="0" fontId="6" fillId="0" borderId="0"/>
    <xf numFmtId="0" fontId="50" fillId="13" borderId="144" applyNumberFormat="0" applyAlignment="0" applyProtection="0"/>
    <xf numFmtId="0" fontId="145" fillId="68" borderId="48" applyNumberFormat="0" applyAlignment="0" applyProtection="0"/>
    <xf numFmtId="0" fontId="6" fillId="0" borderId="0"/>
    <xf numFmtId="0" fontId="6" fillId="0" borderId="0"/>
    <xf numFmtId="0" fontId="6" fillId="0" borderId="0"/>
    <xf numFmtId="0" fontId="6" fillId="0" borderId="0"/>
    <xf numFmtId="0" fontId="6" fillId="0" borderId="0"/>
    <xf numFmtId="0" fontId="1" fillId="0" borderId="0"/>
    <xf numFmtId="0" fontId="6" fillId="0" borderId="0"/>
    <xf numFmtId="0" fontId="6" fillId="0" borderId="0"/>
    <xf numFmtId="0" fontId="6" fillId="0" borderId="0"/>
    <xf numFmtId="0" fontId="6" fillId="0" borderId="0"/>
    <xf numFmtId="0" fontId="50" fillId="13" borderId="144" applyNumberFormat="0" applyAlignment="0" applyProtection="0"/>
    <xf numFmtId="0" fontId="1" fillId="0" borderId="0"/>
    <xf numFmtId="0" fontId="1" fillId="0" borderId="0"/>
    <xf numFmtId="0" fontId="1" fillId="0" borderId="0"/>
    <xf numFmtId="0" fontId="17" fillId="0" borderId="0" applyNumberFormat="0" applyFill="0" applyBorder="0" applyAlignment="0" applyProtection="0"/>
    <xf numFmtId="0" fontId="189" fillId="0" borderId="0"/>
    <xf numFmtId="43" fontId="22" fillId="0" borderId="0" applyFont="0" applyFill="0" applyBorder="0" applyAlignment="0" applyProtection="0"/>
    <xf numFmtId="43" fontId="1" fillId="0" borderId="0" applyFont="0" applyFill="0" applyBorder="0" applyAlignment="0" applyProtection="0"/>
    <xf numFmtId="0" fontId="78" fillId="0" borderId="0" applyNumberFormat="0" applyFill="0" applyBorder="0" applyAlignment="0" applyProtection="0">
      <alignment vertical="top"/>
      <protection locked="0"/>
    </xf>
    <xf numFmtId="0" fontId="79" fillId="0" borderId="0"/>
    <xf numFmtId="0" fontId="1" fillId="0" borderId="0"/>
    <xf numFmtId="0" fontId="115" fillId="0" borderId="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45" fillId="68" borderId="48" applyNumberFormat="0" applyAlignment="0" applyProtection="0"/>
    <xf numFmtId="0" fontId="145" fillId="68" borderId="48" applyNumberFormat="0" applyAlignment="0" applyProtection="0"/>
    <xf numFmtId="0" fontId="260" fillId="6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259" fillId="0" borderId="0" applyNumberFormat="0" applyFill="0" applyBorder="0" applyAlignment="0" applyProtection="0"/>
    <xf numFmtId="0" fontId="145" fillId="68" borderId="48" applyNumberFormat="0" applyAlignment="0" applyProtection="0"/>
    <xf numFmtId="0" fontId="1" fillId="0" borderId="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45" fillId="68" borderId="48" applyNumberFormat="0" applyAlignment="0" applyProtection="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6" fillId="0" borderId="0"/>
    <xf numFmtId="0" fontId="145" fillId="68" borderId="48" applyNumberFormat="0" applyAlignment="0" applyProtection="0"/>
    <xf numFmtId="0" fontId="6" fillId="0" borderId="0"/>
    <xf numFmtId="0" fontId="6" fillId="0" borderId="0"/>
    <xf numFmtId="0" fontId="1" fillId="72"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45" fillId="68" borderId="48" applyNumberFormat="0" applyAlignment="0" applyProtection="0"/>
    <xf numFmtId="0" fontId="94" fillId="0" borderId="0" applyNumberFormat="0" applyFill="0" applyBorder="0" applyAlignment="0" applyProtection="0"/>
    <xf numFmtId="0" fontId="6" fillId="0" borderId="0"/>
    <xf numFmtId="0" fontId="1" fillId="0" borderId="0"/>
    <xf numFmtId="0" fontId="1" fillId="53" borderId="29" applyNumberFormat="0" applyFont="0" applyAlignment="0" applyProtection="0"/>
    <xf numFmtId="0" fontId="6" fillId="0" borderId="0"/>
    <xf numFmtId="0" fontId="1" fillId="0" borderId="0"/>
    <xf numFmtId="0" fontId="6" fillId="0" borderId="0"/>
    <xf numFmtId="0" fontId="1" fillId="72"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45" fillId="68" borderId="48" applyNumberFormat="0" applyAlignment="0" applyProtection="0"/>
    <xf numFmtId="0" fontId="145" fillId="68" borderId="48" applyNumberFormat="0" applyAlignment="0" applyProtection="0"/>
    <xf numFmtId="0" fontId="145" fillId="68" borderId="48" applyNumberFormat="0" applyAlignment="0" applyProtection="0"/>
    <xf numFmtId="0" fontId="1" fillId="0" borderId="0"/>
    <xf numFmtId="0" fontId="6" fillId="0" borderId="0"/>
    <xf numFmtId="0" fontId="1" fillId="53" borderId="29" applyNumberFormat="0" applyFont="0" applyAlignment="0" applyProtection="0"/>
    <xf numFmtId="0" fontId="6" fillId="0" borderId="0"/>
    <xf numFmtId="0" fontId="6" fillId="0" borderId="0"/>
    <xf numFmtId="0" fontId="145" fillId="68" borderId="48" applyNumberFormat="0" applyAlignment="0" applyProtection="0"/>
    <xf numFmtId="0" fontId="145" fillId="68" borderId="48" applyNumberFormat="0" applyAlignment="0" applyProtection="0"/>
    <xf numFmtId="0" fontId="6" fillId="0" borderId="0"/>
    <xf numFmtId="0" fontId="6" fillId="0" borderId="0"/>
    <xf numFmtId="0" fontId="6" fillId="0" borderId="0"/>
    <xf numFmtId="0" fontId="6" fillId="0" borderId="0"/>
    <xf numFmtId="0" fontId="6" fillId="0" borderId="0"/>
    <xf numFmtId="0" fontId="1" fillId="0" borderId="0"/>
    <xf numFmtId="0" fontId="6" fillId="0" borderId="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45" fillId="68" borderId="48" applyNumberFormat="0" applyAlignment="0" applyProtection="0"/>
    <xf numFmtId="0" fontId="145" fillId="68" borderId="48" applyNumberFormat="0" applyAlignment="0" applyProtection="0"/>
    <xf numFmtId="0" fontId="145" fillId="68" borderId="48" applyNumberFormat="0" applyAlignment="0" applyProtection="0"/>
    <xf numFmtId="0" fontId="145" fillId="68" borderId="4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1" fillId="53" borderId="29" applyNumberFormat="0" applyFont="0" applyAlignment="0" applyProtection="0"/>
    <xf numFmtId="0" fontId="6" fillId="0" borderId="0"/>
    <xf numFmtId="0" fontId="145" fillId="68" borderId="48" applyNumberFormat="0" applyAlignment="0" applyProtection="0"/>
    <xf numFmtId="0" fontId="145" fillId="68" borderId="48" applyNumberFormat="0" applyAlignment="0" applyProtection="0"/>
    <xf numFmtId="0" fontId="6" fillId="0" borderId="0"/>
    <xf numFmtId="0" fontId="145" fillId="68" borderId="48" applyNumberFormat="0" applyAlignment="0" applyProtection="0"/>
    <xf numFmtId="0" fontId="145" fillId="68" borderId="48" applyNumberForma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45" fillId="68" borderId="48" applyNumberFormat="0" applyAlignment="0" applyProtection="0"/>
    <xf numFmtId="0" fontId="145" fillId="68" borderId="4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1" fillId="53" borderId="29" applyNumberFormat="0" applyFont="0" applyAlignment="0" applyProtection="0"/>
    <xf numFmtId="0" fontId="1" fillId="53" borderId="29" applyNumberFormat="0" applyFont="0" applyAlignment="0" applyProtection="0"/>
    <xf numFmtId="0" fontId="6" fillId="0" borderId="0"/>
    <xf numFmtId="0" fontId="145" fillId="68" borderId="48" applyNumberFormat="0" applyAlignment="0" applyProtection="0"/>
    <xf numFmtId="0" fontId="6" fillId="0" borderId="0"/>
    <xf numFmtId="0" fontId="6" fillId="0" borderId="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45" fillId="68" borderId="4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1" fillId="53" borderId="29" applyNumberFormat="0" applyFont="0" applyAlignment="0" applyProtection="0"/>
    <xf numFmtId="0" fontId="1" fillId="53" borderId="29" applyNumberFormat="0" applyFont="0" applyAlignment="0" applyProtection="0"/>
    <xf numFmtId="0" fontId="6" fillId="0" borderId="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45" fillId="68" borderId="48"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1" fillId="53" borderId="29" applyNumberFormat="0" applyFont="0" applyAlignment="0" applyProtection="0"/>
    <xf numFmtId="0" fontId="1" fillId="53" borderId="29" applyNumberFormat="0" applyFont="0" applyAlignment="0" applyProtection="0"/>
    <xf numFmtId="0" fontId="6" fillId="0" borderId="0"/>
    <xf numFmtId="0" fontId="1" fillId="72"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45" fillId="68" borderId="48" applyNumberFormat="0" applyAlignment="0" applyProtection="0"/>
    <xf numFmtId="0" fontId="1" fillId="0" borderId="0"/>
    <xf numFmtId="0" fontId="1" fillId="53" borderId="29" applyNumberFormat="0" applyFont="0" applyAlignment="0" applyProtection="0"/>
    <xf numFmtId="0" fontId="276" fillId="0" borderId="0"/>
    <xf numFmtId="0" fontId="1" fillId="0" borderId="0"/>
    <xf numFmtId="0" fontId="145" fillId="68" borderId="48" applyNumberFormat="0" applyAlignment="0" applyProtection="0"/>
    <xf numFmtId="0" fontId="276" fillId="0" borderId="0"/>
    <xf numFmtId="0" fontId="145" fillId="68" borderId="48" applyNumberFormat="0" applyAlignment="0" applyProtection="0"/>
    <xf numFmtId="0" fontId="276" fillId="0" borderId="0"/>
    <xf numFmtId="0" fontId="276" fillId="0" borderId="0"/>
    <xf numFmtId="0" fontId="1" fillId="72" borderId="0" applyNumberFormat="0" applyBorder="0" applyAlignment="0" applyProtection="0"/>
    <xf numFmtId="0" fontId="1" fillId="73" borderId="0" applyNumberFormat="0" applyBorder="0" applyAlignment="0" applyProtection="0"/>
    <xf numFmtId="0" fontId="1" fillId="74"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78"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2" borderId="0" applyNumberFormat="0" applyBorder="0" applyAlignment="0" applyProtection="0"/>
    <xf numFmtId="0" fontId="276" fillId="0" borderId="0"/>
    <xf numFmtId="0" fontId="1" fillId="84" borderId="0" applyNumberFormat="0" applyBorder="0" applyAlignment="0" applyProtection="0"/>
    <xf numFmtId="0" fontId="1" fillId="85" borderId="0" applyNumberFormat="0" applyBorder="0" applyAlignment="0" applyProtection="0"/>
    <xf numFmtId="0" fontId="1" fillId="86" borderId="0" applyNumberFormat="0" applyBorder="0" applyAlignment="0" applyProtection="0"/>
    <xf numFmtId="0" fontId="1" fillId="88"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0" borderId="0"/>
    <xf numFmtId="0" fontId="1" fillId="53" borderId="29" applyNumberFormat="0" applyFont="0" applyAlignment="0" applyProtection="0"/>
    <xf numFmtId="0" fontId="1" fillId="0" borderId="0"/>
    <xf numFmtId="0" fontId="1" fillId="53" borderId="29" applyNumberFormat="0" applyFont="0" applyAlignment="0" applyProtection="0"/>
    <xf numFmtId="0" fontId="1" fillId="72" borderId="0" applyNumberFormat="0" applyBorder="0" applyAlignment="0" applyProtection="0"/>
    <xf numFmtId="0" fontId="1" fillId="73" borderId="0" applyNumberFormat="0" applyBorder="0" applyAlignment="0" applyProtection="0"/>
    <xf numFmtId="0" fontId="1" fillId="74"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78"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2" borderId="0" applyNumberFormat="0" applyBorder="0" applyAlignment="0" applyProtection="0"/>
    <xf numFmtId="0" fontId="1" fillId="84" borderId="0" applyNumberFormat="0" applyBorder="0" applyAlignment="0" applyProtection="0"/>
    <xf numFmtId="0" fontId="1" fillId="85" borderId="0" applyNumberFormat="0" applyBorder="0" applyAlignment="0" applyProtection="0"/>
    <xf numFmtId="0" fontId="1" fillId="86" borderId="0" applyNumberFormat="0" applyBorder="0" applyAlignment="0" applyProtection="0"/>
    <xf numFmtId="0" fontId="1" fillId="88"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0" borderId="0"/>
    <xf numFmtId="0" fontId="1" fillId="0" borderId="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145" fillId="68" borderId="48" applyNumberFormat="0" applyAlignment="0" applyProtection="0"/>
    <xf numFmtId="0" fontId="145" fillId="68" borderId="48" applyNumberFormat="0" applyAlignment="0" applyProtection="0"/>
    <xf numFmtId="0" fontId="145" fillId="68" borderId="48" applyNumberFormat="0" applyAlignment="0" applyProtection="0"/>
    <xf numFmtId="0" fontId="276" fillId="0" borderId="0"/>
    <xf numFmtId="0" fontId="1" fillId="0" borderId="0"/>
    <xf numFmtId="0" fontId="145" fillId="68" borderId="48" applyNumberFormat="0" applyAlignment="0" applyProtection="0"/>
    <xf numFmtId="0" fontId="1" fillId="72" borderId="0" applyNumberFormat="0" applyBorder="0" applyAlignment="0" applyProtection="0"/>
    <xf numFmtId="0" fontId="1" fillId="73" borderId="0" applyNumberFormat="0" applyBorder="0" applyAlignment="0" applyProtection="0"/>
    <xf numFmtId="0" fontId="1" fillId="74"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78"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2" borderId="0" applyNumberFormat="0" applyBorder="0" applyAlignment="0" applyProtection="0"/>
    <xf numFmtId="0" fontId="1" fillId="84" borderId="0" applyNumberFormat="0" applyBorder="0" applyAlignment="0" applyProtection="0"/>
    <xf numFmtId="0" fontId="1" fillId="85" borderId="0" applyNumberFormat="0" applyBorder="0" applyAlignment="0" applyProtection="0"/>
    <xf numFmtId="0" fontId="1" fillId="86" borderId="0" applyNumberFormat="0" applyBorder="0" applyAlignment="0" applyProtection="0"/>
    <xf numFmtId="0" fontId="1" fillId="88"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0" borderId="0"/>
    <xf numFmtId="0" fontId="1" fillId="53" borderId="29" applyNumberFormat="0" applyFont="0" applyAlignment="0" applyProtection="0"/>
    <xf numFmtId="0" fontId="1" fillId="0" borderId="0"/>
    <xf numFmtId="0" fontId="1" fillId="53" borderId="29" applyNumberFormat="0" applyFont="0" applyAlignment="0" applyProtection="0"/>
    <xf numFmtId="0" fontId="1" fillId="72" borderId="0" applyNumberFormat="0" applyBorder="0" applyAlignment="0" applyProtection="0"/>
    <xf numFmtId="0" fontId="1" fillId="73" borderId="0" applyNumberFormat="0" applyBorder="0" applyAlignment="0" applyProtection="0"/>
    <xf numFmtId="0" fontId="1" fillId="74"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78"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2" borderId="0" applyNumberFormat="0" applyBorder="0" applyAlignment="0" applyProtection="0"/>
    <xf numFmtId="0" fontId="1" fillId="84" borderId="0" applyNumberFormat="0" applyBorder="0" applyAlignment="0" applyProtection="0"/>
    <xf numFmtId="0" fontId="1" fillId="85" borderId="0" applyNumberFormat="0" applyBorder="0" applyAlignment="0" applyProtection="0"/>
    <xf numFmtId="0" fontId="1" fillId="86" borderId="0" applyNumberFormat="0" applyBorder="0" applyAlignment="0" applyProtection="0"/>
    <xf numFmtId="0" fontId="1" fillId="88"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0" borderId="0"/>
    <xf numFmtId="0" fontId="1" fillId="0" borderId="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8" borderId="0" applyNumberFormat="0" applyBorder="0" applyAlignment="0" applyProtection="0"/>
    <xf numFmtId="0" fontId="1" fillId="88" borderId="0" applyNumberFormat="0" applyBorder="0" applyAlignment="0" applyProtection="0"/>
    <xf numFmtId="0" fontId="1" fillId="92" borderId="0" applyNumberFormat="0" applyBorder="0" applyAlignment="0" applyProtection="0"/>
    <xf numFmtId="0" fontId="1" fillId="92"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5" borderId="0" applyNumberFormat="0" applyBorder="0" applyAlignment="0" applyProtection="0"/>
    <xf numFmtId="0" fontId="1" fillId="85" borderId="0" applyNumberFormat="0" applyBorder="0" applyAlignment="0" applyProtection="0"/>
    <xf numFmtId="0" fontId="1" fillId="89" borderId="0" applyNumberFormat="0" applyBorder="0" applyAlignment="0" applyProtection="0"/>
    <xf numFmtId="0" fontId="1" fillId="89" borderId="0" applyNumberFormat="0" applyBorder="0" applyAlignment="0" applyProtection="0"/>
    <xf numFmtId="0" fontId="1" fillId="93" borderId="0" applyNumberFormat="0" applyBorder="0" applyAlignment="0" applyProtection="0"/>
    <xf numFmtId="0" fontId="1" fillId="93"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6" borderId="0" applyNumberFormat="0" applyBorder="0" applyAlignment="0" applyProtection="0"/>
    <xf numFmtId="0" fontId="1" fillId="86" borderId="0" applyNumberFormat="0" applyBorder="0" applyAlignment="0" applyProtection="0"/>
    <xf numFmtId="0" fontId="1" fillId="90" borderId="0" applyNumberFormat="0" applyBorder="0" applyAlignment="0" applyProtection="0"/>
    <xf numFmtId="0" fontId="1" fillId="90" borderId="0" applyNumberFormat="0" applyBorder="0" applyAlignment="0" applyProtection="0"/>
    <xf numFmtId="0" fontId="1" fillId="94" borderId="0" applyNumberFormat="0" applyBorder="0" applyAlignment="0" applyProtection="0"/>
    <xf numFmtId="0" fontId="1" fillId="9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53" borderId="29" applyNumberFormat="0" applyFont="0" applyAlignment="0" applyProtection="0"/>
    <xf numFmtId="0" fontId="1" fillId="53" borderId="29" applyNumberFormat="0" applyFont="0" applyAlignment="0" applyProtection="0"/>
    <xf numFmtId="0" fontId="6" fillId="32" borderId="145" applyNumberFormat="0" applyFont="0" applyAlignment="0" applyProtection="0"/>
    <xf numFmtId="0" fontId="280" fillId="0" borderId="0"/>
    <xf numFmtId="0" fontId="290" fillId="0" borderId="0"/>
    <xf numFmtId="43" fontId="6"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140" fillId="0" borderId="45" applyNumberFormat="0" applyFill="0" applyAlignment="0" applyProtection="0"/>
    <xf numFmtId="44" fontId="1" fillId="0" borderId="0" applyFont="0" applyFill="0" applyBorder="0" applyAlignment="0" applyProtection="0"/>
    <xf numFmtId="49" fontId="308" fillId="150" borderId="148">
      <alignment horizontal="center" vertical="center"/>
    </xf>
    <xf numFmtId="49" fontId="308" fillId="150" borderId="149">
      <alignment horizontal="center" vertical="center"/>
    </xf>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309" fillId="0" borderId="0"/>
    <xf numFmtId="0" fontId="43" fillId="27" borderId="155" applyNumberFormat="0" applyAlignment="0" applyProtection="0"/>
    <xf numFmtId="43" fontId="6"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0" fontId="50" fillId="13" borderId="155" applyNumberFormat="0" applyAlignment="0" applyProtection="0"/>
    <xf numFmtId="179" fontId="1" fillId="0" borderId="0"/>
    <xf numFmtId="179" fontId="1" fillId="0" borderId="0"/>
    <xf numFmtId="0" fontId="312" fillId="0" borderId="0" applyNumberFormat="0" applyFill="0" applyBorder="0" applyAlignment="0" applyProtection="0"/>
    <xf numFmtId="0" fontId="19" fillId="0" borderId="0" applyNumberFormat="0" applyFill="0" applyBorder="0" applyAlignment="0" applyProtection="0">
      <alignment vertical="top"/>
      <protection locked="0"/>
    </xf>
    <xf numFmtId="41" fontId="82"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10" fontId="40" fillId="31" borderId="164" applyNumberFormat="0" applyBorder="0" applyAlignment="0" applyProtection="0"/>
    <xf numFmtId="0" fontId="70" fillId="35" borderId="164" applyNumberFormat="0" applyAlignment="0" applyProtection="0">
      <alignment horizontal="center" vertical="center"/>
    </xf>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7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1" fontId="8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324" fillId="0" borderId="0"/>
    <xf numFmtId="43" fontId="6" fillId="0" borderId="0" applyFont="0" applyFill="0" applyBorder="0" applyAlignment="0" applyProtection="0"/>
    <xf numFmtId="0" fontId="6" fillId="0" borderId="0"/>
    <xf numFmtId="0" fontId="279" fillId="0" borderId="0" applyNumberFormat="0" applyFill="0" applyBorder="0" applyAlignment="0" applyProtection="0"/>
  </cellStyleXfs>
  <cellXfs count="1837">
    <xf numFmtId="0" fontId="0" fillId="0" borderId="0" xfId="0"/>
    <xf numFmtId="0" fontId="1" fillId="0" borderId="0" xfId="1"/>
    <xf numFmtId="0" fontId="2" fillId="0" borderId="0" xfId="1" applyFont="1"/>
    <xf numFmtId="0" fontId="0" fillId="0" borderId="0" xfId="0" applyAlignment="1">
      <alignment vertical="center" wrapText="1"/>
    </xf>
    <xf numFmtId="0" fontId="3" fillId="0" borderId="0" xfId="1" applyFont="1"/>
    <xf numFmtId="0" fontId="1" fillId="0" borderId="1" xfId="1" applyBorder="1"/>
    <xf numFmtId="0" fontId="1" fillId="0" borderId="2" xfId="1" applyBorder="1"/>
    <xf numFmtId="0" fontId="0" fillId="0" borderId="1" xfId="1" applyFont="1" applyBorder="1"/>
    <xf numFmtId="164" fontId="0" fillId="0" borderId="0" xfId="2" applyNumberFormat="1" applyFont="1" applyBorder="1"/>
    <xf numFmtId="164" fontId="4" fillId="0" borderId="0" xfId="2" applyNumberFormat="1" applyFont="1" applyBorder="1"/>
    <xf numFmtId="164" fontId="1" fillId="0" borderId="0" xfId="1" applyNumberFormat="1"/>
    <xf numFmtId="0" fontId="0" fillId="0" borderId="0" xfId="1" applyFont="1"/>
    <xf numFmtId="164" fontId="2" fillId="0" borderId="0" xfId="1" applyNumberFormat="1" applyFont="1"/>
    <xf numFmtId="164" fontId="1" fillId="0" borderId="0" xfId="2" applyNumberFormat="1" applyFont="1" applyBorder="1"/>
    <xf numFmtId="2" fontId="1" fillId="0" borderId="0" xfId="1" applyNumberFormat="1"/>
    <xf numFmtId="0" fontId="7" fillId="0" borderId="3" xfId="1" applyFont="1" applyBorder="1"/>
    <xf numFmtId="164" fontId="7" fillId="0" borderId="4" xfId="1" applyNumberFormat="1" applyFont="1" applyBorder="1"/>
    <xf numFmtId="165" fontId="3" fillId="0" borderId="0" xfId="4" applyNumberFormat="1" applyFont="1" applyBorder="1"/>
    <xf numFmtId="166" fontId="0" fillId="0" borderId="0" xfId="5" applyNumberFormat="1" applyFont="1" applyBorder="1"/>
    <xf numFmtId="0" fontId="8" fillId="0" borderId="0" xfId="1" applyFont="1"/>
    <xf numFmtId="165" fontId="8" fillId="0" borderId="0" xfId="4" applyNumberFormat="1" applyFont="1" applyBorder="1"/>
    <xf numFmtId="164" fontId="4" fillId="0" borderId="0" xfId="1" applyNumberFormat="1" applyFont="1"/>
    <xf numFmtId="0" fontId="9" fillId="0" borderId="0" xfId="1" applyFont="1"/>
    <xf numFmtId="164" fontId="9" fillId="0" borderId="0" xfId="1" applyNumberFormat="1" applyFont="1"/>
    <xf numFmtId="166" fontId="0" fillId="0" borderId="0" xfId="5" applyNumberFormat="1" applyFont="1"/>
    <xf numFmtId="165" fontId="10" fillId="0" borderId="0" xfId="4" applyNumberFormat="1" applyFont="1"/>
    <xf numFmtId="165" fontId="8" fillId="0" borderId="0" xfId="4" applyNumberFormat="1" applyFont="1"/>
    <xf numFmtId="43" fontId="1" fillId="0" borderId="0" xfId="4" applyFont="1"/>
    <xf numFmtId="166" fontId="1" fillId="0" borderId="0" xfId="3" applyNumberFormat="1" applyFont="1"/>
    <xf numFmtId="9" fontId="1" fillId="0" borderId="0" xfId="1" applyNumberFormat="1"/>
    <xf numFmtId="0" fontId="11" fillId="0" borderId="0" xfId="1" applyFont="1"/>
    <xf numFmtId="0" fontId="12" fillId="0" borderId="0" xfId="1" applyFont="1"/>
    <xf numFmtId="166" fontId="7" fillId="0" borderId="0" xfId="3" applyNumberFormat="1" applyFont="1"/>
    <xf numFmtId="0" fontId="15" fillId="0" borderId="0" xfId="0" applyFont="1" applyAlignment="1">
      <alignment horizontal="left" vertical="center" wrapText="1"/>
    </xf>
    <xf numFmtId="0" fontId="17" fillId="0" borderId="0" xfId="6" applyAlignment="1">
      <alignment horizontal="left" vertical="center" wrapText="1"/>
    </xf>
    <xf numFmtId="0" fontId="16" fillId="0" borderId="0" xfId="0" applyFont="1" applyAlignment="1">
      <alignment horizontal="left" vertical="center" wrapText="1"/>
    </xf>
    <xf numFmtId="0" fontId="0" fillId="0" borderId="0" xfId="0" applyAlignment="1">
      <alignment wrapText="1"/>
    </xf>
    <xf numFmtId="0" fontId="0" fillId="2" borderId="0" xfId="0" applyFill="1"/>
    <xf numFmtId="0" fontId="0" fillId="3" borderId="0" xfId="0" applyFill="1"/>
    <xf numFmtId="0" fontId="0" fillId="4" borderId="0" xfId="0" applyFill="1"/>
    <xf numFmtId="0" fontId="6" fillId="0" borderId="0" xfId="7" applyAlignment="1">
      <alignment horizontal="left"/>
    </xf>
    <xf numFmtId="0" fontId="6" fillId="0" borderId="0" xfId="7"/>
    <xf numFmtId="0" fontId="6" fillId="0" borderId="0" xfId="7" applyAlignment="1">
      <alignment horizontal="left" vertical="top" wrapText="1"/>
    </xf>
    <xf numFmtId="0" fontId="0" fillId="5" borderId="0" xfId="0" applyFill="1"/>
    <xf numFmtId="0" fontId="0" fillId="6" borderId="0" xfId="0" applyFill="1"/>
    <xf numFmtId="0" fontId="2" fillId="0" borderId="1" xfId="1" applyFont="1" applyBorder="1"/>
    <xf numFmtId="164" fontId="7" fillId="0" borderId="0" xfId="1" applyNumberFormat="1" applyFont="1"/>
    <xf numFmtId="0" fontId="20" fillId="0" borderId="9" xfId="1" applyFont="1" applyBorder="1"/>
    <xf numFmtId="166" fontId="6" fillId="0" borderId="0" xfId="5" applyNumberFormat="1" applyFont="1" applyBorder="1"/>
    <xf numFmtId="0" fontId="0" fillId="0" borderId="1" xfId="0" applyBorder="1"/>
    <xf numFmtId="164" fontId="1" fillId="0" borderId="2" xfId="1" applyNumberFormat="1" applyBorder="1"/>
    <xf numFmtId="164" fontId="0" fillId="0" borderId="0" xfId="0" applyNumberFormat="1"/>
    <xf numFmtId="164" fontId="1" fillId="0" borderId="4" xfId="1" applyNumberFormat="1" applyBorder="1"/>
    <xf numFmtId="164" fontId="1" fillId="0" borderId="5" xfId="1" applyNumberFormat="1" applyBorder="1"/>
    <xf numFmtId="9" fontId="1" fillId="0" borderId="0" xfId="10" applyBorder="1"/>
    <xf numFmtId="9" fontId="7" fillId="0" borderId="0" xfId="10" applyFont="1" applyBorder="1"/>
    <xf numFmtId="0" fontId="2" fillId="0" borderId="1" xfId="1" applyFont="1" applyBorder="1" applyAlignment="1">
      <alignment horizontal="left" indent="2"/>
    </xf>
    <xf numFmtId="0" fontId="0" fillId="0" borderId="1" xfId="0" applyBorder="1" applyAlignment="1">
      <alignment horizontal="left" indent="2"/>
    </xf>
    <xf numFmtId="9" fontId="7" fillId="0" borderId="4" xfId="10" applyFont="1" applyBorder="1"/>
    <xf numFmtId="0" fontId="87" fillId="54" borderId="0" xfId="0" applyFont="1" applyFill="1" applyAlignment="1">
      <alignment vertical="center"/>
    </xf>
    <xf numFmtId="0" fontId="0" fillId="0" borderId="30" xfId="0" applyBorder="1" applyAlignment="1">
      <alignment vertical="center"/>
    </xf>
    <xf numFmtId="0" fontId="17" fillId="0" borderId="30" xfId="6" applyBorder="1" applyAlignment="1">
      <alignment vertical="center"/>
    </xf>
    <xf numFmtId="0" fontId="0" fillId="0" borderId="30" xfId="0" applyBorder="1" applyAlignment="1">
      <alignment vertical="center" wrapText="1"/>
    </xf>
    <xf numFmtId="14" fontId="0" fillId="0" borderId="30" xfId="0" applyNumberFormat="1" applyBorder="1" applyAlignment="1">
      <alignment vertical="center" wrapText="1"/>
    </xf>
    <xf numFmtId="0" fontId="0" fillId="0" borderId="0" xfId="0" applyAlignment="1">
      <alignment vertical="center"/>
    </xf>
    <xf numFmtId="0" fontId="2" fillId="55" borderId="30" xfId="0" applyFont="1" applyFill="1" applyBorder="1" applyAlignment="1">
      <alignment vertical="center"/>
    </xf>
    <xf numFmtId="0" fontId="87" fillId="54" borderId="0" xfId="0" applyFont="1" applyFill="1"/>
    <xf numFmtId="0" fontId="86" fillId="0" borderId="0" xfId="0" applyFont="1" applyAlignment="1">
      <alignment horizontal="left" vertical="center" wrapText="1"/>
    </xf>
    <xf numFmtId="166" fontId="6" fillId="0" borderId="4" xfId="5" applyNumberFormat="1" applyFont="1" applyBorder="1"/>
    <xf numFmtId="166" fontId="6" fillId="0" borderId="2" xfId="5" applyNumberFormat="1" applyFont="1" applyBorder="1"/>
    <xf numFmtId="0" fontId="1" fillId="0" borderId="5" xfId="1" applyBorder="1"/>
    <xf numFmtId="0" fontId="1" fillId="0" borderId="4" xfId="1" applyBorder="1"/>
    <xf numFmtId="0" fontId="1" fillId="0" borderId="1" xfId="1" applyBorder="1" applyAlignment="1">
      <alignment horizontal="left" indent="2"/>
    </xf>
    <xf numFmtId="0" fontId="2" fillId="0" borderId="1" xfId="1" applyFont="1" applyBorder="1" applyAlignment="1">
      <alignment horizontal="left"/>
    </xf>
    <xf numFmtId="166" fontId="1" fillId="0" borderId="0" xfId="10" applyNumberFormat="1"/>
    <xf numFmtId="166" fontId="1" fillId="0" borderId="0" xfId="1" applyNumberFormat="1"/>
    <xf numFmtId="0" fontId="2" fillId="0" borderId="0" xfId="0" applyFont="1"/>
    <xf numFmtId="1" fontId="0" fillId="0" borderId="0" xfId="0" applyNumberFormat="1"/>
    <xf numFmtId="9" fontId="0" fillId="0" borderId="0" xfId="10" applyFont="1"/>
    <xf numFmtId="0" fontId="11" fillId="0" borderId="1" xfId="1" applyFont="1" applyBorder="1" applyAlignment="1">
      <alignment horizontal="left" indent="3"/>
    </xf>
    <xf numFmtId="0" fontId="5" fillId="0" borderId="1" xfId="1" applyFont="1" applyBorder="1" applyAlignment="1">
      <alignment horizontal="left" indent="2"/>
    </xf>
    <xf numFmtId="0" fontId="5" fillId="0" borderId="1" xfId="0" applyFont="1" applyBorder="1" applyAlignment="1">
      <alignment horizontal="left" indent="2"/>
    </xf>
    <xf numFmtId="0" fontId="2" fillId="0" borderId="1" xfId="0" applyFont="1" applyBorder="1"/>
    <xf numFmtId="0" fontId="88" fillId="0" borderId="1" xfId="1" applyFont="1" applyBorder="1"/>
    <xf numFmtId="0" fontId="89" fillId="0" borderId="1" xfId="1" applyFont="1" applyBorder="1"/>
    <xf numFmtId="0" fontId="1" fillId="0" borderId="3" xfId="1" applyBorder="1"/>
    <xf numFmtId="166" fontId="6" fillId="3" borderId="0" xfId="5" applyNumberFormat="1" applyFont="1" applyFill="1" applyBorder="1"/>
    <xf numFmtId="0" fontId="1" fillId="0" borderId="33" xfId="1" applyBorder="1"/>
    <xf numFmtId="0" fontId="17" fillId="0" borderId="34" xfId="6" applyBorder="1" applyAlignment="1">
      <alignment horizontal="left"/>
    </xf>
    <xf numFmtId="164" fontId="1" fillId="0" borderId="33" xfId="1" applyNumberFormat="1" applyBorder="1"/>
    <xf numFmtId="0" fontId="0" fillId="0" borderId="33" xfId="1" applyFont="1" applyBorder="1"/>
    <xf numFmtId="0" fontId="0" fillId="0" borderId="33" xfId="0" applyBorder="1"/>
    <xf numFmtId="0" fontId="2" fillId="0" borderId="31" xfId="1" applyFont="1" applyBorder="1"/>
    <xf numFmtId="0" fontId="1" fillId="0" borderId="35" xfId="1" applyBorder="1"/>
    <xf numFmtId="164" fontId="3" fillId="0" borderId="31" xfId="1" applyNumberFormat="1" applyFont="1" applyBorder="1"/>
    <xf numFmtId="0" fontId="17" fillId="0" borderId="33" xfId="6" applyBorder="1"/>
    <xf numFmtId="2" fontId="0" fillId="0" borderId="0" xfId="0" applyNumberFormat="1"/>
    <xf numFmtId="9" fontId="0" fillId="0" borderId="0" xfId="10" applyFont="1" applyBorder="1"/>
    <xf numFmtId="166" fontId="0" fillId="0" borderId="0" xfId="10" applyNumberFormat="1" applyFont="1"/>
    <xf numFmtId="9" fontId="1" fillId="0" borderId="2" xfId="1" applyNumberFormat="1" applyBorder="1"/>
    <xf numFmtId="0" fontId="95" fillId="0" borderId="0" xfId="7" applyFont="1"/>
    <xf numFmtId="2" fontId="96" fillId="56" borderId="0" xfId="419" applyNumberFormat="1" applyFont="1" applyFill="1" applyAlignment="1">
      <alignment horizontal="center" wrapText="1"/>
    </xf>
    <xf numFmtId="0" fontId="97" fillId="0" borderId="0" xfId="0" applyFont="1"/>
    <xf numFmtId="0" fontId="98" fillId="4" borderId="0" xfId="171" applyFont="1" applyFill="1" applyAlignment="1">
      <alignment horizontal="left"/>
    </xf>
    <xf numFmtId="166" fontId="95" fillId="0" borderId="0" xfId="7" applyNumberFormat="1" applyFont="1"/>
    <xf numFmtId="164" fontId="99" fillId="58" borderId="0" xfId="419" applyNumberFormat="1" applyFont="1" applyFill="1" applyAlignment="1">
      <alignment horizontal="center" vertical="center" wrapText="1"/>
    </xf>
    <xf numFmtId="164" fontId="96" fillId="58" borderId="0" xfId="419" applyNumberFormat="1" applyFont="1" applyFill="1" applyAlignment="1">
      <alignment horizontal="center" vertical="center" wrapText="1"/>
    </xf>
    <xf numFmtId="164" fontId="100" fillId="58" borderId="0" xfId="419" applyNumberFormat="1" applyFont="1" applyFill="1" applyAlignment="1">
      <alignment horizontal="center" vertical="center" wrapText="1"/>
    </xf>
    <xf numFmtId="166" fontId="98" fillId="4" borderId="0" xfId="420" applyNumberFormat="1" applyFont="1" applyFill="1" applyAlignment="1">
      <alignment horizontal="center" vertical="center"/>
    </xf>
    <xf numFmtId="0" fontId="101" fillId="0" borderId="0" xfId="7" applyFont="1"/>
    <xf numFmtId="164" fontId="98" fillId="7" borderId="0" xfId="175" applyNumberFormat="1" applyFont="1" applyFill="1" applyAlignment="1">
      <alignment horizontal="center"/>
    </xf>
    <xf numFmtId="0" fontId="97" fillId="4" borderId="0" xfId="171" applyFont="1" applyFill="1"/>
    <xf numFmtId="0" fontId="102" fillId="4" borderId="0" xfId="171" applyFont="1" applyFill="1"/>
    <xf numFmtId="164" fontId="103" fillId="33" borderId="0" xfId="420" applyNumberFormat="1" applyFont="1" applyFill="1" applyAlignment="1">
      <alignment horizontal="center" vertical="center"/>
    </xf>
    <xf numFmtId="164" fontId="100" fillId="4" borderId="0" xfId="3" applyNumberFormat="1" applyFont="1" applyFill="1" applyAlignment="1">
      <alignment horizontal="center" vertical="center"/>
    </xf>
    <xf numFmtId="164" fontId="100" fillId="33" borderId="0" xfId="420" applyNumberFormat="1" applyFont="1" applyFill="1" applyAlignment="1">
      <alignment horizontal="center" vertical="center"/>
    </xf>
    <xf numFmtId="164" fontId="104" fillId="33" borderId="0" xfId="420" applyNumberFormat="1" applyFont="1" applyFill="1" applyAlignment="1">
      <alignment horizontal="center" vertical="center"/>
    </xf>
    <xf numFmtId="164" fontId="105" fillId="4" borderId="39" xfId="419" applyNumberFormat="1" applyFont="1" applyFill="1" applyBorder="1" applyAlignment="1">
      <alignment horizontal="center" vertical="center" wrapText="1"/>
    </xf>
    <xf numFmtId="164" fontId="105" fillId="33" borderId="39" xfId="420" applyNumberFormat="1" applyFont="1" applyFill="1" applyBorder="1" applyAlignment="1">
      <alignment horizontal="center" vertical="center"/>
    </xf>
    <xf numFmtId="164" fontId="105" fillId="4" borderId="0" xfId="419" applyNumberFormat="1" applyFont="1" applyFill="1" applyAlignment="1">
      <alignment horizontal="center" vertical="center" wrapText="1"/>
    </xf>
    <xf numFmtId="164" fontId="105" fillId="33" borderId="0" xfId="420" applyNumberFormat="1" applyFont="1" applyFill="1" applyAlignment="1">
      <alignment horizontal="center" vertical="center"/>
    </xf>
    <xf numFmtId="164" fontId="105" fillId="33" borderId="40" xfId="420" applyNumberFormat="1" applyFont="1" applyFill="1" applyBorder="1" applyAlignment="1">
      <alignment horizontal="center" vertical="center"/>
    </xf>
    <xf numFmtId="3" fontId="97" fillId="0" borderId="0" xfId="0" applyNumberFormat="1" applyFont="1"/>
    <xf numFmtId="166" fontId="97" fillId="0" borderId="0" xfId="10" applyNumberFormat="1" applyFont="1"/>
    <xf numFmtId="166" fontId="0" fillId="0" borderId="0" xfId="1" applyNumberFormat="1" applyFont="1"/>
    <xf numFmtId="0" fontId="115" fillId="0" borderId="0" xfId="0" applyFont="1"/>
    <xf numFmtId="0" fontId="116" fillId="0" borderId="0" xfId="0" applyFont="1"/>
    <xf numFmtId="0" fontId="17" fillId="0" borderId="0" xfId="6"/>
    <xf numFmtId="0" fontId="2" fillId="55" borderId="30" xfId="0" applyFont="1" applyFill="1" applyBorder="1" applyAlignment="1">
      <alignment horizontal="center" vertical="center"/>
    </xf>
    <xf numFmtId="164" fontId="1" fillId="0" borderId="0" xfId="2" applyNumberFormat="1" applyFont="1" applyFill="1" applyBorder="1"/>
    <xf numFmtId="43" fontId="0" fillId="0" borderId="0" xfId="0" applyNumberFormat="1"/>
    <xf numFmtId="165" fontId="0" fillId="0" borderId="0" xfId="407" applyNumberFormat="1" applyFont="1" applyBorder="1"/>
    <xf numFmtId="165" fontId="0" fillId="0" borderId="0" xfId="407" applyNumberFormat="1" applyFont="1" applyBorder="1" applyAlignment="1">
      <alignment horizontal="center"/>
    </xf>
    <xf numFmtId="0" fontId="5" fillId="0" borderId="1" xfId="0" applyFont="1" applyBorder="1"/>
    <xf numFmtId="0" fontId="0" fillId="0" borderId="3" xfId="0" applyBorder="1"/>
    <xf numFmtId="2" fontId="0" fillId="0" borderId="4" xfId="0" applyNumberFormat="1" applyBorder="1"/>
    <xf numFmtId="0" fontId="11" fillId="0" borderId="0" xfId="0" applyFont="1"/>
    <xf numFmtId="0" fontId="121" fillId="0" borderId="1" xfId="0" applyFont="1" applyBorder="1"/>
    <xf numFmtId="0" fontId="121" fillId="0" borderId="0" xfId="0" applyFont="1"/>
    <xf numFmtId="0" fontId="120" fillId="0" borderId="1" xfId="0" applyFont="1" applyBorder="1"/>
    <xf numFmtId="0" fontId="120" fillId="0" borderId="0" xfId="0" applyFont="1"/>
    <xf numFmtId="0" fontId="121" fillId="0" borderId="1" xfId="0" applyFont="1" applyBorder="1" applyAlignment="1">
      <alignment horizontal="left" indent="2"/>
    </xf>
    <xf numFmtId="2" fontId="121" fillId="0" borderId="0" xfId="0" applyNumberFormat="1" applyFont="1"/>
    <xf numFmtId="0" fontId="121" fillId="0" borderId="3" xfId="0" applyFont="1" applyBorder="1"/>
    <xf numFmtId="2" fontId="121" fillId="0" borderId="4" xfId="0" applyNumberFormat="1" applyFont="1" applyBorder="1"/>
    <xf numFmtId="0" fontId="122" fillId="0" borderId="0" xfId="0" applyFont="1"/>
    <xf numFmtId="0" fontId="124" fillId="0" borderId="1" xfId="0" applyFont="1" applyBorder="1"/>
    <xf numFmtId="0" fontId="124" fillId="0" borderId="0" xfId="0" applyFont="1"/>
    <xf numFmtId="0" fontId="125" fillId="0" borderId="1" xfId="0" applyFont="1" applyBorder="1"/>
    <xf numFmtId="0" fontId="123" fillId="0" borderId="0" xfId="0" applyFont="1"/>
    <xf numFmtId="0" fontId="124" fillId="0" borderId="1" xfId="0" applyFont="1" applyBorder="1" applyAlignment="1">
      <alignment horizontal="left" indent="2"/>
    </xf>
    <xf numFmtId="2" fontId="124" fillId="0" borderId="0" xfId="0" applyNumberFormat="1" applyFont="1"/>
    <xf numFmtId="0" fontId="124" fillId="0" borderId="3" xfId="0" applyFont="1" applyBorder="1"/>
    <xf numFmtId="2" fontId="124" fillId="0" borderId="4" xfId="0" applyNumberFormat="1" applyFont="1" applyBorder="1"/>
    <xf numFmtId="0" fontId="2" fillId="57" borderId="0" xfId="0" applyFont="1" applyFill="1"/>
    <xf numFmtId="0" fontId="0" fillId="57" borderId="0" xfId="0" applyFill="1"/>
    <xf numFmtId="189" fontId="124" fillId="0" borderId="0" xfId="407" applyNumberFormat="1" applyFont="1"/>
    <xf numFmtId="0" fontId="17" fillId="0" borderId="33" xfId="6" applyBorder="1" applyAlignment="1">
      <alignment horizontal="left"/>
    </xf>
    <xf numFmtId="189" fontId="1" fillId="0" borderId="0" xfId="407" applyNumberFormat="1" applyBorder="1"/>
    <xf numFmtId="0" fontId="90" fillId="0" borderId="0" xfId="0" applyFont="1"/>
    <xf numFmtId="3" fontId="90" fillId="0" borderId="0" xfId="0" applyNumberFormat="1" applyFont="1"/>
    <xf numFmtId="16" fontId="0" fillId="0" borderId="30" xfId="0" applyNumberFormat="1" applyBorder="1" applyAlignment="1">
      <alignment vertical="center" wrapText="1"/>
    </xf>
    <xf numFmtId="189" fontId="0" fillId="0" borderId="0" xfId="407" applyNumberFormat="1" applyFont="1"/>
    <xf numFmtId="164" fontId="17" fillId="0" borderId="0" xfId="6" applyNumberFormat="1"/>
    <xf numFmtId="0" fontId="1" fillId="0" borderId="0" xfId="10" applyNumberFormat="1" applyFill="1" applyBorder="1"/>
    <xf numFmtId="0" fontId="2" fillId="0" borderId="0" xfId="10" applyNumberFormat="1" applyFont="1" applyFill="1" applyBorder="1"/>
    <xf numFmtId="2" fontId="90" fillId="0" borderId="0" xfId="0" applyNumberFormat="1" applyFont="1"/>
    <xf numFmtId="1" fontId="90" fillId="0" borderId="0" xfId="0" applyNumberFormat="1" applyFont="1"/>
    <xf numFmtId="0" fontId="0" fillId="55" borderId="0" xfId="0" applyFill="1"/>
    <xf numFmtId="0" fontId="2" fillId="55" borderId="0" xfId="0" applyFont="1" applyFill="1" applyAlignment="1">
      <alignment horizontal="center"/>
    </xf>
    <xf numFmtId="0" fontId="2" fillId="55" borderId="0" xfId="0" applyFont="1" applyFill="1"/>
    <xf numFmtId="10" fontId="0" fillId="0" borderId="0" xfId="10" applyNumberFormat="1" applyFont="1"/>
    <xf numFmtId="166" fontId="0" fillId="0" borderId="0" xfId="0" applyNumberFormat="1"/>
    <xf numFmtId="10" fontId="0" fillId="0" borderId="0" xfId="0" applyNumberFormat="1"/>
    <xf numFmtId="164" fontId="129" fillId="0" borderId="36" xfId="0" applyNumberFormat="1" applyFont="1" applyBorder="1" applyAlignment="1">
      <alignment horizontal="center"/>
    </xf>
    <xf numFmtId="0" fontId="95" fillId="0" borderId="0" xfId="7" applyFont="1" applyAlignment="1">
      <alignment horizontal="center"/>
    </xf>
    <xf numFmtId="1" fontId="99" fillId="58" borderId="0" xfId="419" applyNumberFormat="1" applyFont="1" applyFill="1" applyAlignment="1">
      <alignment horizontal="center" vertical="center" wrapText="1"/>
    </xf>
    <xf numFmtId="1" fontId="98" fillId="58" borderId="0" xfId="419" applyNumberFormat="1" applyFont="1" applyFill="1" applyAlignment="1">
      <alignment horizontal="center" vertical="center" wrapText="1"/>
    </xf>
    <xf numFmtId="1" fontId="97" fillId="0" borderId="0" xfId="0" applyNumberFormat="1" applyFont="1" applyAlignment="1">
      <alignment horizontal="center"/>
    </xf>
    <xf numFmtId="1" fontId="95" fillId="0" borderId="0" xfId="7" applyNumberFormat="1" applyFont="1" applyAlignment="1">
      <alignment horizontal="center"/>
    </xf>
    <xf numFmtId="188" fontId="114" fillId="62" borderId="0" xfId="427" applyNumberFormat="1" applyFont="1" applyFill="1" applyAlignment="1">
      <alignment horizontal="center"/>
    </xf>
    <xf numFmtId="164" fontId="103" fillId="4" borderId="0" xfId="361" applyNumberFormat="1" applyFont="1" applyFill="1" applyAlignment="1">
      <alignment horizontal="center" vertical="center"/>
    </xf>
    <xf numFmtId="0" fontId="97" fillId="0" borderId="0" xfId="0" applyFont="1" applyAlignment="1">
      <alignment horizontal="center"/>
    </xf>
    <xf numFmtId="166" fontId="95" fillId="0" borderId="0" xfId="10" applyNumberFormat="1" applyFont="1" applyAlignment="1">
      <alignment horizontal="center"/>
    </xf>
    <xf numFmtId="166" fontId="95" fillId="0" borderId="0" xfId="7" applyNumberFormat="1" applyFont="1" applyAlignment="1">
      <alignment horizontal="center"/>
    </xf>
    <xf numFmtId="164" fontId="95" fillId="0" borderId="0" xfId="7" applyNumberFormat="1" applyFont="1" applyAlignment="1">
      <alignment horizontal="center"/>
    </xf>
    <xf numFmtId="181" fontId="129" fillId="33" borderId="0" xfId="420" applyNumberFormat="1" applyFont="1" applyFill="1" applyAlignment="1">
      <alignment horizontal="right" vertical="center"/>
    </xf>
    <xf numFmtId="181" fontId="129" fillId="33" borderId="36" xfId="420" applyNumberFormat="1" applyFont="1" applyFill="1" applyBorder="1" applyAlignment="1">
      <alignment horizontal="right" vertical="center"/>
    </xf>
    <xf numFmtId="1" fontId="98" fillId="4" borderId="37" xfId="11" applyNumberFormat="1" applyFont="1" applyFill="1" applyBorder="1" applyAlignment="1">
      <alignment horizontal="center" vertical="center"/>
    </xf>
    <xf numFmtId="1" fontId="98" fillId="4" borderId="38" xfId="11" applyNumberFormat="1" applyFont="1" applyFill="1" applyBorder="1" applyAlignment="1">
      <alignment horizontal="center" vertical="center"/>
    </xf>
    <xf numFmtId="1" fontId="98" fillId="4" borderId="0" xfId="419" applyNumberFormat="1" applyFont="1" applyFill="1" applyAlignment="1">
      <alignment horizontal="center" vertical="center"/>
    </xf>
    <xf numFmtId="1" fontId="98" fillId="4" borderId="37" xfId="419" applyNumberFormat="1" applyFont="1" applyFill="1" applyBorder="1" applyAlignment="1">
      <alignment horizontal="center" vertical="center"/>
    </xf>
    <xf numFmtId="1" fontId="98" fillId="57" borderId="37" xfId="419" applyNumberFormat="1" applyFont="1" applyFill="1" applyBorder="1" applyAlignment="1">
      <alignment horizontal="center" vertical="center"/>
    </xf>
    <xf numFmtId="1" fontId="98" fillId="57" borderId="41" xfId="419" applyNumberFormat="1" applyFont="1" applyFill="1" applyBorder="1" applyAlignment="1">
      <alignment horizontal="center" vertical="center"/>
    </xf>
    <xf numFmtId="1" fontId="95" fillId="57" borderId="0" xfId="7" applyNumberFormat="1" applyFont="1" applyFill="1" applyAlignment="1">
      <alignment horizontal="center"/>
    </xf>
    <xf numFmtId="1" fontId="97" fillId="57" borderId="0" xfId="0" applyNumberFormat="1" applyFont="1" applyFill="1" applyAlignment="1">
      <alignment horizontal="center"/>
    </xf>
    <xf numFmtId="189" fontId="1" fillId="0" borderId="0" xfId="407" applyNumberFormat="1"/>
    <xf numFmtId="189" fontId="7" fillId="0" borderId="0" xfId="407" applyNumberFormat="1" applyFont="1"/>
    <xf numFmtId="166" fontId="98" fillId="4" borderId="0" xfId="7" applyNumberFormat="1" applyFont="1" applyFill="1" applyAlignment="1">
      <alignment horizontal="center"/>
    </xf>
    <xf numFmtId="0" fontId="98" fillId="4" borderId="0" xfId="7" applyFont="1" applyFill="1" applyAlignment="1">
      <alignment horizontal="center"/>
    </xf>
    <xf numFmtId="0" fontId="97" fillId="4" borderId="0" xfId="0" applyFont="1" applyFill="1" applyAlignment="1">
      <alignment horizontal="center"/>
    </xf>
    <xf numFmtId="0" fontId="2" fillId="6" borderId="0" xfId="1" applyFont="1" applyFill="1"/>
    <xf numFmtId="166" fontId="95" fillId="0" borderId="0" xfId="10" applyNumberFormat="1" applyFont="1"/>
    <xf numFmtId="166" fontId="1" fillId="0" borderId="0" xfId="10" applyNumberFormat="1" applyBorder="1"/>
    <xf numFmtId="164" fontId="95" fillId="57" borderId="0" xfId="7" applyNumberFormat="1" applyFont="1" applyFill="1" applyAlignment="1">
      <alignment horizontal="center"/>
    </xf>
    <xf numFmtId="166" fontId="97" fillId="0" borderId="0" xfId="10" applyNumberFormat="1" applyFont="1" applyAlignment="1">
      <alignment horizontal="center"/>
    </xf>
    <xf numFmtId="164" fontId="97" fillId="0" borderId="0" xfId="0" applyNumberFormat="1" applyFont="1"/>
    <xf numFmtId="164" fontId="97" fillId="0" borderId="0" xfId="0" applyNumberFormat="1" applyFont="1" applyAlignment="1">
      <alignment horizontal="center"/>
    </xf>
    <xf numFmtId="164" fontId="102" fillId="4" borderId="0" xfId="171" applyNumberFormat="1" applyFont="1" applyFill="1"/>
    <xf numFmtId="4" fontId="90" fillId="0" borderId="0" xfId="0" applyNumberFormat="1" applyFont="1"/>
    <xf numFmtId="164" fontId="129" fillId="0" borderId="0" xfId="0" applyNumberFormat="1" applyFont="1" applyAlignment="1">
      <alignment horizontal="center"/>
    </xf>
    <xf numFmtId="166" fontId="115" fillId="0" borderId="0" xfId="0" applyNumberFormat="1" applyFont="1"/>
    <xf numFmtId="3" fontId="73" fillId="0" borderId="1" xfId="1049" applyNumberFormat="1" applyFont="1" applyBorder="1" applyAlignment="1">
      <alignment horizontal="center"/>
    </xf>
    <xf numFmtId="3" fontId="73" fillId="0" borderId="0" xfId="1049" applyNumberFormat="1" applyFont="1" applyAlignment="1">
      <alignment horizontal="center"/>
    </xf>
    <xf numFmtId="3" fontId="200" fillId="33" borderId="0" xfId="1133" applyNumberFormat="1" applyFont="1" applyFill="1" applyAlignment="1">
      <alignment horizontal="center"/>
    </xf>
    <xf numFmtId="3" fontId="200" fillId="33" borderId="1" xfId="1136" applyNumberFormat="1" applyFont="1" applyFill="1" applyBorder="1" applyAlignment="1">
      <alignment horizontal="center"/>
    </xf>
    <xf numFmtId="3" fontId="200" fillId="33" borderId="1" xfId="1139" applyNumberFormat="1" applyFont="1" applyFill="1" applyBorder="1" applyAlignment="1">
      <alignment horizontal="center"/>
    </xf>
    <xf numFmtId="3" fontId="200" fillId="33" borderId="1" xfId="1142" applyNumberFormat="1" applyFont="1" applyFill="1" applyBorder="1" applyAlignment="1">
      <alignment horizontal="center"/>
    </xf>
    <xf numFmtId="3" fontId="200" fillId="33" borderId="1" xfId="1145" applyNumberFormat="1" applyFont="1" applyFill="1" applyBorder="1" applyAlignment="1">
      <alignment horizontal="center"/>
    </xf>
    <xf numFmtId="3" fontId="200" fillId="33" borderId="0" xfId="1151" applyNumberFormat="1" applyFont="1" applyFill="1" applyAlignment="1">
      <alignment horizontal="center"/>
    </xf>
    <xf numFmtId="3" fontId="200" fillId="33" borderId="0" xfId="1157" applyNumberFormat="1" applyFont="1" applyFill="1" applyAlignment="1">
      <alignment horizontal="center"/>
    </xf>
    <xf numFmtId="3" fontId="200" fillId="33" borderId="0" xfId="1163" applyNumberFormat="1" applyFont="1" applyFill="1" applyAlignment="1">
      <alignment horizontal="center"/>
    </xf>
    <xf numFmtId="3" fontId="200" fillId="33" borderId="0" xfId="1166" applyNumberFormat="1" applyFont="1" applyFill="1" applyAlignment="1">
      <alignment horizontal="center"/>
    </xf>
    <xf numFmtId="3" fontId="200" fillId="33" borderId="0" xfId="1169" applyNumberFormat="1" applyFont="1" applyFill="1" applyAlignment="1">
      <alignment horizontal="center"/>
    </xf>
    <xf numFmtId="3" fontId="200" fillId="33" borderId="0" xfId="1172" applyNumberFormat="1" applyFont="1" applyFill="1" applyAlignment="1">
      <alignment horizontal="center"/>
    </xf>
    <xf numFmtId="3" fontId="200" fillId="33" borderId="0" xfId="1178" applyNumberFormat="1" applyFont="1" applyFill="1" applyAlignment="1">
      <alignment horizontal="center"/>
    </xf>
    <xf numFmtId="3" fontId="200" fillId="33" borderId="1" xfId="1184" applyNumberFormat="1" applyFont="1" applyFill="1" applyBorder="1" applyAlignment="1">
      <alignment horizontal="center"/>
    </xf>
    <xf numFmtId="3" fontId="200" fillId="33" borderId="1" xfId="1187" applyNumberFormat="1" applyFont="1" applyFill="1" applyBorder="1" applyAlignment="1">
      <alignment horizontal="center"/>
    </xf>
    <xf numFmtId="3" fontId="200" fillId="33" borderId="1" xfId="1190" applyNumberFormat="1" applyFont="1" applyFill="1" applyBorder="1" applyAlignment="1">
      <alignment horizontal="center"/>
    </xf>
    <xf numFmtId="3" fontId="200" fillId="33" borderId="1" xfId="1193" applyNumberFormat="1" applyFont="1" applyFill="1" applyBorder="1" applyAlignment="1">
      <alignment horizontal="center"/>
    </xf>
    <xf numFmtId="3" fontId="200" fillId="33" borderId="70" xfId="1196" applyNumberFormat="1" applyFont="1" applyFill="1" applyBorder="1" applyAlignment="1">
      <alignment horizontal="center"/>
    </xf>
    <xf numFmtId="3" fontId="200" fillId="33" borderId="0" xfId="1199" applyNumberFormat="1" applyFont="1" applyFill="1" applyAlignment="1">
      <alignment horizontal="center"/>
    </xf>
    <xf numFmtId="3" fontId="200" fillId="33" borderId="0" xfId="1208" applyNumberFormat="1" applyFont="1" applyFill="1" applyAlignment="1">
      <alignment horizontal="center"/>
    </xf>
    <xf numFmtId="3" fontId="200" fillId="33" borderId="0" xfId="1211" applyNumberFormat="1" applyFont="1" applyFill="1" applyAlignment="1">
      <alignment horizontal="center"/>
    </xf>
    <xf numFmtId="3" fontId="200" fillId="33" borderId="1" xfId="1214" applyNumberFormat="1" applyFont="1" applyFill="1" applyBorder="1" applyAlignment="1">
      <alignment horizontal="center"/>
    </xf>
    <xf numFmtId="3" fontId="200" fillId="33" borderId="70" xfId="1217" applyNumberFormat="1" applyFont="1" applyFill="1" applyBorder="1" applyAlignment="1">
      <alignment horizontal="center"/>
    </xf>
    <xf numFmtId="3" fontId="200" fillId="33" borderId="0" xfId="1229" applyNumberFormat="1" applyFont="1" applyFill="1" applyAlignment="1">
      <alignment horizontal="center"/>
    </xf>
    <xf numFmtId="3" fontId="200" fillId="33" borderId="0" xfId="1232" applyNumberFormat="1" applyFont="1" applyFill="1" applyAlignment="1">
      <alignment horizontal="center"/>
    </xf>
    <xf numFmtId="3" fontId="200" fillId="33" borderId="0" xfId="1235" applyNumberFormat="1" applyFont="1" applyFill="1" applyAlignment="1">
      <alignment horizontal="center"/>
    </xf>
    <xf numFmtId="3" fontId="200" fillId="33" borderId="0" xfId="1238" applyNumberFormat="1" applyFont="1" applyFill="1" applyAlignment="1">
      <alignment horizontal="center"/>
    </xf>
    <xf numFmtId="3" fontId="200" fillId="33" borderId="0" xfId="1241" applyNumberFormat="1" applyFont="1" applyFill="1" applyAlignment="1">
      <alignment horizontal="center"/>
    </xf>
    <xf numFmtId="3" fontId="200" fillId="33" borderId="0" xfId="1247" applyNumberFormat="1" applyFont="1" applyFill="1" applyAlignment="1">
      <alignment horizontal="center"/>
    </xf>
    <xf numFmtId="3" fontId="200" fillId="33" borderId="0" xfId="1250" applyNumberFormat="1" applyFont="1" applyFill="1" applyAlignment="1">
      <alignment horizontal="center"/>
    </xf>
    <xf numFmtId="3" fontId="200" fillId="33" borderId="0" xfId="1253" applyNumberFormat="1" applyFont="1" applyFill="1" applyAlignment="1">
      <alignment horizontal="center"/>
    </xf>
    <xf numFmtId="3" fontId="200" fillId="33" borderId="0" xfId="1256" applyNumberFormat="1" applyFont="1" applyFill="1" applyAlignment="1">
      <alignment horizontal="center"/>
    </xf>
    <xf numFmtId="3" fontId="200" fillId="33" borderId="0" xfId="1259" applyNumberFormat="1" applyFont="1" applyFill="1" applyAlignment="1">
      <alignment horizontal="center"/>
    </xf>
    <xf numFmtId="3" fontId="200" fillId="33" borderId="0" xfId="1262" applyNumberFormat="1" applyFont="1" applyFill="1" applyAlignment="1">
      <alignment horizontal="center"/>
    </xf>
    <xf numFmtId="3" fontId="200" fillId="33" borderId="0" xfId="1265" applyNumberFormat="1" applyFont="1" applyFill="1" applyAlignment="1">
      <alignment horizontal="center"/>
    </xf>
    <xf numFmtId="3" fontId="200" fillId="33" borderId="0" xfId="1268" applyNumberFormat="1" applyFont="1" applyFill="1" applyAlignment="1">
      <alignment horizontal="center"/>
    </xf>
    <xf numFmtId="3" fontId="200" fillId="33" borderId="0" xfId="1271" applyNumberFormat="1" applyFont="1" applyFill="1" applyAlignment="1">
      <alignment horizontal="center"/>
    </xf>
    <xf numFmtId="3" fontId="200" fillId="33" borderId="4" xfId="1274" applyNumberFormat="1" applyFont="1" applyFill="1" applyBorder="1" applyAlignment="1">
      <alignment horizontal="center"/>
    </xf>
    <xf numFmtId="43" fontId="98" fillId="4" borderId="0" xfId="407" applyFont="1" applyFill="1" applyAlignment="1">
      <alignment horizontal="center" vertical="center"/>
    </xf>
    <xf numFmtId="165" fontId="98" fillId="4" borderId="0" xfId="407" applyNumberFormat="1" applyFont="1" applyFill="1" applyAlignment="1">
      <alignment horizontal="center" vertical="center"/>
    </xf>
    <xf numFmtId="165" fontId="97" fillId="0" borderId="0" xfId="407" applyNumberFormat="1" applyFont="1" applyAlignment="1">
      <alignment horizontal="center"/>
    </xf>
    <xf numFmtId="165" fontId="6" fillId="0" borderId="0" xfId="407" applyNumberFormat="1" applyFont="1" applyFill="1" applyBorder="1" applyAlignment="1">
      <alignment horizontal="right"/>
    </xf>
    <xf numFmtId="165" fontId="200" fillId="0" borderId="0" xfId="407" applyNumberFormat="1" applyFont="1" applyFill="1" applyBorder="1" applyAlignment="1">
      <alignment horizontal="center"/>
    </xf>
    <xf numFmtId="165" fontId="1" fillId="0" borderId="0" xfId="407" applyNumberFormat="1" applyFont="1" applyFill="1" applyBorder="1" applyAlignment="1">
      <alignment horizontal="right"/>
    </xf>
    <xf numFmtId="0" fontId="201" fillId="0" borderId="0" xfId="0" applyFont="1" applyAlignment="1">
      <alignment horizontal="left"/>
    </xf>
    <xf numFmtId="164" fontId="202" fillId="4" borderId="0" xfId="0" applyNumberFormat="1" applyFont="1" applyFill="1" applyAlignment="1">
      <alignment horizontal="right" vertical="center" wrapText="1"/>
    </xf>
    <xf numFmtId="218" fontId="0" fillId="0" borderId="0" xfId="407" applyNumberFormat="1" applyFont="1"/>
    <xf numFmtId="165" fontId="0" fillId="0" borderId="0" xfId="407" applyNumberFormat="1" applyFont="1"/>
    <xf numFmtId="0" fontId="201" fillId="0" borderId="0" xfId="0" applyFont="1"/>
    <xf numFmtId="0" fontId="139" fillId="0" borderId="72" xfId="0" applyFont="1" applyBorder="1"/>
    <xf numFmtId="0" fontId="2" fillId="0" borderId="73" xfId="0" applyFont="1" applyBorder="1"/>
    <xf numFmtId="9" fontId="6" fillId="33" borderId="74" xfId="10" applyFont="1" applyFill="1" applyBorder="1" applyAlignment="1">
      <alignment horizontal="right"/>
    </xf>
    <xf numFmtId="0" fontId="139" fillId="0" borderId="0" xfId="0" applyFont="1"/>
    <xf numFmtId="3" fontId="6" fillId="33" borderId="72" xfId="1277" applyNumberFormat="1" applyFill="1" applyBorder="1"/>
    <xf numFmtId="3" fontId="6" fillId="33" borderId="72" xfId="0" applyNumberFormat="1" applyFont="1" applyFill="1" applyBorder="1"/>
    <xf numFmtId="181" fontId="6" fillId="33" borderId="72" xfId="0" applyNumberFormat="1" applyFont="1" applyFill="1" applyBorder="1" applyAlignment="1">
      <alignment horizontal="right"/>
    </xf>
    <xf numFmtId="9" fontId="6" fillId="33" borderId="72" xfId="10" applyFont="1" applyFill="1" applyBorder="1" applyAlignment="1">
      <alignment horizontal="right"/>
    </xf>
    <xf numFmtId="3" fontId="6" fillId="0" borderId="0" xfId="0" applyNumberFormat="1" applyFont="1" applyAlignment="1">
      <alignment horizontal="right"/>
    </xf>
    <xf numFmtId="3" fontId="6" fillId="33" borderId="72" xfId="1278" applyNumberFormat="1" applyFont="1" applyFill="1" applyBorder="1"/>
    <xf numFmtId="220" fontId="32" fillId="0" borderId="72" xfId="1279" applyNumberFormat="1" applyFont="1" applyBorder="1" applyAlignment="1" applyProtection="1">
      <alignment horizontal="right"/>
      <protection locked="0"/>
    </xf>
    <xf numFmtId="220" fontId="32" fillId="0" borderId="72" xfId="0" applyNumberFormat="1" applyFont="1" applyBorder="1" applyAlignment="1">
      <alignment horizontal="right"/>
    </xf>
    <xf numFmtId="220" fontId="32" fillId="57" borderId="72" xfId="0" applyNumberFormat="1" applyFont="1" applyFill="1" applyBorder="1" applyAlignment="1">
      <alignment horizontal="right"/>
    </xf>
    <xf numFmtId="181" fontId="6" fillId="57" borderId="72" xfId="0" applyNumberFormat="1" applyFont="1" applyFill="1" applyBorder="1" applyAlignment="1">
      <alignment horizontal="right"/>
    </xf>
    <xf numFmtId="9" fontId="6" fillId="57" borderId="72" xfId="10" applyFont="1" applyFill="1" applyBorder="1" applyAlignment="1">
      <alignment horizontal="right"/>
    </xf>
    <xf numFmtId="0" fontId="139" fillId="57" borderId="72" xfId="0" applyFont="1" applyFill="1" applyBorder="1"/>
    <xf numFmtId="0" fontId="139" fillId="57" borderId="0" xfId="0" applyFont="1" applyFill="1"/>
    <xf numFmtId="221" fontId="85" fillId="0" borderId="72" xfId="0" applyNumberFormat="1" applyFont="1" applyBorder="1"/>
    <xf numFmtId="221" fontId="32" fillId="33" borderId="72" xfId="1280" applyNumberFormat="1" applyFont="1" applyFill="1" applyBorder="1" applyProtection="1">
      <protection locked="0"/>
    </xf>
    <xf numFmtId="221" fontId="32" fillId="0" borderId="72" xfId="1280" applyNumberFormat="1" applyFont="1" applyBorder="1" applyProtection="1">
      <protection locked="0"/>
    </xf>
    <xf numFmtId="221" fontId="32" fillId="33" borderId="72" xfId="1281" applyNumberFormat="1" applyFont="1" applyFill="1" applyBorder="1" applyProtection="1">
      <protection locked="0"/>
    </xf>
    <xf numFmtId="221" fontId="85" fillId="33" borderId="72" xfId="0" applyNumberFormat="1" applyFont="1" applyFill="1" applyBorder="1"/>
    <xf numFmtId="181" fontId="32" fillId="33" borderId="72" xfId="0" applyNumberFormat="1" applyFont="1" applyFill="1" applyBorder="1" applyAlignment="1">
      <alignment horizontal="right"/>
    </xf>
    <xf numFmtId="0" fontId="85" fillId="0" borderId="72" xfId="0" applyFont="1" applyBorder="1"/>
    <xf numFmtId="0" fontId="85" fillId="57" borderId="72" xfId="0" applyFont="1" applyFill="1" applyBorder="1" applyAlignment="1">
      <alignment horizontal="left"/>
    </xf>
    <xf numFmtId="2" fontId="0" fillId="4" borderId="0" xfId="0" applyNumberFormat="1" applyFill="1"/>
    <xf numFmtId="167" fontId="0" fillId="0" borderId="0" xfId="2" applyNumberFormat="1" applyFont="1" applyFill="1" applyBorder="1"/>
    <xf numFmtId="168" fontId="0" fillId="0" borderId="0" xfId="2" applyNumberFormat="1" applyFont="1" applyFill="1" applyBorder="1"/>
    <xf numFmtId="166" fontId="204" fillId="4" borderId="0" xfId="7" applyNumberFormat="1" applyFont="1" applyFill="1" applyAlignment="1">
      <alignment horizontal="center"/>
    </xf>
    <xf numFmtId="0" fontId="205" fillId="0" borderId="0" xfId="0" applyFont="1" applyAlignment="1">
      <alignment horizontal="left" vertical="top" wrapText="1" indent="1"/>
    </xf>
    <xf numFmtId="0" fontId="0" fillId="0" borderId="0" xfId="0" applyAlignment="1">
      <alignment horizontal="left" vertical="top" wrapText="1" indent="1"/>
    </xf>
    <xf numFmtId="0" fontId="0" fillId="0" borderId="0" xfId="0" applyAlignment="1">
      <alignment vertical="top" wrapText="1"/>
    </xf>
    <xf numFmtId="0" fontId="127" fillId="0" borderId="0" xfId="0" applyFont="1" applyAlignment="1">
      <alignment wrapText="1"/>
    </xf>
    <xf numFmtId="167" fontId="6" fillId="0" borderId="0" xfId="7" applyNumberFormat="1"/>
    <xf numFmtId="2" fontId="6" fillId="0" borderId="0" xfId="7" applyNumberFormat="1"/>
    <xf numFmtId="0" fontId="127" fillId="0" borderId="0" xfId="0" applyFont="1"/>
    <xf numFmtId="166" fontId="97" fillId="0" borderId="0" xfId="0" applyNumberFormat="1" applyFont="1"/>
    <xf numFmtId="10" fontId="115" fillId="107" borderId="0" xfId="0" applyNumberFormat="1" applyFont="1" applyFill="1"/>
    <xf numFmtId="10" fontId="90" fillId="0" borderId="0" xfId="0" applyNumberFormat="1" applyFont="1"/>
    <xf numFmtId="10" fontId="95" fillId="0" borderId="0" xfId="7" applyNumberFormat="1" applyFont="1"/>
    <xf numFmtId="0" fontId="209" fillId="0" borderId="0" xfId="0" applyFont="1"/>
    <xf numFmtId="1" fontId="1" fillId="0" borderId="0" xfId="1" applyNumberFormat="1"/>
    <xf numFmtId="3" fontId="0" fillId="0" borderId="0" xfId="0" applyNumberFormat="1"/>
    <xf numFmtId="3" fontId="18" fillId="0" borderId="0" xfId="0" applyNumberFormat="1" applyFont="1"/>
    <xf numFmtId="0" fontId="0" fillId="0" borderId="2" xfId="0" applyBorder="1"/>
    <xf numFmtId="0" fontId="93" fillId="0" borderId="2" xfId="0" applyFont="1" applyBorder="1" applyAlignment="1">
      <alignment wrapText="1"/>
    </xf>
    <xf numFmtId="166" fontId="8" fillId="0" borderId="2" xfId="10" applyNumberFormat="1" applyFont="1" applyBorder="1"/>
    <xf numFmtId="0" fontId="93" fillId="0" borderId="5" xfId="0" applyFont="1" applyBorder="1" applyAlignment="1">
      <alignment wrapText="1"/>
    </xf>
    <xf numFmtId="0" fontId="2" fillId="0" borderId="11" xfId="1" applyFont="1" applyBorder="1"/>
    <xf numFmtId="0" fontId="0" fillId="0" borderId="4" xfId="0" applyBorder="1"/>
    <xf numFmtId="0" fontId="0" fillId="0" borderId="5" xfId="0" applyBorder="1"/>
    <xf numFmtId="0" fontId="8" fillId="0" borderId="33" xfId="1" applyFont="1" applyBorder="1"/>
    <xf numFmtId="166" fontId="8" fillId="0" borderId="33" xfId="10" applyNumberFormat="1" applyFont="1" applyBorder="1"/>
    <xf numFmtId="164" fontId="1" fillId="0" borderId="0" xfId="3" applyNumberFormat="1" applyFont="1" applyBorder="1"/>
    <xf numFmtId="181" fontId="0" fillId="7" borderId="0" xfId="0" applyNumberFormat="1" applyFill="1"/>
    <xf numFmtId="164" fontId="0" fillId="0" borderId="0" xfId="10" applyNumberFormat="1" applyFont="1" applyBorder="1"/>
    <xf numFmtId="0" fontId="88" fillId="0" borderId="1" xfId="0" applyFont="1" applyBorder="1"/>
    <xf numFmtId="164" fontId="88" fillId="0" borderId="0" xfId="10" applyNumberFormat="1" applyFont="1" applyBorder="1"/>
    <xf numFmtId="2" fontId="0" fillId="0" borderId="0" xfId="10" applyNumberFormat="1" applyFont="1" applyBorder="1"/>
    <xf numFmtId="0" fontId="88" fillId="0" borderId="3" xfId="0" applyFont="1" applyBorder="1"/>
    <xf numFmtId="164" fontId="0" fillId="0" borderId="4" xfId="10" applyNumberFormat="1" applyFont="1" applyBorder="1"/>
    <xf numFmtId="9" fontId="0" fillId="0" borderId="4" xfId="10" applyFont="1" applyBorder="1"/>
    <xf numFmtId="2" fontId="1" fillId="0" borderId="4" xfId="1" applyNumberFormat="1" applyBorder="1"/>
    <xf numFmtId="0" fontId="0" fillId="0" borderId="35" xfId="1" applyFont="1" applyBorder="1"/>
    <xf numFmtId="0" fontId="2" fillId="2" borderId="10" xfId="1" applyFont="1" applyFill="1" applyBorder="1"/>
    <xf numFmtId="0" fontId="2" fillId="3" borderId="10" xfId="1" applyFont="1" applyFill="1" applyBorder="1"/>
    <xf numFmtId="0" fontId="2" fillId="6" borderId="10" xfId="1" applyFont="1" applyFill="1" applyBorder="1"/>
    <xf numFmtId="164" fontId="3" fillId="0" borderId="10" xfId="1" applyNumberFormat="1" applyFont="1" applyBorder="1"/>
    <xf numFmtId="164" fontId="3" fillId="0" borderId="11" xfId="1" applyNumberFormat="1" applyFont="1" applyBorder="1"/>
    <xf numFmtId="0" fontId="2" fillId="0" borderId="9" xfId="1" applyFont="1" applyBorder="1"/>
    <xf numFmtId="0" fontId="2" fillId="6" borderId="11" xfId="1" applyFont="1" applyFill="1" applyBorder="1"/>
    <xf numFmtId="164" fontId="12" fillId="0" borderId="10" xfId="1" applyNumberFormat="1" applyFont="1" applyBorder="1"/>
    <xf numFmtId="164" fontId="88" fillId="0" borderId="0" xfId="1" applyNumberFormat="1" applyFont="1"/>
    <xf numFmtId="167" fontId="88" fillId="0" borderId="0" xfId="1" applyNumberFormat="1" applyFont="1"/>
    <xf numFmtId="167" fontId="88" fillId="0" borderId="0" xfId="0" applyNumberFormat="1" applyFont="1"/>
    <xf numFmtId="0" fontId="88" fillId="0" borderId="0" xfId="1" applyFont="1"/>
    <xf numFmtId="164" fontId="89" fillId="0" borderId="0" xfId="1" applyNumberFormat="1" applyFont="1"/>
    <xf numFmtId="182" fontId="89" fillId="0" borderId="0" xfId="1" applyNumberFormat="1" applyFont="1"/>
    <xf numFmtId="182" fontId="89" fillId="0" borderId="0" xfId="0" applyNumberFormat="1" applyFont="1"/>
    <xf numFmtId="167" fontId="1" fillId="0" borderId="0" xfId="1" applyNumberFormat="1"/>
    <xf numFmtId="167" fontId="1" fillId="0" borderId="4" xfId="1" applyNumberFormat="1" applyBorder="1"/>
    <xf numFmtId="3" fontId="0" fillId="0" borderId="4" xfId="0" applyNumberFormat="1" applyBorder="1"/>
    <xf numFmtId="0" fontId="0" fillId="0" borderId="35" xfId="0" applyBorder="1"/>
    <xf numFmtId="164" fontId="12" fillId="0" borderId="0" xfId="1" applyNumberFormat="1" applyFont="1"/>
    <xf numFmtId="0" fontId="20" fillId="0" borderId="0" xfId="1" applyFont="1"/>
    <xf numFmtId="164" fontId="12" fillId="0" borderId="11" xfId="1" applyNumberFormat="1" applyFont="1" applyBorder="1"/>
    <xf numFmtId="166" fontId="6" fillId="0" borderId="5" xfId="5" applyNumberFormat="1" applyFont="1" applyBorder="1"/>
    <xf numFmtId="0" fontId="2" fillId="0" borderId="33" xfId="1" applyFont="1" applyBorder="1"/>
    <xf numFmtId="164" fontId="0" fillId="0" borderId="0" xfId="1" applyNumberFormat="1" applyFont="1"/>
    <xf numFmtId="181" fontId="0" fillId="0" borderId="0" xfId="0" applyNumberFormat="1"/>
    <xf numFmtId="166" fontId="0" fillId="0" borderId="0" xfId="10" applyNumberFormat="1" applyFont="1" applyBorder="1"/>
    <xf numFmtId="164" fontId="135" fillId="0" borderId="0" xfId="0" applyNumberFormat="1" applyFont="1"/>
    <xf numFmtId="3" fontId="135" fillId="0" borderId="0" xfId="0" applyNumberFormat="1" applyFont="1"/>
    <xf numFmtId="0" fontId="0" fillId="0" borderId="2" xfId="1" applyFont="1" applyBorder="1"/>
    <xf numFmtId="182" fontId="0" fillId="0" borderId="0" xfId="0" applyNumberFormat="1"/>
    <xf numFmtId="166" fontId="0" fillId="7" borderId="0" xfId="0" applyNumberFormat="1" applyFill="1"/>
    <xf numFmtId="164" fontId="0" fillId="3" borderId="0" xfId="0" applyNumberFormat="1" applyFill="1"/>
    <xf numFmtId="0" fontId="2" fillId="2" borderId="10" xfId="1" applyFont="1" applyFill="1" applyBorder="1" applyAlignment="1">
      <alignment horizontal="center"/>
    </xf>
    <xf numFmtId="168" fontId="1" fillId="0" borderId="0" xfId="1" applyNumberFormat="1"/>
    <xf numFmtId="2" fontId="11" fillId="0" borderId="0" xfId="1" applyNumberFormat="1" applyFont="1"/>
    <xf numFmtId="9" fontId="0" fillId="0" borderId="0" xfId="1" applyNumberFormat="1" applyFont="1"/>
    <xf numFmtId="189" fontId="0" fillId="0" borderId="0" xfId="407" applyNumberFormat="1" applyFont="1" applyBorder="1"/>
    <xf numFmtId="2" fontId="118" fillId="0" borderId="0" xfId="1" applyNumberFormat="1" applyFont="1"/>
    <xf numFmtId="0" fontId="102" fillId="4" borderId="0" xfId="171" applyFont="1" applyFill="1" applyAlignment="1">
      <alignment horizontal="center" vertical="center"/>
    </xf>
    <xf numFmtId="164" fontId="98" fillId="4" borderId="0" xfId="11" applyNumberFormat="1" applyFont="1" applyFill="1" applyAlignment="1">
      <alignment horizontal="center" vertical="center"/>
    </xf>
    <xf numFmtId="164" fontId="95" fillId="4" borderId="0" xfId="7" applyNumberFormat="1" applyFont="1" applyFill="1" applyAlignment="1">
      <alignment horizontal="center"/>
    </xf>
    <xf numFmtId="164" fontId="95" fillId="4" borderId="0" xfId="7" applyNumberFormat="1" applyFont="1" applyFill="1"/>
    <xf numFmtId="0" fontId="95" fillId="4" borderId="0" xfId="7" applyFont="1" applyFill="1" applyAlignment="1">
      <alignment horizontal="center"/>
    </xf>
    <xf numFmtId="164" fontId="95" fillId="4" borderId="0" xfId="1" applyNumberFormat="1" applyFont="1" applyFill="1" applyAlignment="1">
      <alignment horizontal="center"/>
    </xf>
    <xf numFmtId="164" fontId="98" fillId="57" borderId="0" xfId="11" applyNumberFormat="1" applyFont="1" applyFill="1" applyAlignment="1">
      <alignment horizontal="center" vertical="center"/>
    </xf>
    <xf numFmtId="0" fontId="102" fillId="4" borderId="2" xfId="171" applyFont="1" applyFill="1" applyBorder="1" applyAlignment="1">
      <alignment horizontal="center" vertical="center"/>
    </xf>
    <xf numFmtId="164" fontId="102" fillId="4" borderId="0" xfId="171" applyNumberFormat="1" applyFont="1" applyFill="1" applyAlignment="1">
      <alignment horizontal="center" vertical="center"/>
    </xf>
    <xf numFmtId="164" fontId="102" fillId="4" borderId="2" xfId="171" applyNumberFormat="1" applyFont="1" applyFill="1" applyBorder="1" applyAlignment="1">
      <alignment horizontal="center" vertical="center"/>
    </xf>
    <xf numFmtId="166" fontId="102" fillId="4" borderId="2" xfId="171" applyNumberFormat="1" applyFont="1" applyFill="1" applyBorder="1" applyAlignment="1">
      <alignment horizontal="center" vertical="center"/>
    </xf>
    <xf numFmtId="0" fontId="102" fillId="4" borderId="1" xfId="171" applyFont="1" applyFill="1" applyBorder="1" applyAlignment="1">
      <alignment horizontal="center" vertical="center"/>
    </xf>
    <xf numFmtId="1" fontId="102" fillId="4" borderId="0" xfId="171" applyNumberFormat="1" applyFont="1" applyFill="1" applyAlignment="1">
      <alignment horizontal="center" vertical="center"/>
    </xf>
    <xf numFmtId="1" fontId="102" fillId="4" borderId="2" xfId="171" applyNumberFormat="1" applyFont="1" applyFill="1" applyBorder="1" applyAlignment="1">
      <alignment horizontal="center" vertical="center"/>
    </xf>
    <xf numFmtId="0" fontId="102" fillId="4" borderId="3" xfId="171" applyFont="1" applyFill="1" applyBorder="1" applyAlignment="1">
      <alignment horizontal="center" vertical="center"/>
    </xf>
    <xf numFmtId="164" fontId="102" fillId="4" borderId="4" xfId="171" applyNumberFormat="1" applyFont="1" applyFill="1" applyBorder="1" applyAlignment="1">
      <alignment horizontal="center" vertical="center"/>
    </xf>
    <xf numFmtId="0" fontId="7" fillId="103" borderId="0" xfId="0" applyFont="1" applyFill="1" applyAlignment="1">
      <alignment horizontal="center" vertical="center" wrapText="1"/>
    </xf>
    <xf numFmtId="0" fontId="0" fillId="103" borderId="0" xfId="0" applyFill="1" applyAlignment="1">
      <alignment horizontal="center" vertical="center" wrapText="1"/>
    </xf>
    <xf numFmtId="0" fontId="213" fillId="104" borderId="0" xfId="0" applyFont="1" applyFill="1" applyAlignment="1">
      <alignment horizontal="center" vertical="top" wrapText="1"/>
    </xf>
    <xf numFmtId="0" fontId="212" fillId="104" borderId="0" xfId="0" applyFont="1" applyFill="1" applyAlignment="1">
      <alignment horizontal="center" vertical="center" wrapText="1"/>
    </xf>
    <xf numFmtId="0" fontId="211" fillId="104" borderId="0" xfId="0" applyFont="1" applyFill="1" applyAlignment="1">
      <alignment horizontal="center" vertical="top" wrapText="1"/>
    </xf>
    <xf numFmtId="164" fontId="214" fillId="104" borderId="0" xfId="0" applyNumberFormat="1" applyFont="1" applyFill="1" applyAlignment="1">
      <alignment horizontal="center" vertical="top" shrinkToFit="1"/>
    </xf>
    <xf numFmtId="166" fontId="214" fillId="104" borderId="0" xfId="0" applyNumberFormat="1" applyFont="1" applyFill="1" applyAlignment="1">
      <alignment horizontal="center" vertical="top" shrinkToFit="1"/>
    </xf>
    <xf numFmtId="164" fontId="212" fillId="104" borderId="0" xfId="0" applyNumberFormat="1" applyFont="1" applyFill="1" applyAlignment="1">
      <alignment horizontal="center" vertical="top" shrinkToFit="1"/>
    </xf>
    <xf numFmtId="0" fontId="218" fillId="0" borderId="0" xfId="0" applyFont="1" applyAlignment="1">
      <alignment horizontal="left" vertical="top" indent="1"/>
    </xf>
    <xf numFmtId="0" fontId="90" fillId="0" borderId="1" xfId="0" applyFont="1" applyBorder="1"/>
    <xf numFmtId="0" fontId="196" fillId="0" borderId="2" xfId="0" applyFont="1" applyBorder="1"/>
    <xf numFmtId="3" fontId="115" fillId="0" borderId="0" xfId="0" applyNumberFormat="1" applyFont="1"/>
    <xf numFmtId="3" fontId="196" fillId="0" borderId="2" xfId="0" applyNumberFormat="1" applyFont="1" applyBorder="1"/>
    <xf numFmtId="0" fontId="2" fillId="0" borderId="2" xfId="0" applyFont="1" applyBorder="1"/>
    <xf numFmtId="0" fontId="90" fillId="0" borderId="3" xfId="0" applyFont="1" applyBorder="1"/>
    <xf numFmtId="0" fontId="90" fillId="0" borderId="2" xfId="0" applyFont="1" applyBorder="1"/>
    <xf numFmtId="1" fontId="115" fillId="0" borderId="0" xfId="0" applyNumberFormat="1" applyFont="1"/>
    <xf numFmtId="0" fontId="90" fillId="0" borderId="4" xfId="0" applyFont="1" applyBorder="1"/>
    <xf numFmtId="0" fontId="90" fillId="0" borderId="5" xfId="0" applyFont="1" applyBorder="1"/>
    <xf numFmtId="0" fontId="116" fillId="0" borderId="1" xfId="0" applyFont="1" applyBorder="1"/>
    <xf numFmtId="1" fontId="197" fillId="0" borderId="2" xfId="0" applyNumberFormat="1" applyFont="1" applyBorder="1"/>
    <xf numFmtId="0" fontId="0" fillId="0" borderId="31" xfId="0" applyBorder="1" applyAlignment="1">
      <alignment horizontal="center" vertical="center"/>
    </xf>
    <xf numFmtId="0" fontId="18" fillId="0" borderId="5" xfId="0" applyFont="1" applyBorder="1" applyAlignment="1">
      <alignment wrapText="1"/>
    </xf>
    <xf numFmtId="0" fontId="18" fillId="0" borderId="4" xfId="0" applyFont="1" applyBorder="1" applyAlignment="1">
      <alignment wrapText="1"/>
    </xf>
    <xf numFmtId="164" fontId="18" fillId="0" borderId="4" xfId="0" applyNumberFormat="1" applyFont="1" applyBorder="1" applyAlignment="1">
      <alignment wrapText="1"/>
    </xf>
    <xf numFmtId="166" fontId="18" fillId="0" borderId="4" xfId="0" applyNumberFormat="1" applyFont="1" applyBorder="1" applyAlignment="1">
      <alignment wrapText="1"/>
    </xf>
    <xf numFmtId="166" fontId="18" fillId="0" borderId="2" xfId="0" applyNumberFormat="1" applyFont="1" applyBorder="1" applyAlignment="1">
      <alignment wrapText="1"/>
    </xf>
    <xf numFmtId="164" fontId="7" fillId="0" borderId="0" xfId="7" applyNumberFormat="1" applyFont="1"/>
    <xf numFmtId="166" fontId="18" fillId="0" borderId="0" xfId="0" applyNumberFormat="1" applyFont="1" applyAlignment="1">
      <alignment wrapText="1"/>
    </xf>
    <xf numFmtId="9" fontId="18" fillId="0" borderId="0" xfId="0" applyNumberFormat="1" applyFont="1" applyAlignment="1">
      <alignment horizontal="left" vertical="top" wrapText="1"/>
    </xf>
    <xf numFmtId="0" fontId="7" fillId="0" borderId="0" xfId="7" applyFont="1"/>
    <xf numFmtId="0" fontId="7" fillId="0" borderId="1" xfId="7" applyFont="1" applyBorder="1"/>
    <xf numFmtId="164" fontId="18" fillId="0" borderId="0" xfId="0" applyNumberFormat="1" applyFont="1" applyAlignment="1">
      <alignment wrapText="1"/>
    </xf>
    <xf numFmtId="9" fontId="18" fillId="0" borderId="0" xfId="0" applyNumberFormat="1" applyFont="1" applyAlignment="1">
      <alignment wrapText="1"/>
    </xf>
    <xf numFmtId="0" fontId="18" fillId="0" borderId="2" xfId="0" applyFont="1" applyBorder="1" applyAlignment="1">
      <alignment wrapText="1"/>
    </xf>
    <xf numFmtId="0" fontId="18" fillId="0" borderId="0" xfId="0" applyFont="1" applyAlignment="1">
      <alignment wrapText="1"/>
    </xf>
    <xf numFmtId="164" fontId="223" fillId="0" borderId="1" xfId="0" applyNumberFormat="1" applyFont="1" applyBorder="1"/>
    <xf numFmtId="166" fontId="0" fillId="0" borderId="3" xfId="0" applyNumberFormat="1" applyBorder="1"/>
    <xf numFmtId="166" fontId="0" fillId="0" borderId="1" xfId="0" applyNumberFormat="1" applyBorder="1"/>
    <xf numFmtId="217" fontId="0" fillId="0" borderId="1" xfId="0" applyNumberFormat="1" applyBorder="1" applyAlignment="1">
      <alignment horizontal="center" vertical="center"/>
    </xf>
    <xf numFmtId="217" fontId="0" fillId="0" borderId="1" xfId="0" applyNumberFormat="1" applyBorder="1"/>
    <xf numFmtId="164" fontId="223" fillId="0" borderId="11" xfId="0" applyNumberFormat="1" applyFont="1" applyBorder="1" applyAlignment="1">
      <alignment horizontal="center" vertical="center"/>
    </xf>
    <xf numFmtId="166" fontId="85" fillId="0" borderId="5" xfId="10" applyNumberFormat="1" applyFont="1" applyBorder="1" applyAlignment="1">
      <alignment vertical="center"/>
    </xf>
    <xf numFmtId="166" fontId="85" fillId="0" borderId="3" xfId="10" applyNumberFormat="1" applyFont="1" applyBorder="1" applyAlignment="1">
      <alignment vertical="center"/>
    </xf>
    <xf numFmtId="166" fontId="0" fillId="105" borderId="2" xfId="10" applyNumberFormat="1" applyFont="1" applyFill="1" applyBorder="1" applyAlignment="1">
      <alignment horizontal="center" vertical="center"/>
    </xf>
    <xf numFmtId="166" fontId="0" fillId="0" borderId="2" xfId="10" applyNumberFormat="1" applyFont="1" applyBorder="1" applyAlignment="1">
      <alignment horizontal="center" vertical="center"/>
    </xf>
    <xf numFmtId="166" fontId="0" fillId="0" borderId="1" xfId="10" applyNumberFormat="1" applyFont="1" applyBorder="1" applyAlignment="1">
      <alignment horizontal="center" vertical="center"/>
    </xf>
    <xf numFmtId="166" fontId="0" fillId="0" borderId="0" xfId="10" applyNumberFormat="1" applyFont="1" applyFill="1"/>
    <xf numFmtId="2" fontId="92" fillId="0" borderId="0" xfId="0" applyNumberFormat="1" applyFont="1" applyAlignment="1">
      <alignment wrapText="1"/>
    </xf>
    <xf numFmtId="0" fontId="206" fillId="0" borderId="0" xfId="0" applyFont="1" applyAlignment="1">
      <alignment wrapText="1"/>
    </xf>
    <xf numFmtId="164" fontId="92" fillId="0" borderId="0" xfId="0" applyNumberFormat="1" applyFont="1" applyAlignment="1">
      <alignment wrapText="1"/>
    </xf>
    <xf numFmtId="166" fontId="92" fillId="0" borderId="0" xfId="0" applyNumberFormat="1" applyFont="1" applyAlignment="1">
      <alignment wrapText="1"/>
    </xf>
    <xf numFmtId="166" fontId="85" fillId="0" borderId="0" xfId="10" applyNumberFormat="1" applyFont="1" applyFill="1" applyAlignment="1">
      <alignment vertical="center"/>
    </xf>
    <xf numFmtId="164" fontId="129" fillId="0" borderId="0" xfId="0" applyNumberFormat="1" applyFont="1" applyAlignment="1">
      <alignment horizontal="center" vertical="center"/>
    </xf>
    <xf numFmtId="0" fontId="85" fillId="0" borderId="0" xfId="0" applyFont="1" applyAlignment="1">
      <alignment vertical="center"/>
    </xf>
    <xf numFmtId="164" fontId="126" fillId="0" borderId="0" xfId="0" applyNumberFormat="1" applyFont="1"/>
    <xf numFmtId="167" fontId="126" fillId="0" borderId="0" xfId="0" applyNumberFormat="1" applyFont="1"/>
    <xf numFmtId="0" fontId="92" fillId="0" borderId="0" xfId="0" applyFont="1" applyAlignment="1">
      <alignment wrapText="1"/>
    </xf>
    <xf numFmtId="164" fontId="129" fillId="105" borderId="5" xfId="0" applyNumberFormat="1" applyFont="1" applyFill="1" applyBorder="1" applyAlignment="1">
      <alignment horizontal="center" vertical="center"/>
    </xf>
    <xf numFmtId="164" fontId="129" fillId="0" borderId="4" xfId="0" applyNumberFormat="1" applyFont="1" applyBorder="1" applyAlignment="1">
      <alignment horizontal="center" vertical="center"/>
    </xf>
    <xf numFmtId="164" fontId="129" fillId="109" borderId="5" xfId="0" applyNumberFormat="1" applyFont="1" applyFill="1" applyBorder="1" applyAlignment="1">
      <alignment horizontal="center"/>
    </xf>
    <xf numFmtId="167" fontId="90" fillId="109" borderId="3" xfId="0" applyNumberFormat="1" applyFont="1" applyFill="1" applyBorder="1"/>
    <xf numFmtId="166" fontId="129" fillId="109" borderId="2" xfId="0" applyNumberFormat="1" applyFont="1" applyFill="1" applyBorder="1" applyAlignment="1">
      <alignment horizontal="center"/>
    </xf>
    <xf numFmtId="0" fontId="0" fillId="109" borderId="1" xfId="0" applyFill="1" applyBorder="1" applyAlignment="1">
      <alignment horizontal="center" vertical="center"/>
    </xf>
    <xf numFmtId="167" fontId="90" fillId="0" borderId="0" xfId="0" applyNumberFormat="1" applyFont="1"/>
    <xf numFmtId="164" fontId="129" fillId="105" borderId="2" xfId="0" applyNumberFormat="1" applyFont="1" applyFill="1" applyBorder="1" applyAlignment="1">
      <alignment horizontal="center" vertical="center"/>
    </xf>
    <xf numFmtId="164" fontId="1" fillId="110" borderId="0" xfId="1" applyNumberFormat="1" applyFill="1"/>
    <xf numFmtId="164" fontId="1" fillId="110" borderId="2" xfId="1" applyNumberFormat="1" applyFill="1" applyBorder="1"/>
    <xf numFmtId="0" fontId="2" fillId="110" borderId="1" xfId="1" applyFont="1" applyFill="1" applyBorder="1" applyAlignment="1">
      <alignment horizontal="left"/>
    </xf>
    <xf numFmtId="0" fontId="5" fillId="110" borderId="1" xfId="1" applyFont="1" applyFill="1" applyBorder="1" applyAlignment="1">
      <alignment horizontal="left" indent="2"/>
    </xf>
    <xf numFmtId="0" fontId="0" fillId="110" borderId="1" xfId="0" applyFill="1" applyBorder="1" applyAlignment="1">
      <alignment horizontal="left" indent="2"/>
    </xf>
    <xf numFmtId="181" fontId="0" fillId="110" borderId="0" xfId="0" applyNumberFormat="1" applyFill="1"/>
    <xf numFmtId="0" fontId="5" fillId="110" borderId="1" xfId="0" applyFont="1" applyFill="1" applyBorder="1" applyAlignment="1">
      <alignment horizontal="left" indent="2"/>
    </xf>
    <xf numFmtId="181" fontId="88" fillId="110" borderId="0" xfId="0" applyNumberFormat="1" applyFont="1" applyFill="1"/>
    <xf numFmtId="3" fontId="0" fillId="110" borderId="0" xfId="0" applyNumberFormat="1" applyFill="1"/>
    <xf numFmtId="0" fontId="1" fillId="110" borderId="0" xfId="1" applyFill="1"/>
    <xf numFmtId="0" fontId="1" fillId="110" borderId="1" xfId="1" applyFill="1" applyBorder="1" applyAlignment="1">
      <alignment horizontal="left" indent="2"/>
    </xf>
    <xf numFmtId="182" fontId="0" fillId="110" borderId="0" xfId="0" applyNumberFormat="1" applyFill="1"/>
    <xf numFmtId="0" fontId="134" fillId="110" borderId="1" xfId="1" applyFont="1" applyFill="1" applyBorder="1" applyAlignment="1">
      <alignment horizontal="left" indent="2"/>
    </xf>
    <xf numFmtId="164" fontId="5" fillId="110" borderId="0" xfId="1" applyNumberFormat="1" applyFont="1" applyFill="1"/>
    <xf numFmtId="164" fontId="134" fillId="110" borderId="0" xfId="1" applyNumberFormat="1" applyFont="1" applyFill="1"/>
    <xf numFmtId="164" fontId="134" fillId="110" borderId="0" xfId="0" applyNumberFormat="1" applyFont="1" applyFill="1"/>
    <xf numFmtId="0" fontId="1" fillId="110" borderId="2" xfId="1" applyFill="1" applyBorder="1"/>
    <xf numFmtId="0" fontId="134" fillId="110" borderId="1" xfId="0" applyFont="1" applyFill="1" applyBorder="1" applyAlignment="1">
      <alignment horizontal="left" indent="2"/>
    </xf>
    <xf numFmtId="0" fontId="2" fillId="110" borderId="1" xfId="0" applyFont="1" applyFill="1" applyBorder="1" applyAlignment="1">
      <alignment horizontal="left" indent="2"/>
    </xf>
    <xf numFmtId="164" fontId="2" fillId="110" borderId="0" xfId="1" applyNumberFormat="1" applyFont="1" applyFill="1"/>
    <xf numFmtId="164" fontId="0" fillId="110" borderId="0" xfId="1" applyNumberFormat="1" applyFont="1" applyFill="1"/>
    <xf numFmtId="164" fontId="7" fillId="110" borderId="0" xfId="1" applyNumberFormat="1" applyFont="1" applyFill="1"/>
    <xf numFmtId="0" fontId="88" fillId="110" borderId="0" xfId="1" applyFont="1" applyFill="1"/>
    <xf numFmtId="0" fontId="0" fillId="110" borderId="1" xfId="0" applyFill="1" applyBorder="1"/>
    <xf numFmtId="166" fontId="0" fillId="110" borderId="2" xfId="5" applyNumberFormat="1" applyFont="1" applyFill="1" applyBorder="1"/>
    <xf numFmtId="164" fontId="1" fillId="110" borderId="2" xfId="3" applyNumberFormat="1" applyFont="1" applyFill="1" applyBorder="1"/>
    <xf numFmtId="0" fontId="17" fillId="0" borderId="33" xfId="6" applyFill="1" applyBorder="1"/>
    <xf numFmtId="222" fontId="0" fillId="0" borderId="0" xfId="0" applyNumberFormat="1"/>
    <xf numFmtId="2" fontId="7" fillId="0" borderId="85" xfId="0" applyNumberFormat="1" applyFont="1" applyBorder="1" applyAlignment="1">
      <alignment horizontal="right" vertical="center"/>
    </xf>
    <xf numFmtId="166" fontId="0" fillId="0" borderId="0" xfId="10" applyNumberFormat="1" applyFont="1" applyFill="1" applyBorder="1"/>
    <xf numFmtId="9" fontId="0" fillId="0" borderId="4" xfId="10" applyFont="1" applyFill="1" applyBorder="1"/>
    <xf numFmtId="164" fontId="7" fillId="0" borderId="85" xfId="0" applyNumberFormat="1" applyFont="1" applyBorder="1" applyAlignment="1">
      <alignment horizontal="right" vertical="center"/>
    </xf>
    <xf numFmtId="164" fontId="18" fillId="110" borderId="0" xfId="1" applyNumberFormat="1" applyFont="1" applyFill="1"/>
    <xf numFmtId="0" fontId="2" fillId="110" borderId="0" xfId="1" applyFont="1" applyFill="1"/>
    <xf numFmtId="0" fontId="88" fillId="0" borderId="0" xfId="0" applyFont="1"/>
    <xf numFmtId="0" fontId="2" fillId="106" borderId="10" xfId="1" applyFont="1" applyFill="1" applyBorder="1" applyAlignment="1">
      <alignment horizontal="center"/>
    </xf>
    <xf numFmtId="167" fontId="0" fillId="0" borderId="0" xfId="0" applyNumberFormat="1"/>
    <xf numFmtId="166" fontId="1" fillId="0" borderId="0" xfId="10" applyNumberFormat="1" applyFill="1" applyBorder="1"/>
    <xf numFmtId="9" fontId="1" fillId="110" borderId="0" xfId="1" applyNumberFormat="1" applyFill="1"/>
    <xf numFmtId="2" fontId="0" fillId="0" borderId="0" xfId="2" applyNumberFormat="1" applyFont="1" applyBorder="1"/>
    <xf numFmtId="166" fontId="210" fillId="113" borderId="0" xfId="10" applyNumberFormat="1" applyFont="1" applyFill="1" applyBorder="1"/>
    <xf numFmtId="166" fontId="11" fillId="113" borderId="0" xfId="10" applyNumberFormat="1" applyFont="1" applyFill="1" applyBorder="1"/>
    <xf numFmtId="166" fontId="210" fillId="0" borderId="0" xfId="10" applyNumberFormat="1" applyFont="1" applyFill="1" applyBorder="1"/>
    <xf numFmtId="166" fontId="11" fillId="0" borderId="0" xfId="10" applyNumberFormat="1" applyFont="1" applyFill="1" applyBorder="1"/>
    <xf numFmtId="0" fontId="2" fillId="0" borderId="10" xfId="0" applyFont="1" applyBorder="1" applyAlignment="1">
      <alignment horizontal="center"/>
    </xf>
    <xf numFmtId="0" fontId="1" fillId="0" borderId="7" xfId="1" applyBorder="1"/>
    <xf numFmtId="0" fontId="2" fillId="106" borderId="87" xfId="1" applyFont="1" applyFill="1" applyBorder="1" applyAlignment="1">
      <alignment horizontal="center"/>
    </xf>
    <xf numFmtId="164" fontId="1" fillId="0" borderId="7" xfId="1" applyNumberFormat="1" applyBorder="1"/>
    <xf numFmtId="167" fontId="1" fillId="0" borderId="7" xfId="1" applyNumberFormat="1" applyBorder="1"/>
    <xf numFmtId="189" fontId="1" fillId="0" borderId="7" xfId="407" applyNumberFormat="1" applyBorder="1"/>
    <xf numFmtId="0" fontId="0" fillId="0" borderId="7" xfId="0" applyBorder="1"/>
    <xf numFmtId="166" fontId="11" fillId="113" borderId="7" xfId="10" applyNumberFormat="1" applyFont="1" applyFill="1" applyBorder="1"/>
    <xf numFmtId="166" fontId="11" fillId="0" borderId="7" xfId="10" applyNumberFormat="1" applyFont="1" applyFill="1" applyBorder="1"/>
    <xf numFmtId="9" fontId="0" fillId="0" borderId="7" xfId="1" applyNumberFormat="1" applyFont="1" applyBorder="1"/>
    <xf numFmtId="189" fontId="0" fillId="0" borderId="7" xfId="407" applyNumberFormat="1" applyFont="1" applyBorder="1"/>
    <xf numFmtId="0" fontId="2" fillId="6" borderId="87" xfId="1" applyFont="1" applyFill="1" applyBorder="1"/>
    <xf numFmtId="166" fontId="1" fillId="0" borderId="7" xfId="10" applyNumberFormat="1" applyBorder="1"/>
    <xf numFmtId="166" fontId="6" fillId="0" borderId="7" xfId="5" applyNumberFormat="1" applyFont="1" applyBorder="1"/>
    <xf numFmtId="0" fontId="1" fillId="0" borderId="24" xfId="1" applyBorder="1"/>
    <xf numFmtId="0" fontId="17" fillId="0" borderId="24" xfId="6" applyBorder="1" applyAlignment="1">
      <alignment horizontal="left"/>
    </xf>
    <xf numFmtId="0" fontId="17" fillId="0" borderId="24" xfId="6" applyBorder="1"/>
    <xf numFmtId="0" fontId="0" fillId="0" borderId="24" xfId="1" applyFont="1" applyBorder="1"/>
    <xf numFmtId="164" fontId="1" fillId="0" borderId="24" xfId="1" applyNumberFormat="1" applyBorder="1"/>
    <xf numFmtId="0" fontId="17" fillId="110" borderId="24" xfId="6" applyFill="1" applyBorder="1" applyAlignment="1">
      <alignment horizontal="left"/>
    </xf>
    <xf numFmtId="0" fontId="2" fillId="0" borderId="88" xfId="0" applyFont="1" applyBorder="1" applyAlignment="1">
      <alignment horizontal="center"/>
    </xf>
    <xf numFmtId="0" fontId="8" fillId="0" borderId="24" xfId="1" applyFont="1" applyBorder="1"/>
    <xf numFmtId="166" fontId="0" fillId="0" borderId="24" xfId="3" applyNumberFormat="1" applyFont="1" applyBorder="1"/>
    <xf numFmtId="166" fontId="1" fillId="0" borderId="24" xfId="10" applyNumberFormat="1" applyBorder="1"/>
    <xf numFmtId="43" fontId="1" fillId="0" borderId="24" xfId="4" applyFont="1" applyBorder="1"/>
    <xf numFmtId="166" fontId="1" fillId="0" borderId="24" xfId="3" applyNumberFormat="1" applyFont="1" applyBorder="1"/>
    <xf numFmtId="0" fontId="12" fillId="0" borderId="24" xfId="1" applyFont="1" applyBorder="1"/>
    <xf numFmtId="0" fontId="2" fillId="106" borderId="8" xfId="1" applyFont="1" applyFill="1" applyBorder="1"/>
    <xf numFmtId="166" fontId="226" fillId="0" borderId="0" xfId="5" applyNumberFormat="1" applyFont="1" applyBorder="1"/>
    <xf numFmtId="0" fontId="11" fillId="0" borderId="7" xfId="1" applyFont="1" applyBorder="1"/>
    <xf numFmtId="0" fontId="2" fillId="0" borderId="75" xfId="1" applyFont="1" applyBorder="1" applyAlignment="1">
      <alignment horizontal="left" indent="2"/>
    </xf>
    <xf numFmtId="0" fontId="0" fillId="0" borderId="75" xfId="0" applyBorder="1" applyAlignment="1">
      <alignment horizontal="left" indent="2"/>
    </xf>
    <xf numFmtId="166" fontId="85" fillId="0" borderId="0" xfId="5" applyNumberFormat="1" applyFont="1" applyBorder="1"/>
    <xf numFmtId="0" fontId="0" fillId="0" borderId="7" xfId="1" applyFont="1" applyBorder="1"/>
    <xf numFmtId="0" fontId="1" fillId="110" borderId="7" xfId="1" applyFill="1" applyBorder="1"/>
    <xf numFmtId="0" fontId="2" fillId="0" borderId="87" xfId="0" applyFont="1" applyBorder="1" applyAlignment="1">
      <alignment horizontal="center"/>
    </xf>
    <xf numFmtId="43" fontId="1" fillId="0" borderId="7" xfId="4" applyFont="1" applyBorder="1"/>
    <xf numFmtId="166" fontId="1" fillId="0" borderId="7" xfId="3" applyNumberFormat="1" applyFont="1" applyBorder="1"/>
    <xf numFmtId="0" fontId="12" fillId="0" borderId="7" xfId="1" applyFont="1" applyBorder="1"/>
    <xf numFmtId="166" fontId="85" fillId="0" borderId="7" xfId="5" applyNumberFormat="1" applyFont="1" applyBorder="1"/>
    <xf numFmtId="0" fontId="0" fillId="0" borderId="7" xfId="0" applyBorder="1" applyAlignment="1">
      <alignment horizontal="left"/>
    </xf>
    <xf numFmtId="0" fontId="17" fillId="110" borderId="7" xfId="6" applyFill="1" applyBorder="1"/>
    <xf numFmtId="0" fontId="93" fillId="0" borderId="7" xfId="0" applyFont="1" applyBorder="1" applyAlignment="1">
      <alignment wrapText="1"/>
    </xf>
    <xf numFmtId="166" fontId="93" fillId="0" borderId="7" xfId="0" applyNumberFormat="1" applyFont="1" applyBorder="1" applyAlignment="1">
      <alignment wrapText="1"/>
    </xf>
    <xf numFmtId="166" fontId="1" fillId="0" borderId="7" xfId="1" applyNumberFormat="1" applyBorder="1"/>
    <xf numFmtId="9" fontId="11" fillId="113" borderId="0" xfId="10" applyFont="1" applyFill="1" applyBorder="1"/>
    <xf numFmtId="0" fontId="11" fillId="0" borderId="24" xfId="1" applyFont="1" applyBorder="1"/>
    <xf numFmtId="0" fontId="11" fillId="0" borderId="0" xfId="0" applyFont="1" applyAlignment="1">
      <alignment vertical="center" wrapText="1"/>
    </xf>
    <xf numFmtId="0" fontId="11" fillId="113" borderId="0" xfId="1" applyFont="1" applyFill="1"/>
    <xf numFmtId="9" fontId="11" fillId="113" borderId="0" xfId="10" applyFont="1" applyFill="1"/>
    <xf numFmtId="166" fontId="11" fillId="113" borderId="0" xfId="10" applyNumberFormat="1" applyFont="1" applyFill="1"/>
    <xf numFmtId="0" fontId="2" fillId="0" borderId="64" xfId="0" applyFont="1" applyBorder="1"/>
    <xf numFmtId="0" fontId="0" fillId="0" borderId="64" xfId="0" applyBorder="1"/>
    <xf numFmtId="164" fontId="119" fillId="110" borderId="0" xfId="1" applyNumberFormat="1" applyFont="1" applyFill="1"/>
    <xf numFmtId="167" fontId="119" fillId="110" borderId="0" xfId="1" applyNumberFormat="1" applyFont="1" applyFill="1"/>
    <xf numFmtId="4" fontId="195" fillId="110" borderId="0" xfId="0" applyNumberFormat="1" applyFont="1" applyFill="1"/>
    <xf numFmtId="167" fontId="1" fillId="110" borderId="0" xfId="1" applyNumberFormat="1" applyFill="1"/>
    <xf numFmtId="0" fontId="2" fillId="111" borderId="0" xfId="0" applyFont="1" applyFill="1"/>
    <xf numFmtId="0" fontId="0" fillId="116" borderId="0" xfId="0" applyFill="1"/>
    <xf numFmtId="17" fontId="2" fillId="0" borderId="0" xfId="0" quotePrefix="1" applyNumberFormat="1" applyFont="1"/>
    <xf numFmtId="0" fontId="2" fillId="0" borderId="0" xfId="0" quotePrefix="1" applyFont="1"/>
    <xf numFmtId="0" fontId="0" fillId="117" borderId="89" xfId="0" applyFill="1" applyBorder="1"/>
    <xf numFmtId="0" fontId="0" fillId="117" borderId="89" xfId="0" applyFill="1" applyBorder="1" applyAlignment="1">
      <alignment horizontal="center"/>
    </xf>
    <xf numFmtId="0" fontId="0" fillId="0" borderId="0" xfId="0" applyAlignment="1">
      <alignment horizontal="center"/>
    </xf>
    <xf numFmtId="0" fontId="2" fillId="117" borderId="0" xfId="0" applyFont="1" applyFill="1"/>
    <xf numFmtId="167" fontId="2" fillId="117" borderId="0" xfId="0" applyNumberFormat="1" applyFont="1" applyFill="1" applyAlignment="1">
      <alignment horizontal="center"/>
    </xf>
    <xf numFmtId="167" fontId="227" fillId="117" borderId="0" xfId="0" applyNumberFormat="1" applyFont="1" applyFill="1" applyAlignment="1">
      <alignment horizontal="center"/>
    </xf>
    <xf numFmtId="167" fontId="227" fillId="0" borderId="0" xfId="0" applyNumberFormat="1" applyFont="1" applyAlignment="1">
      <alignment horizontal="center"/>
    </xf>
    <xf numFmtId="0" fontId="2" fillId="116" borderId="0" xfId="0" applyFont="1" applyFill="1"/>
    <xf numFmtId="0" fontId="0" fillId="117" borderId="0" xfId="0" applyFill="1"/>
    <xf numFmtId="167" fontId="0" fillId="117" borderId="0" xfId="0" applyNumberFormat="1" applyFill="1" applyAlignment="1">
      <alignment horizontal="center"/>
    </xf>
    <xf numFmtId="167" fontId="0" fillId="0" borderId="0" xfId="0" applyNumberFormat="1" applyAlignment="1">
      <alignment horizontal="center"/>
    </xf>
    <xf numFmtId="167" fontId="2" fillId="0" borderId="0" xfId="0" applyNumberFormat="1" applyFont="1" applyAlignment="1">
      <alignment horizontal="center"/>
    </xf>
    <xf numFmtId="0" fontId="0" fillId="117" borderId="0" xfId="0" applyFill="1" applyAlignment="1">
      <alignment horizontal="left" indent="1"/>
    </xf>
    <xf numFmtId="2" fontId="0" fillId="116" borderId="0" xfId="0" applyNumberFormat="1" applyFill="1"/>
    <xf numFmtId="0" fontId="228" fillId="0" borderId="0" xfId="0" applyFont="1"/>
    <xf numFmtId="0" fontId="2" fillId="117" borderId="90" xfId="0" applyFont="1" applyFill="1" applyBorder="1"/>
    <xf numFmtId="167" fontId="227" fillId="117" borderId="90" xfId="0" applyNumberFormat="1" applyFont="1" applyFill="1" applyBorder="1" applyAlignment="1">
      <alignment horizontal="center"/>
    </xf>
    <xf numFmtId="167" fontId="2" fillId="117" borderId="90" xfId="0" applyNumberFormat="1" applyFont="1" applyFill="1" applyBorder="1" applyAlignment="1">
      <alignment horizontal="center"/>
    </xf>
    <xf numFmtId="164" fontId="2" fillId="116" borderId="0" xfId="0" applyNumberFormat="1" applyFont="1" applyFill="1"/>
    <xf numFmtId="166" fontId="2" fillId="0" borderId="0" xfId="0" applyNumberFormat="1" applyFont="1" applyAlignment="1">
      <alignment horizontal="center"/>
    </xf>
    <xf numFmtId="0" fontId="2" fillId="117" borderId="91" xfId="0" applyFont="1" applyFill="1" applyBorder="1"/>
    <xf numFmtId="167" fontId="2" fillId="117" borderId="91" xfId="0" applyNumberFormat="1" applyFont="1" applyFill="1" applyBorder="1" applyAlignment="1">
      <alignment horizontal="center"/>
    </xf>
    <xf numFmtId="0" fontId="11" fillId="117" borderId="0" xfId="0" applyFont="1" applyFill="1"/>
    <xf numFmtId="167" fontId="11" fillId="117" borderId="0" xfId="0" applyNumberFormat="1" applyFont="1" applyFill="1" applyAlignment="1">
      <alignment horizontal="center"/>
    </xf>
    <xf numFmtId="167" fontId="11" fillId="0" borderId="0" xfId="0" applyNumberFormat="1" applyFont="1" applyAlignment="1">
      <alignment horizontal="center"/>
    </xf>
    <xf numFmtId="0" fontId="2" fillId="117" borderId="92" xfId="0" applyFont="1" applyFill="1" applyBorder="1"/>
    <xf numFmtId="167" fontId="2" fillId="117" borderId="92" xfId="0" applyNumberFormat="1" applyFont="1" applyFill="1" applyBorder="1" applyAlignment="1">
      <alignment horizontal="center"/>
    </xf>
    <xf numFmtId="166" fontId="11" fillId="0" borderId="0" xfId="10" applyNumberFormat="1" applyFont="1"/>
    <xf numFmtId="0" fontId="135" fillId="0" borderId="0" xfId="0" applyFont="1" applyAlignment="1">
      <alignment horizontal="left" vertical="top" wrapText="1"/>
    </xf>
    <xf numFmtId="0" fontId="135" fillId="0" borderId="0" xfId="0" applyFont="1"/>
    <xf numFmtId="0" fontId="135" fillId="0" borderId="0" xfId="0" quotePrefix="1" applyFont="1"/>
    <xf numFmtId="166" fontId="0" fillId="0" borderId="0" xfId="10" applyNumberFormat="1" applyFont="1" applyAlignment="1">
      <alignment horizontal="center"/>
    </xf>
    <xf numFmtId="2" fontId="11" fillId="0" borderId="0" xfId="10" applyNumberFormat="1" applyFont="1"/>
    <xf numFmtId="166" fontId="0" fillId="116" borderId="0" xfId="0" applyNumberFormat="1" applyFill="1"/>
    <xf numFmtId="0" fontId="2" fillId="118" borderId="0" xfId="0" applyFont="1" applyFill="1"/>
    <xf numFmtId="0" fontId="0" fillId="117" borderId="92" xfId="0" applyFill="1" applyBorder="1"/>
    <xf numFmtId="167" fontId="0" fillId="117" borderId="92" xfId="0" applyNumberFormat="1" applyFill="1" applyBorder="1" applyAlignment="1">
      <alignment horizontal="center"/>
    </xf>
    <xf numFmtId="166" fontId="2" fillId="0" borderId="0" xfId="0" applyNumberFormat="1" applyFont="1"/>
    <xf numFmtId="166" fontId="0" fillId="0" borderId="0" xfId="0" applyNumberFormat="1" applyAlignment="1">
      <alignment horizontal="center"/>
    </xf>
    <xf numFmtId="0" fontId="230" fillId="116" borderId="0" xfId="0" applyFont="1" applyFill="1"/>
    <xf numFmtId="9" fontId="0" fillId="0" borderId="0" xfId="0" applyNumberFormat="1"/>
    <xf numFmtId="0" fontId="231" fillId="116" borderId="0" xfId="0" applyFont="1" applyFill="1"/>
    <xf numFmtId="223" fontId="0" fillId="0" borderId="0" xfId="0" applyNumberFormat="1"/>
    <xf numFmtId="0" fontId="230" fillId="0" borderId="0" xfId="0" applyFont="1" applyAlignment="1">
      <alignment horizontal="center"/>
    </xf>
    <xf numFmtId="0" fontId="231" fillId="0" borderId="0" xfId="0" applyFont="1" applyAlignment="1">
      <alignment horizontal="center"/>
    </xf>
    <xf numFmtId="166" fontId="0" fillId="116" borderId="0" xfId="10" applyNumberFormat="1" applyFont="1" applyFill="1"/>
    <xf numFmtId="164" fontId="0" fillId="116" borderId="0" xfId="0" applyNumberFormat="1" applyFill="1"/>
    <xf numFmtId="164" fontId="7" fillId="0" borderId="0" xfId="2" applyNumberFormat="1" applyFont="1" applyFill="1" applyBorder="1"/>
    <xf numFmtId="0" fontId="17" fillId="0" borderId="33" xfId="6" applyBorder="1" applyAlignment="1"/>
    <xf numFmtId="3" fontId="88" fillId="0" borderId="0" xfId="1" applyNumberFormat="1" applyFont="1"/>
    <xf numFmtId="0" fontId="88" fillId="0" borderId="2" xfId="1" applyFont="1" applyBorder="1"/>
    <xf numFmtId="0" fontId="117" fillId="0" borderId="2" xfId="1" applyFont="1" applyBorder="1"/>
    <xf numFmtId="3" fontId="117" fillId="0" borderId="0" xfId="0" applyNumberFormat="1" applyFont="1"/>
    <xf numFmtId="3" fontId="117" fillId="0" borderId="0" xfId="1" applyNumberFormat="1" applyFont="1"/>
    <xf numFmtId="181" fontId="0" fillId="57" borderId="0" xfId="0" applyNumberFormat="1" applyFill="1"/>
    <xf numFmtId="0" fontId="2" fillId="112" borderId="1" xfId="1" applyFont="1" applyFill="1" applyBorder="1"/>
    <xf numFmtId="0" fontId="1" fillId="112" borderId="1" xfId="1" applyFill="1" applyBorder="1"/>
    <xf numFmtId="0" fontId="0" fillId="112" borderId="0" xfId="0" applyFill="1"/>
    <xf numFmtId="0" fontId="2" fillId="114" borderId="1" xfId="1" applyFont="1" applyFill="1" applyBorder="1"/>
    <xf numFmtId="0" fontId="2" fillId="115" borderId="1" xfId="1" applyFont="1" applyFill="1" applyBorder="1"/>
    <xf numFmtId="0" fontId="88" fillId="57" borderId="0" xfId="1" applyFont="1" applyFill="1"/>
    <xf numFmtId="0" fontId="88" fillId="57" borderId="0" xfId="0" applyFont="1" applyFill="1"/>
    <xf numFmtId="0" fontId="117" fillId="57" borderId="0" xfId="1" applyFont="1" applyFill="1"/>
    <xf numFmtId="0" fontId="117" fillId="57" borderId="0" xfId="0" applyFont="1" applyFill="1"/>
    <xf numFmtId="182" fontId="233" fillId="0" borderId="0" xfId="0" applyNumberFormat="1" applyFont="1"/>
    <xf numFmtId="3" fontId="88" fillId="0" borderId="2" xfId="1" applyNumberFormat="1" applyFont="1" applyBorder="1"/>
    <xf numFmtId="3" fontId="88" fillId="0" borderId="0" xfId="0" applyNumberFormat="1" applyFont="1"/>
    <xf numFmtId="0" fontId="1" fillId="114" borderId="1" xfId="1" applyFill="1" applyBorder="1"/>
    <xf numFmtId="0" fontId="0" fillId="114" borderId="0" xfId="0" applyFill="1"/>
    <xf numFmtId="0" fontId="1" fillId="115" borderId="1" xfId="1" applyFill="1" applyBorder="1"/>
    <xf numFmtId="0" fontId="0" fillId="115" borderId="0" xfId="0" applyFill="1"/>
    <xf numFmtId="166" fontId="0" fillId="0" borderId="2" xfId="10" applyNumberFormat="1" applyFont="1" applyBorder="1"/>
    <xf numFmtId="0" fontId="232" fillId="0" borderId="92" xfId="0" applyFont="1" applyBorder="1"/>
    <xf numFmtId="167" fontId="232" fillId="0" borderId="92" xfId="0" applyNumberFormat="1" applyFont="1" applyBorder="1"/>
    <xf numFmtId="167" fontId="2" fillId="117" borderId="0" xfId="0" applyNumberFormat="1" applyFont="1" applyFill="1"/>
    <xf numFmtId="0" fontId="0" fillId="119" borderId="0" xfId="0" applyFill="1"/>
    <xf numFmtId="0" fontId="88" fillId="119" borderId="0" xfId="0" applyFont="1" applyFill="1"/>
    <xf numFmtId="0" fontId="2" fillId="119" borderId="0" xfId="0" applyFont="1" applyFill="1"/>
    <xf numFmtId="167" fontId="2" fillId="119" borderId="0" xfId="0" applyNumberFormat="1" applyFont="1" applyFill="1"/>
    <xf numFmtId="164" fontId="0" fillId="119" borderId="0" xfId="0" applyNumberFormat="1" applyFill="1"/>
    <xf numFmtId="0" fontId="0" fillId="119" borderId="92" xfId="0" applyFill="1" applyBorder="1"/>
    <xf numFmtId="166" fontId="0" fillId="119" borderId="92" xfId="10" applyNumberFormat="1" applyFont="1" applyFill="1" applyBorder="1"/>
    <xf numFmtId="0" fontId="1" fillId="0" borderId="93" xfId="1" applyBorder="1"/>
    <xf numFmtId="0" fontId="2" fillId="0" borderId="94" xfId="1" applyFont="1" applyBorder="1"/>
    <xf numFmtId="0" fontId="12" fillId="112" borderId="93" xfId="1" applyFont="1" applyFill="1" applyBorder="1"/>
    <xf numFmtId="0" fontId="11" fillId="0" borderId="93" xfId="1" applyFont="1" applyBorder="1"/>
    <xf numFmtId="164" fontId="11" fillId="113" borderId="93" xfId="1" applyNumberFormat="1" applyFont="1" applyFill="1" applyBorder="1"/>
    <xf numFmtId="164" fontId="1" fillId="0" borderId="93" xfId="1" applyNumberFormat="1" applyBorder="1"/>
    <xf numFmtId="0" fontId="2" fillId="112" borderId="93" xfId="1" applyFont="1" applyFill="1" applyBorder="1"/>
    <xf numFmtId="0" fontId="0" fillId="0" borderId="93" xfId="1" applyFont="1" applyBorder="1"/>
    <xf numFmtId="0" fontId="0" fillId="0" borderId="93" xfId="0" applyBorder="1"/>
    <xf numFmtId="0" fontId="11" fillId="113" borderId="93" xfId="1" applyFont="1" applyFill="1" applyBorder="1"/>
    <xf numFmtId="0" fontId="2" fillId="0" borderId="93" xfId="1" applyFont="1" applyBorder="1"/>
    <xf numFmtId="0" fontId="2" fillId="112" borderId="93" xfId="1" applyFont="1" applyFill="1" applyBorder="1" applyAlignment="1">
      <alignment horizontal="left" indent="2"/>
    </xf>
    <xf numFmtId="0" fontId="1" fillId="0" borderId="93" xfId="1" applyBorder="1" applyAlignment="1">
      <alignment horizontal="left" indent="2"/>
    </xf>
    <xf numFmtId="0" fontId="2" fillId="112" borderId="93" xfId="1" applyFont="1" applyFill="1" applyBorder="1" applyAlignment="1">
      <alignment horizontal="left" wrapText="1" indent="2"/>
    </xf>
    <xf numFmtId="0" fontId="210" fillId="0" borderId="93" xfId="1" applyFont="1" applyBorder="1" applyAlignment="1">
      <alignment horizontal="left" indent="2"/>
    </xf>
    <xf numFmtId="0" fontId="12" fillId="110" borderId="93" xfId="1" applyFont="1" applyFill="1" applyBorder="1" applyAlignment="1">
      <alignment horizontal="left" indent="2"/>
    </xf>
    <xf numFmtId="164" fontId="7" fillId="0" borderId="93" xfId="1" applyNumberFormat="1" applyFont="1" applyBorder="1"/>
    <xf numFmtId="0" fontId="2" fillId="0" borderId="94" xfId="0" applyFont="1" applyBorder="1" applyAlignment="1">
      <alignment horizontal="left"/>
    </xf>
    <xf numFmtId="0" fontId="12" fillId="114" borderId="93" xfId="1" applyFont="1" applyFill="1" applyBorder="1"/>
    <xf numFmtId="0" fontId="2" fillId="114" borderId="93" xfId="1" applyFont="1" applyFill="1" applyBorder="1"/>
    <xf numFmtId="0" fontId="2" fillId="114" borderId="93" xfId="1" applyFont="1" applyFill="1" applyBorder="1" applyAlignment="1">
      <alignment horizontal="left" wrapText="1" indent="2"/>
    </xf>
    <xf numFmtId="0" fontId="12" fillId="0" borderId="93" xfId="1" applyFont="1" applyBorder="1" applyAlignment="1">
      <alignment horizontal="left" indent="2"/>
    </xf>
    <xf numFmtId="0" fontId="5" fillId="0" borderId="93" xfId="1" applyFont="1" applyBorder="1"/>
    <xf numFmtId="0" fontId="12" fillId="115" borderId="93" xfId="1" applyFont="1" applyFill="1" applyBorder="1"/>
    <xf numFmtId="0" fontId="2" fillId="115" borderId="93" xfId="1" applyFont="1" applyFill="1" applyBorder="1"/>
    <xf numFmtId="0" fontId="2" fillId="115" borderId="93" xfId="1" applyFont="1" applyFill="1" applyBorder="1" applyAlignment="1">
      <alignment horizontal="left" indent="2"/>
    </xf>
    <xf numFmtId="0" fontId="2" fillId="115" borderId="93" xfId="1" applyFont="1" applyFill="1" applyBorder="1" applyAlignment="1">
      <alignment horizontal="left" wrapText="1" indent="2"/>
    </xf>
    <xf numFmtId="0" fontId="7" fillId="0" borderId="93" xfId="1" applyFont="1" applyBorder="1"/>
    <xf numFmtId="0" fontId="7" fillId="0" borderId="95" xfId="1" applyFont="1" applyBorder="1"/>
    <xf numFmtId="0" fontId="2" fillId="2" borderId="0" xfId="1" applyFont="1" applyFill="1"/>
    <xf numFmtId="0" fontId="2" fillId="106" borderId="0" xfId="1" applyFont="1" applyFill="1"/>
    <xf numFmtId="164" fontId="134" fillId="0" borderId="0" xfId="1" applyNumberFormat="1" applyFont="1"/>
    <xf numFmtId="167" fontId="5" fillId="0" borderId="0" xfId="1" applyNumberFormat="1" applyFont="1"/>
    <xf numFmtId="167" fontId="11" fillId="0" borderId="0" xfId="1" applyNumberFormat="1" applyFont="1"/>
    <xf numFmtId="0" fontId="11" fillId="0" borderId="0" xfId="1" applyFont="1" applyAlignment="1">
      <alignment horizontal="left" indent="2"/>
    </xf>
    <xf numFmtId="0" fontId="11" fillId="6" borderId="0" xfId="1" applyFont="1" applyFill="1" applyAlignment="1">
      <alignment horizontal="left" indent="2"/>
    </xf>
    <xf numFmtId="9" fontId="7" fillId="6" borderId="0" xfId="10" applyFont="1" applyFill="1" applyBorder="1"/>
    <xf numFmtId="166" fontId="7" fillId="0" borderId="0" xfId="10" applyNumberFormat="1" applyFont="1" applyFill="1" applyBorder="1"/>
    <xf numFmtId="166" fontId="234" fillId="0" borderId="0" xfId="10" applyNumberFormat="1" applyFont="1" applyFill="1" applyBorder="1"/>
    <xf numFmtId="0" fontId="2" fillId="0" borderId="0" xfId="1" applyFont="1" applyAlignment="1">
      <alignment horizontal="left" indent="2"/>
    </xf>
    <xf numFmtId="0" fontId="1" fillId="0" borderId="0" xfId="1" applyAlignment="1">
      <alignment horizontal="left" indent="2"/>
    </xf>
    <xf numFmtId="164" fontId="5" fillId="0" borderId="0" xfId="1" applyNumberFormat="1" applyFont="1"/>
    <xf numFmtId="167" fontId="7" fillId="0" borderId="0" xfId="0" applyNumberFormat="1" applyFont="1"/>
    <xf numFmtId="0" fontId="0" fillId="0" borderId="0" xfId="0" applyAlignment="1">
      <alignment horizontal="left" indent="2"/>
    </xf>
    <xf numFmtId="164" fontId="11" fillId="0" borderId="0" xfId="1" applyNumberFormat="1" applyFont="1"/>
    <xf numFmtId="164" fontId="5" fillId="57" borderId="0" xfId="1" applyNumberFormat="1" applyFont="1" applyFill="1"/>
    <xf numFmtId="0" fontId="0" fillId="0" borderId="0" xfId="1" applyFont="1" applyAlignment="1">
      <alignment horizontal="left" indent="2"/>
    </xf>
    <xf numFmtId="167" fontId="2" fillId="57" borderId="0" xfId="1" applyNumberFormat="1" applyFont="1" applyFill="1"/>
    <xf numFmtId="167" fontId="2" fillId="0" borderId="0" xfId="1" applyNumberFormat="1" applyFont="1"/>
    <xf numFmtId="167" fontId="11" fillId="0" borderId="0" xfId="0" applyNumberFormat="1" applyFont="1"/>
    <xf numFmtId="2" fontId="5" fillId="0" borderId="0" xfId="1" applyNumberFormat="1" applyFont="1"/>
    <xf numFmtId="0" fontId="2" fillId="6" borderId="0" xfId="1" applyFont="1" applyFill="1" applyAlignment="1">
      <alignment horizontal="left" indent="2"/>
    </xf>
    <xf numFmtId="164" fontId="2" fillId="6" borderId="0" xfId="1" applyNumberFormat="1" applyFont="1" applyFill="1"/>
    <xf numFmtId="166" fontId="234" fillId="0" borderId="0" xfId="0" applyNumberFormat="1" applyFont="1"/>
    <xf numFmtId="168" fontId="11" fillId="0" borderId="0" xfId="1" applyNumberFormat="1" applyFont="1"/>
    <xf numFmtId="167" fontId="11" fillId="57" borderId="0" xfId="0" applyNumberFormat="1" applyFont="1" applyFill="1"/>
    <xf numFmtId="0" fontId="0" fillId="6" borderId="0" xfId="0" applyFill="1" applyAlignment="1">
      <alignment horizontal="left" indent="2"/>
    </xf>
    <xf numFmtId="166" fontId="1" fillId="0" borderId="0" xfId="3" applyNumberFormat="1" applyFont="1" applyFill="1" applyBorder="1"/>
    <xf numFmtId="164" fontId="8" fillId="0" borderId="0" xfId="1" applyNumberFormat="1" applyFont="1"/>
    <xf numFmtId="9" fontId="1" fillId="0" borderId="0" xfId="10" applyFill="1" applyBorder="1"/>
    <xf numFmtId="0" fontId="18" fillId="120" borderId="0" xfId="0" applyFont="1" applyFill="1" applyAlignment="1">
      <alignment horizontal="left" indent="2"/>
    </xf>
    <xf numFmtId="164" fontId="2" fillId="63" borderId="0" xfId="1" applyNumberFormat="1" applyFont="1" applyFill="1"/>
    <xf numFmtId="0" fontId="1" fillId="63" borderId="0" xfId="1" applyFill="1" applyAlignment="1">
      <alignment horizontal="left" indent="2"/>
    </xf>
    <xf numFmtId="164" fontId="5" fillId="63" borderId="0" xfId="1" applyNumberFormat="1" applyFont="1" applyFill="1"/>
    <xf numFmtId="0" fontId="2" fillId="63" borderId="0" xfId="1" applyFont="1" applyFill="1" applyAlignment="1">
      <alignment horizontal="left" indent="2"/>
    </xf>
    <xf numFmtId="0" fontId="18" fillId="63" borderId="0" xfId="0" applyFont="1" applyFill="1" applyAlignment="1">
      <alignment horizontal="left" indent="2"/>
    </xf>
    <xf numFmtId="164" fontId="1" fillId="63" borderId="0" xfId="1" applyNumberFormat="1" applyFill="1"/>
    <xf numFmtId="0" fontId="0" fillId="63" borderId="0" xfId="1" applyFont="1" applyFill="1" applyAlignment="1">
      <alignment horizontal="left" indent="2"/>
    </xf>
    <xf numFmtId="0" fontId="0" fillId="63" borderId="0" xfId="0" applyFill="1"/>
    <xf numFmtId="181" fontId="0" fillId="63" borderId="0" xfId="0" applyNumberFormat="1" applyFill="1"/>
    <xf numFmtId="0" fontId="2" fillId="0" borderId="33" xfId="0" applyFont="1" applyBorder="1"/>
    <xf numFmtId="0" fontId="2" fillId="0" borderId="0" xfId="0" applyFont="1" applyAlignment="1">
      <alignment horizontal="left" indent="2"/>
    </xf>
    <xf numFmtId="167" fontId="1" fillId="57" borderId="4" xfId="1" applyNumberFormat="1" applyFill="1" applyBorder="1"/>
    <xf numFmtId="164" fontId="88" fillId="0" borderId="0" xfId="0" applyNumberFormat="1" applyFont="1"/>
    <xf numFmtId="164" fontId="1" fillId="57" borderId="0" xfId="1" applyNumberFormat="1" applyFill="1"/>
    <xf numFmtId="0" fontId="95" fillId="121" borderId="0" xfId="7" applyFont="1" applyFill="1" applyAlignment="1">
      <alignment horizontal="center"/>
    </xf>
    <xf numFmtId="166" fontId="98" fillId="121" borderId="0" xfId="7" applyNumberFormat="1" applyFont="1" applyFill="1" applyAlignment="1">
      <alignment horizontal="center"/>
    </xf>
    <xf numFmtId="0" fontId="97" fillId="121" borderId="0" xfId="0" applyFont="1" applyFill="1" applyAlignment="1">
      <alignment horizontal="center"/>
    </xf>
    <xf numFmtId="10" fontId="115" fillId="121" borderId="0" xfId="0" applyNumberFormat="1" applyFont="1" applyFill="1"/>
    <xf numFmtId="0" fontId="95" fillId="121" borderId="0" xfId="7" applyFont="1" applyFill="1"/>
    <xf numFmtId="0" fontId="20" fillId="114" borderId="9" xfId="1" applyFont="1" applyFill="1" applyBorder="1"/>
    <xf numFmtId="164" fontId="12" fillId="114" borderId="10" xfId="1" applyNumberFormat="1" applyFont="1" applyFill="1" applyBorder="1"/>
    <xf numFmtId="0" fontId="235" fillId="0" borderId="1" xfId="0" applyFont="1" applyBorder="1"/>
    <xf numFmtId="164" fontId="236" fillId="0" borderId="0" xfId="10" applyNumberFormat="1" applyFont="1" applyBorder="1"/>
    <xf numFmtId="0" fontId="236" fillId="0" borderId="1" xfId="0" applyFont="1" applyBorder="1"/>
    <xf numFmtId="0" fontId="236" fillId="0" borderId="3" xfId="0" applyFont="1" applyBorder="1"/>
    <xf numFmtId="164" fontId="236" fillId="0" borderId="4" xfId="10" applyNumberFormat="1" applyFont="1" applyBorder="1"/>
    <xf numFmtId="9" fontId="236" fillId="0" borderId="4" xfId="10" applyFont="1" applyBorder="1"/>
    <xf numFmtId="224" fontId="0" fillId="0" borderId="0" xfId="0" applyNumberFormat="1"/>
    <xf numFmtId="0" fontId="0" fillId="57" borderId="0" xfId="0" applyFill="1" applyAlignment="1">
      <alignment vertical="center" wrapText="1"/>
    </xf>
    <xf numFmtId="164" fontId="0" fillId="0" borderId="0" xfId="0" applyNumberFormat="1" applyAlignment="1">
      <alignment vertical="center" wrapText="1"/>
    </xf>
    <xf numFmtId="168" fontId="2" fillId="0" borderId="10" xfId="0" applyNumberFormat="1" applyFont="1" applyBorder="1" applyAlignment="1">
      <alignment horizontal="right"/>
    </xf>
    <xf numFmtId="0" fontId="115" fillId="0" borderId="1" xfId="0" applyFont="1" applyBorder="1"/>
    <xf numFmtId="0" fontId="197" fillId="0" borderId="0" xfId="0" applyFont="1" applyAlignment="1">
      <alignment horizontal="center"/>
    </xf>
    <xf numFmtId="0" fontId="115" fillId="0" borderId="2" xfId="0" applyFont="1" applyBorder="1"/>
    <xf numFmtId="17" fontId="115" fillId="0" borderId="1" xfId="0" applyNumberFormat="1" applyFont="1" applyBorder="1"/>
    <xf numFmtId="0" fontId="93" fillId="0" borderId="0" xfId="0" applyFont="1" applyAlignment="1">
      <alignment horizontal="center"/>
    </xf>
    <xf numFmtId="0" fontId="115" fillId="0" borderId="0" xfId="0" applyFont="1" applyAlignment="1">
      <alignment horizontal="center"/>
    </xf>
    <xf numFmtId="0" fontId="115" fillId="107" borderId="0" xfId="0" applyFont="1" applyFill="1" applyAlignment="1">
      <alignment horizontal="center"/>
    </xf>
    <xf numFmtId="10" fontId="115" fillId="0" borderId="2" xfId="0" applyNumberFormat="1" applyFont="1" applyBorder="1"/>
    <xf numFmtId="0" fontId="238" fillId="0" borderId="1" xfId="0" applyFont="1" applyBorder="1"/>
    <xf numFmtId="17" fontId="238" fillId="0" borderId="1" xfId="0" applyNumberFormat="1" applyFont="1" applyBorder="1"/>
    <xf numFmtId="10" fontId="115" fillId="0" borderId="0" xfId="0" applyNumberFormat="1" applyFont="1" applyAlignment="1">
      <alignment horizontal="center"/>
    </xf>
    <xf numFmtId="17" fontId="115" fillId="0" borderId="3" xfId="0" applyNumberFormat="1" applyFont="1" applyBorder="1"/>
    <xf numFmtId="0" fontId="115" fillId="57" borderId="4" xfId="0" applyFont="1" applyFill="1" applyBorder="1" applyAlignment="1">
      <alignment horizontal="center"/>
    </xf>
    <xf numFmtId="10" fontId="115" fillId="57" borderId="4" xfId="10" applyNumberFormat="1" applyFont="1" applyFill="1" applyBorder="1" applyAlignment="1">
      <alignment horizontal="center"/>
    </xf>
    <xf numFmtId="0" fontId="115" fillId="0" borderId="4" xfId="0" applyFont="1" applyBorder="1"/>
    <xf numFmtId="0" fontId="115" fillId="0" borderId="5" xfId="0" applyFont="1" applyBorder="1"/>
    <xf numFmtId="0" fontId="115" fillId="0" borderId="3" xfId="0" applyFont="1" applyBorder="1"/>
    <xf numFmtId="0" fontId="115" fillId="57" borderId="0" xfId="0" applyFont="1" applyFill="1"/>
    <xf numFmtId="10" fontId="115" fillId="57" borderId="2" xfId="0" applyNumberFormat="1" applyFont="1" applyFill="1" applyBorder="1"/>
    <xf numFmtId="17" fontId="238" fillId="0" borderId="3" xfId="0" applyNumberFormat="1" applyFont="1" applyBorder="1"/>
    <xf numFmtId="0" fontId="115" fillId="107" borderId="4" xfId="0" applyFont="1" applyFill="1" applyBorder="1" applyAlignment="1">
      <alignment horizontal="center"/>
    </xf>
    <xf numFmtId="0" fontId="239" fillId="0" borderId="24" xfId="6" applyFont="1" applyBorder="1"/>
    <xf numFmtId="0" fontId="132" fillId="58" borderId="0" xfId="90" applyFont="1" applyFill="1" applyBorder="1" applyAlignment="1" applyProtection="1">
      <alignment horizontal="center" vertical="center" wrapText="1"/>
    </xf>
    <xf numFmtId="0" fontId="128" fillId="58" borderId="0" xfId="0" applyFont="1" applyFill="1"/>
    <xf numFmtId="0" fontId="128" fillId="33" borderId="0" xfId="0" applyFont="1" applyFill="1"/>
    <xf numFmtId="0" fontId="128" fillId="4" borderId="0" xfId="0" applyFont="1" applyFill="1"/>
    <xf numFmtId="0" fontId="130" fillId="33" borderId="0" xfId="0" applyFont="1" applyFill="1"/>
    <xf numFmtId="0" fontId="130" fillId="33" borderId="96" xfId="0" applyFont="1" applyFill="1" applyBorder="1"/>
    <xf numFmtId="0" fontId="126" fillId="33" borderId="0" xfId="0" applyFont="1" applyFill="1"/>
    <xf numFmtId="0" fontId="126" fillId="58" borderId="0" xfId="0" applyFont="1" applyFill="1"/>
    <xf numFmtId="0" fontId="130" fillId="58" borderId="0" xfId="0" applyFont="1" applyFill="1"/>
    <xf numFmtId="0" fontId="130" fillId="122" borderId="37" xfId="0" applyFont="1" applyFill="1" applyBorder="1"/>
    <xf numFmtId="0" fontId="91" fillId="123" borderId="102" xfId="0" applyFont="1" applyFill="1" applyBorder="1" applyAlignment="1">
      <alignment horizontal="center" vertical="center" wrapText="1"/>
    </xf>
    <xf numFmtId="0" fontId="91" fillId="123" borderId="103" xfId="0" applyFont="1" applyFill="1" applyBorder="1" applyAlignment="1">
      <alignment horizontal="center" vertical="center" wrapText="1"/>
    </xf>
    <xf numFmtId="0" fontId="130" fillId="122" borderId="104" xfId="0" applyFont="1" applyFill="1" applyBorder="1" applyAlignment="1">
      <alignment horizontal="center" vertical="center" wrapText="1"/>
    </xf>
    <xf numFmtId="0" fontId="130" fillId="122" borderId="104" xfId="0" applyFont="1" applyFill="1" applyBorder="1" applyAlignment="1">
      <alignment horizontal="center" wrapText="1"/>
    </xf>
    <xf numFmtId="0" fontId="130" fillId="56" borderId="105" xfId="0" applyFont="1" applyFill="1" applyBorder="1" applyAlignment="1">
      <alignment vertical="center" wrapText="1"/>
    </xf>
    <xf numFmtId="0" fontId="130" fillId="122" borderId="0" xfId="0" applyFont="1" applyFill="1" applyAlignment="1">
      <alignment horizontal="center" vertical="center" wrapText="1"/>
    </xf>
    <xf numFmtId="0" fontId="130" fillId="56" borderId="105" xfId="0" applyFont="1" applyFill="1" applyBorder="1" applyAlignment="1">
      <alignment horizontal="center" vertical="center" wrapText="1"/>
    </xf>
    <xf numFmtId="0" fontId="129" fillId="33" borderId="106" xfId="0" applyFont="1" applyFill="1" applyBorder="1" applyAlignment="1">
      <alignment horizontal="left"/>
    </xf>
    <xf numFmtId="164" fontId="129" fillId="33" borderId="107" xfId="0" applyNumberFormat="1" applyFont="1" applyFill="1" applyBorder="1" applyAlignment="1">
      <alignment horizontal="center" vertical="center"/>
    </xf>
    <xf numFmtId="164" fontId="129" fillId="0" borderId="107" xfId="0" applyNumberFormat="1" applyFont="1" applyBorder="1" applyAlignment="1">
      <alignment horizontal="center" vertical="center"/>
    </xf>
    <xf numFmtId="164" fontId="129" fillId="4" borderId="108" xfId="0" applyNumberFormat="1" applyFont="1" applyFill="1" applyBorder="1" applyAlignment="1">
      <alignment horizontal="center"/>
    </xf>
    <xf numFmtId="167" fontId="126" fillId="33" borderId="0" xfId="0" applyNumberFormat="1" applyFont="1" applyFill="1"/>
    <xf numFmtId="0" fontId="129" fillId="33" borderId="37" xfId="0" applyFont="1" applyFill="1" applyBorder="1" applyAlignment="1">
      <alignment horizontal="left"/>
    </xf>
    <xf numFmtId="164" fontId="126" fillId="33" borderId="0" xfId="0" applyNumberFormat="1" applyFont="1" applyFill="1"/>
    <xf numFmtId="2" fontId="126" fillId="33" borderId="0" xfId="0" applyNumberFormat="1" applyFont="1" applyFill="1"/>
    <xf numFmtId="0" fontId="129" fillId="33" borderId="41" xfId="0" applyFont="1" applyFill="1" applyBorder="1" applyAlignment="1">
      <alignment horizontal="left"/>
    </xf>
    <xf numFmtId="164" fontId="129" fillId="33" borderId="109" xfId="0" applyNumberFormat="1" applyFont="1" applyFill="1" applyBorder="1" applyAlignment="1">
      <alignment horizontal="center" vertical="center"/>
    </xf>
    <xf numFmtId="164" fontId="129" fillId="0" borderId="109" xfId="0" applyNumberFormat="1" applyFont="1" applyBorder="1" applyAlignment="1">
      <alignment horizontal="center" vertical="center"/>
    </xf>
    <xf numFmtId="164" fontId="129" fillId="4" borderId="110" xfId="0" applyNumberFormat="1" applyFont="1" applyFill="1" applyBorder="1" applyAlignment="1">
      <alignment horizontal="center"/>
    </xf>
    <xf numFmtId="164" fontId="129" fillId="33" borderId="0" xfId="0" applyNumberFormat="1" applyFont="1" applyFill="1" applyAlignment="1">
      <alignment horizontal="center" vertical="center"/>
    </xf>
    <xf numFmtId="164" fontId="129" fillId="4" borderId="0" xfId="0" applyNumberFormat="1" applyFont="1" applyFill="1" applyAlignment="1">
      <alignment horizontal="center" vertical="center"/>
    </xf>
    <xf numFmtId="190" fontId="126" fillId="33" borderId="0" xfId="0" applyNumberFormat="1" applyFont="1" applyFill="1"/>
    <xf numFmtId="0" fontId="85" fillId="0" borderId="111" xfId="0" applyFont="1" applyBorder="1" applyAlignment="1">
      <alignment vertical="center"/>
    </xf>
    <xf numFmtId="164" fontId="129" fillId="33" borderId="40" xfId="0" applyNumberFormat="1" applyFont="1" applyFill="1" applyBorder="1" applyAlignment="1">
      <alignment horizontal="center" vertical="center"/>
    </xf>
    <xf numFmtId="164" fontId="129" fillId="4" borderId="40" xfId="0" applyNumberFormat="1" applyFont="1" applyFill="1" applyBorder="1" applyAlignment="1">
      <alignment horizontal="center" vertical="center"/>
    </xf>
    <xf numFmtId="164" fontId="129" fillId="0" borderId="112" xfId="0" applyNumberFormat="1" applyFont="1" applyBorder="1" applyAlignment="1">
      <alignment horizontal="center"/>
    </xf>
    <xf numFmtId="164" fontId="129" fillId="0" borderId="40" xfId="0" applyNumberFormat="1" applyFont="1" applyBorder="1" applyAlignment="1">
      <alignment horizontal="center" vertical="center"/>
    </xf>
    <xf numFmtId="0" fontId="129" fillId="33" borderId="113" xfId="0" applyFont="1" applyFill="1" applyBorder="1" applyAlignment="1">
      <alignment horizontal="left"/>
    </xf>
    <xf numFmtId="164" fontId="129" fillId="0" borderId="96" xfId="0" applyNumberFormat="1" applyFont="1" applyBorder="1" applyAlignment="1">
      <alignment horizontal="center" vertical="center"/>
    </xf>
    <xf numFmtId="164" fontId="129" fillId="33" borderId="96" xfId="0" applyNumberFormat="1" applyFont="1" applyFill="1" applyBorder="1" applyAlignment="1">
      <alignment horizontal="center" vertical="center"/>
    </xf>
    <xf numFmtId="164" fontId="129" fillId="4" borderId="96" xfId="0" applyNumberFormat="1" applyFont="1" applyFill="1" applyBorder="1" applyAlignment="1">
      <alignment horizontal="center" vertical="center"/>
    </xf>
    <xf numFmtId="164" fontId="129" fillId="0" borderId="114" xfId="0" applyNumberFormat="1" applyFont="1" applyBorder="1" applyAlignment="1">
      <alignment horizontal="center"/>
    </xf>
    <xf numFmtId="0" fontId="133" fillId="33" borderId="0" xfId="0" applyFont="1" applyFill="1"/>
    <xf numFmtId="0" fontId="127" fillId="33" borderId="0" xfId="0" applyFont="1" applyFill="1" applyAlignment="1">
      <alignment wrapText="1"/>
    </xf>
    <xf numFmtId="0" fontId="127" fillId="33" borderId="0" xfId="0" applyFont="1" applyFill="1"/>
    <xf numFmtId="164" fontId="129" fillId="57" borderId="36" xfId="0" applyNumberFormat="1" applyFont="1" applyFill="1" applyBorder="1" applyAlignment="1">
      <alignment horizontal="center"/>
    </xf>
    <xf numFmtId="164" fontId="129" fillId="57" borderId="114" xfId="0" applyNumberFormat="1" applyFont="1" applyFill="1" applyBorder="1" applyAlignment="1">
      <alignment horizontal="center"/>
    </xf>
    <xf numFmtId="2" fontId="0" fillId="0" borderId="7" xfId="0" applyNumberFormat="1" applyBorder="1"/>
    <xf numFmtId="167" fontId="0" fillId="0" borderId="7" xfId="0" applyNumberFormat="1" applyBorder="1"/>
    <xf numFmtId="0" fontId="2" fillId="0" borderId="7" xfId="0" applyFont="1" applyBorder="1"/>
    <xf numFmtId="166" fontId="0" fillId="0" borderId="7" xfId="10" applyNumberFormat="1" applyFont="1" applyBorder="1"/>
    <xf numFmtId="166" fontId="0" fillId="0" borderId="7" xfId="10" applyNumberFormat="1" applyFont="1" applyFill="1" applyBorder="1"/>
    <xf numFmtId="0" fontId="0" fillId="0" borderId="115" xfId="0" applyBorder="1"/>
    <xf numFmtId="2" fontId="0" fillId="0" borderId="8" xfId="0" applyNumberFormat="1" applyBorder="1"/>
    <xf numFmtId="166" fontId="0" fillId="0" borderId="8" xfId="10" applyNumberFormat="1" applyFont="1" applyFill="1" applyBorder="1"/>
    <xf numFmtId="0" fontId="2" fillId="114" borderId="0" xfId="0" applyFont="1" applyFill="1"/>
    <xf numFmtId="2" fontId="11" fillId="0" borderId="24" xfId="1" applyNumberFormat="1" applyFont="1" applyBorder="1"/>
    <xf numFmtId="168" fontId="0" fillId="0" borderId="0" xfId="0" applyNumberFormat="1"/>
    <xf numFmtId="168" fontId="0" fillId="0" borderId="0" xfId="2" applyNumberFormat="1" applyFont="1" applyBorder="1"/>
    <xf numFmtId="168" fontId="0" fillId="0" borderId="7" xfId="0" applyNumberFormat="1" applyBorder="1"/>
    <xf numFmtId="168" fontId="7" fillId="0" borderId="0" xfId="1" applyNumberFormat="1" applyFont="1"/>
    <xf numFmtId="168" fontId="1" fillId="0" borderId="7" xfId="1" applyNumberFormat="1" applyBorder="1"/>
    <xf numFmtId="168" fontId="6" fillId="0" borderId="0" xfId="0" applyNumberFormat="1" applyFont="1"/>
    <xf numFmtId="168" fontId="225" fillId="0" borderId="0" xfId="0" applyNumberFormat="1" applyFont="1"/>
    <xf numFmtId="166" fontId="0" fillId="0" borderId="0" xfId="0" applyNumberFormat="1" applyAlignment="1">
      <alignment wrapText="1"/>
    </xf>
    <xf numFmtId="2" fontId="118" fillId="57" borderId="7" xfId="1" applyNumberFormat="1" applyFont="1" applyFill="1" applyBorder="1"/>
    <xf numFmtId="167" fontId="17" fillId="0" borderId="24" xfId="6" applyNumberFormat="1" applyBorder="1" applyAlignment="1">
      <alignment horizontal="left"/>
    </xf>
    <xf numFmtId="166" fontId="0" fillId="0" borderId="7" xfId="0" applyNumberFormat="1" applyBorder="1"/>
    <xf numFmtId="9" fontId="0" fillId="109" borderId="1" xfId="0" applyNumberFormat="1" applyFill="1" applyBorder="1" applyAlignment="1">
      <alignment horizontal="center" vertical="center"/>
    </xf>
    <xf numFmtId="9" fontId="0" fillId="0" borderId="4" xfId="0" applyNumberFormat="1" applyBorder="1"/>
    <xf numFmtId="166" fontId="0" fillId="0" borderId="4" xfId="0" applyNumberFormat="1" applyBorder="1"/>
    <xf numFmtId="3" fontId="40" fillId="0" borderId="0" xfId="1304" applyNumberFormat="1" applyFont="1" applyAlignment="1">
      <alignment horizontal="right" vertical="center"/>
    </xf>
    <xf numFmtId="3" fontId="254" fillId="0" borderId="0" xfId="1304" applyNumberFormat="1" applyFont="1" applyAlignment="1">
      <alignment horizontal="right" vertical="center"/>
    </xf>
    <xf numFmtId="3" fontId="255" fillId="0" borderId="0" xfId="1366" applyNumberFormat="1" applyFont="1"/>
    <xf numFmtId="3" fontId="241" fillId="37" borderId="126" xfId="1315" applyNumberFormat="1" applyFont="1" applyFill="1" applyBorder="1" applyAlignment="1">
      <alignment horizontal="center" vertical="center"/>
    </xf>
    <xf numFmtId="3" fontId="255" fillId="0" borderId="0" xfId="1336" applyNumberFormat="1" applyFont="1"/>
    <xf numFmtId="1" fontId="256" fillId="0" borderId="0" xfId="1359" applyNumberFormat="1" applyFont="1"/>
    <xf numFmtId="3" fontId="241" fillId="37" borderId="0" xfId="1315" applyNumberFormat="1" applyFont="1" applyFill="1" applyAlignment="1">
      <alignment horizontal="right" vertical="center"/>
    </xf>
    <xf numFmtId="3" fontId="241" fillId="37" borderId="122" xfId="1315" applyNumberFormat="1" applyFont="1" applyFill="1" applyBorder="1" applyAlignment="1">
      <alignment horizontal="left" vertical="center"/>
    </xf>
    <xf numFmtId="3" fontId="241" fillId="37" borderId="0" xfId="1315" applyNumberFormat="1" applyFont="1" applyFill="1" applyAlignment="1">
      <alignment horizontal="right" vertical="center" wrapText="1"/>
    </xf>
    <xf numFmtId="3" fontId="241" fillId="37" borderId="122" xfId="1315" applyNumberFormat="1" applyFont="1" applyFill="1" applyBorder="1" applyAlignment="1">
      <alignment horizontal="right" vertical="center" wrapText="1"/>
    </xf>
    <xf numFmtId="3" fontId="241" fillId="0" borderId="0" xfId="1315" applyNumberFormat="1" applyFont="1" applyAlignment="1">
      <alignment horizontal="right" vertical="center"/>
    </xf>
    <xf numFmtId="3" fontId="241" fillId="37" borderId="122" xfId="1315" applyNumberFormat="1" applyFont="1" applyFill="1" applyBorder="1" applyAlignment="1">
      <alignment horizontal="right" vertical="center"/>
    </xf>
    <xf numFmtId="3" fontId="241" fillId="37" borderId="18" xfId="257" applyNumberFormat="1" applyFont="1" applyFill="1" applyBorder="1" applyAlignment="1">
      <alignment horizontal="right" vertical="center" wrapText="1"/>
    </xf>
    <xf numFmtId="3" fontId="241" fillId="37" borderId="18" xfId="257" applyNumberFormat="1" applyFont="1" applyFill="1" applyBorder="1" applyAlignment="1" applyProtection="1">
      <alignment horizontal="right" vertical="center" wrapText="1"/>
      <protection locked="0"/>
    </xf>
    <xf numFmtId="3" fontId="241" fillId="37" borderId="18" xfId="1315" applyNumberFormat="1" applyFont="1" applyFill="1" applyBorder="1" applyAlignment="1">
      <alignment horizontal="right" vertical="center"/>
    </xf>
    <xf numFmtId="3" fontId="241" fillId="0" borderId="121" xfId="1315" applyNumberFormat="1" applyFont="1" applyBorder="1" applyAlignment="1">
      <alignment horizontal="left" vertical="center" indent="1"/>
    </xf>
    <xf numFmtId="3" fontId="241" fillId="37" borderId="124" xfId="257" applyNumberFormat="1" applyFont="1" applyFill="1" applyBorder="1" applyAlignment="1" applyProtection="1">
      <alignment horizontal="right" vertical="center" wrapText="1"/>
      <protection locked="0"/>
    </xf>
    <xf numFmtId="3" fontId="241" fillId="0" borderId="122" xfId="1315" applyNumberFormat="1" applyFont="1" applyBorder="1" applyAlignment="1">
      <alignment horizontal="right" vertical="center"/>
    </xf>
    <xf numFmtId="3" fontId="241" fillId="0" borderId="0" xfId="1315" applyNumberFormat="1" applyFont="1" applyAlignment="1">
      <alignment vertical="center"/>
    </xf>
    <xf numFmtId="3" fontId="241" fillId="0" borderId="0" xfId="1315" applyNumberFormat="1" applyFont="1" applyAlignment="1">
      <alignment horizontal="left" vertical="center" indent="1"/>
    </xf>
    <xf numFmtId="3" fontId="245" fillId="0" borderId="0" xfId="1315" applyNumberFormat="1" applyFont="1" applyAlignment="1">
      <alignment horizontal="right" vertical="center"/>
    </xf>
    <xf numFmtId="3" fontId="241" fillId="0" borderId="122" xfId="1315" applyNumberFormat="1" applyFont="1" applyBorder="1" applyAlignment="1">
      <alignment vertical="center"/>
    </xf>
    <xf numFmtId="3" fontId="241" fillId="37" borderId="121" xfId="1315" applyNumberFormat="1" applyFont="1" applyFill="1" applyBorder="1" applyAlignment="1">
      <alignment horizontal="right" vertical="center" wrapText="1"/>
    </xf>
    <xf numFmtId="3" fontId="241" fillId="0" borderId="121" xfId="1315" applyNumberFormat="1" applyFont="1" applyBorder="1" applyAlignment="1">
      <alignment horizontal="right" vertical="center"/>
    </xf>
    <xf numFmtId="3" fontId="241" fillId="37" borderId="121" xfId="1315" applyNumberFormat="1" applyFont="1" applyFill="1" applyBorder="1" applyAlignment="1">
      <alignment horizontal="right" vertical="center"/>
    </xf>
    <xf numFmtId="3" fontId="241" fillId="37" borderId="123" xfId="257" applyNumberFormat="1" applyFont="1" applyFill="1" applyBorder="1" applyAlignment="1">
      <alignment horizontal="right" vertical="center" wrapText="1"/>
    </xf>
    <xf numFmtId="3" fontId="241" fillId="37" borderId="123" xfId="1315" applyNumberFormat="1" applyFont="1" applyFill="1" applyBorder="1" applyAlignment="1">
      <alignment horizontal="right" vertical="center"/>
    </xf>
    <xf numFmtId="3" fontId="245" fillId="0" borderId="121" xfId="1315" applyNumberFormat="1" applyFont="1" applyBorder="1" applyAlignment="1">
      <alignment horizontal="right" vertical="center"/>
    </xf>
    <xf numFmtId="3" fontId="241" fillId="0" borderId="122" xfId="1315" applyNumberFormat="1" applyFont="1" applyBorder="1" applyAlignment="1">
      <alignment horizontal="left" vertical="center"/>
    </xf>
    <xf numFmtId="3" fontId="245" fillId="0" borderId="122" xfId="1315" applyNumberFormat="1" applyFont="1" applyBorder="1" applyAlignment="1">
      <alignment horizontal="left" vertical="center"/>
    </xf>
    <xf numFmtId="3" fontId="245" fillId="0" borderId="122" xfId="1315" applyNumberFormat="1" applyFont="1" applyBorder="1" applyAlignment="1">
      <alignment horizontal="left" vertical="center" wrapText="1"/>
    </xf>
    <xf numFmtId="3" fontId="241" fillId="37" borderId="124" xfId="1315" applyNumberFormat="1" applyFont="1" applyFill="1" applyBorder="1" applyAlignment="1">
      <alignment horizontal="left" vertical="center"/>
    </xf>
    <xf numFmtId="3" fontId="245" fillId="0" borderId="126" xfId="1315" applyNumberFormat="1" applyFont="1" applyBorder="1" applyAlignment="1">
      <alignment horizontal="right" vertical="center"/>
    </xf>
    <xf numFmtId="3" fontId="245" fillId="0" borderId="127" xfId="1315" applyNumberFormat="1" applyFont="1" applyBorder="1" applyAlignment="1">
      <alignment horizontal="left" vertical="center"/>
    </xf>
    <xf numFmtId="3" fontId="245" fillId="0" borderId="125" xfId="1315" applyNumberFormat="1" applyFont="1" applyBorder="1" applyAlignment="1">
      <alignment horizontal="right" vertical="center"/>
    </xf>
    <xf numFmtId="3" fontId="245" fillId="0" borderId="122" xfId="1315" applyNumberFormat="1" applyFont="1" applyBorder="1" applyAlignment="1">
      <alignment horizontal="right" vertical="center"/>
    </xf>
    <xf numFmtId="3" fontId="245" fillId="0" borderId="127" xfId="1315" applyNumberFormat="1" applyFont="1" applyBorder="1" applyAlignment="1">
      <alignment horizontal="right" vertical="center"/>
    </xf>
    <xf numFmtId="0" fontId="241" fillId="0" borderId="18" xfId="1353" applyFont="1" applyBorder="1" applyAlignment="1">
      <alignment vertical="center"/>
    </xf>
    <xf numFmtId="3" fontId="256" fillId="0" borderId="0" xfId="1336" applyNumberFormat="1" applyFont="1"/>
    <xf numFmtId="3" fontId="241" fillId="0" borderId="0" xfId="1315" applyNumberFormat="1" applyFont="1" applyAlignment="1">
      <alignment horizontal="left" vertical="center"/>
    </xf>
    <xf numFmtId="3" fontId="241" fillId="37" borderId="0" xfId="1315" applyNumberFormat="1" applyFont="1" applyFill="1" applyAlignment="1">
      <alignment horizontal="left" vertical="center"/>
    </xf>
    <xf numFmtId="3" fontId="245" fillId="0" borderId="0" xfId="1315" applyNumberFormat="1" applyFont="1" applyAlignment="1">
      <alignment horizontal="left" vertical="center" wrapText="1"/>
    </xf>
    <xf numFmtId="3" fontId="250" fillId="37" borderId="18" xfId="1338" applyNumberFormat="1" applyFill="1" applyBorder="1" applyAlignment="1">
      <alignment horizontal="right" vertical="center" wrapText="1"/>
    </xf>
    <xf numFmtId="3" fontId="250" fillId="37" borderId="18" xfId="1338" applyNumberFormat="1" applyFill="1" applyBorder="1" applyAlignment="1" applyProtection="1">
      <alignment horizontal="right" vertical="center" wrapText="1"/>
      <protection locked="0"/>
    </xf>
    <xf numFmtId="3" fontId="36" fillId="37" borderId="0" xfId="1304" applyNumberFormat="1" applyFont="1" applyFill="1" applyAlignment="1">
      <alignment horizontal="right" vertical="center" wrapText="1"/>
    </xf>
    <xf numFmtId="3" fontId="255" fillId="0" borderId="0" xfId="1374" applyNumberFormat="1" applyFont="1"/>
    <xf numFmtId="3" fontId="36" fillId="37" borderId="129" xfId="1304" applyNumberFormat="1" applyFont="1" applyFill="1" applyBorder="1" applyAlignment="1">
      <alignment horizontal="right" vertical="center"/>
    </xf>
    <xf numFmtId="3" fontId="40" fillId="0" borderId="128" xfId="1304" applyNumberFormat="1" applyFont="1" applyBorder="1" applyAlignment="1">
      <alignment horizontal="right" vertical="center"/>
    </xf>
    <xf numFmtId="0" fontId="242" fillId="0" borderId="18" xfId="1315" applyFont="1" applyBorder="1" applyAlignment="1">
      <alignment vertical="center"/>
    </xf>
    <xf numFmtId="3" fontId="242" fillId="33" borderId="18" xfId="1315" applyNumberFormat="1" applyFont="1" applyFill="1" applyBorder="1" applyAlignment="1">
      <alignment vertical="center"/>
    </xf>
    <xf numFmtId="3" fontId="255" fillId="0" borderId="0" xfId="1376" applyNumberFormat="1" applyFont="1"/>
    <xf numFmtId="1" fontId="256" fillId="0" borderId="0" xfId="1379" applyNumberFormat="1" applyFont="1"/>
    <xf numFmtId="1" fontId="256" fillId="0" borderId="0" xfId="1380" applyNumberFormat="1" applyFont="1"/>
    <xf numFmtId="3" fontId="255" fillId="0" borderId="0" xfId="1380" applyNumberFormat="1" applyFont="1"/>
    <xf numFmtId="3" fontId="255" fillId="0" borderId="0" xfId="1381" applyNumberFormat="1" applyFont="1"/>
    <xf numFmtId="1" fontId="256" fillId="0" borderId="0" xfId="1382" applyNumberFormat="1" applyFont="1"/>
    <xf numFmtId="3" fontId="255" fillId="0" borderId="0" xfId="1383" applyNumberFormat="1" applyFont="1"/>
    <xf numFmtId="3" fontId="255" fillId="0" borderId="0" xfId="1384" applyNumberFormat="1" applyFont="1"/>
    <xf numFmtId="3" fontId="256" fillId="0" borderId="0" xfId="0" applyNumberFormat="1" applyFont="1"/>
    <xf numFmtId="3" fontId="255" fillId="0" borderId="0" xfId="0" applyNumberFormat="1" applyFont="1"/>
    <xf numFmtId="1" fontId="256" fillId="0" borderId="0" xfId="0" applyNumberFormat="1" applyFont="1"/>
    <xf numFmtId="14" fontId="1" fillId="57" borderId="0" xfId="1" applyNumberFormat="1" applyFill="1"/>
    <xf numFmtId="9" fontId="1" fillId="0" borderId="0" xfId="3" applyFont="1" applyBorder="1"/>
    <xf numFmtId="166" fontId="0" fillId="0" borderId="5" xfId="0" applyNumberFormat="1" applyBorder="1"/>
    <xf numFmtId="0" fontId="2" fillId="110" borderId="1" xfId="1" applyFont="1" applyFill="1" applyBorder="1" applyAlignment="1">
      <alignment horizontal="left" indent="2"/>
    </xf>
    <xf numFmtId="181" fontId="2" fillId="110" borderId="0" xfId="0" applyNumberFormat="1" applyFont="1" applyFill="1"/>
    <xf numFmtId="164" fontId="88" fillId="110" borderId="0" xfId="0" applyNumberFormat="1" applyFont="1" applyFill="1"/>
    <xf numFmtId="165" fontId="95" fillId="0" borderId="0" xfId="407" applyNumberFormat="1" applyFont="1" applyAlignment="1">
      <alignment horizontal="center"/>
    </xf>
    <xf numFmtId="165" fontId="98" fillId="4" borderId="0" xfId="407" applyNumberFormat="1" applyFont="1" applyFill="1" applyAlignment="1">
      <alignment horizontal="center"/>
    </xf>
    <xf numFmtId="166" fontId="97" fillId="0" borderId="0" xfId="0" applyNumberFormat="1" applyFont="1" applyAlignment="1">
      <alignment horizontal="center"/>
    </xf>
    <xf numFmtId="164" fontId="257" fillId="4" borderId="0" xfId="11" applyNumberFormat="1" applyFont="1" applyFill="1" applyAlignment="1">
      <alignment horizontal="center" vertical="center"/>
    </xf>
    <xf numFmtId="164" fontId="257" fillId="4" borderId="130" xfId="11" applyNumberFormat="1" applyFont="1" applyFill="1" applyBorder="1" applyAlignment="1">
      <alignment horizontal="center" vertical="center"/>
    </xf>
    <xf numFmtId="9" fontId="236" fillId="0" borderId="0" xfId="10" applyFont="1" applyBorder="1"/>
    <xf numFmtId="9" fontId="2" fillId="0" borderId="0" xfId="1" applyNumberFormat="1" applyFont="1"/>
    <xf numFmtId="166" fontId="2" fillId="0" borderId="0" xfId="1" applyNumberFormat="1" applyFont="1"/>
    <xf numFmtId="9" fontId="214" fillId="104" borderId="0" xfId="0" applyNumberFormat="1" applyFont="1" applyFill="1" applyAlignment="1">
      <alignment horizontal="center" vertical="top" shrinkToFit="1"/>
    </xf>
    <xf numFmtId="0" fontId="258" fillId="0" borderId="0" xfId="0" applyFont="1"/>
    <xf numFmtId="4" fontId="0" fillId="0" borderId="0" xfId="0" applyNumberFormat="1"/>
    <xf numFmtId="189" fontId="0" fillId="0" borderId="0" xfId="10" applyNumberFormat="1" applyFont="1" applyBorder="1"/>
    <xf numFmtId="166" fontId="1" fillId="0" borderId="0" xfId="10" applyNumberFormat="1" applyFont="1" applyBorder="1"/>
    <xf numFmtId="9" fontId="1" fillId="0" borderId="0" xfId="10"/>
    <xf numFmtId="43" fontId="0" fillId="0" borderId="0" xfId="407" applyFont="1"/>
    <xf numFmtId="0" fontId="115" fillId="0" borderId="7" xfId="1" applyFont="1" applyBorder="1"/>
    <xf numFmtId="165" fontId="6" fillId="0" borderId="0" xfId="407" applyNumberFormat="1" applyFont="1"/>
    <xf numFmtId="165" fontId="95" fillId="4" borderId="0" xfId="407" applyNumberFormat="1" applyFont="1" applyFill="1" applyAlignment="1">
      <alignment horizontal="center"/>
    </xf>
    <xf numFmtId="3" fontId="36" fillId="37" borderId="0" xfId="1304" applyNumberFormat="1" applyFont="1" applyFill="1" applyAlignment="1">
      <alignment horizontal="right" vertical="center"/>
    </xf>
    <xf numFmtId="3" fontId="36" fillId="37" borderId="128" xfId="1304" applyNumberFormat="1" applyFont="1" applyFill="1" applyBorder="1" applyAlignment="1">
      <alignment horizontal="right" vertical="center"/>
    </xf>
    <xf numFmtId="164" fontId="115" fillId="0" borderId="0" xfId="0" applyNumberFormat="1" applyFont="1"/>
    <xf numFmtId="0" fontId="197" fillId="0" borderId="7" xfId="1" applyFont="1" applyBorder="1"/>
    <xf numFmtId="166" fontId="98" fillId="4" borderId="0" xfId="10" applyNumberFormat="1" applyFont="1" applyFill="1" applyAlignment="1">
      <alignment horizontal="center" vertical="center"/>
    </xf>
    <xf numFmtId="0" fontId="95" fillId="0" borderId="0" xfId="7" applyFont="1" applyAlignment="1">
      <alignment horizontal="center" vertical="center"/>
    </xf>
    <xf numFmtId="166" fontId="102" fillId="4" borderId="0" xfId="10" applyNumberFormat="1" applyFont="1" applyFill="1" applyAlignment="1">
      <alignment horizontal="center" vertical="center"/>
    </xf>
    <xf numFmtId="166" fontId="102" fillId="4" borderId="4" xfId="10" applyNumberFormat="1" applyFont="1" applyFill="1" applyBorder="1" applyAlignment="1">
      <alignment horizontal="center" vertical="center"/>
    </xf>
    <xf numFmtId="164" fontId="101" fillId="0" borderId="0" xfId="7" applyNumberFormat="1" applyFont="1"/>
    <xf numFmtId="166" fontId="98" fillId="57" borderId="0" xfId="10" applyNumberFormat="1" applyFont="1" applyFill="1" applyAlignment="1">
      <alignment horizontal="center" vertical="center"/>
    </xf>
    <xf numFmtId="0" fontId="281" fillId="148" borderId="30" xfId="2618" applyFont="1" applyFill="1" applyBorder="1" applyAlignment="1">
      <alignment horizontal="center" vertical="top" wrapText="1"/>
    </xf>
    <xf numFmtId="0" fontId="281" fillId="148" borderId="30" xfId="2618" applyFont="1" applyFill="1" applyBorder="1" applyAlignment="1">
      <alignment horizontal="right" vertical="top" wrapText="1" indent="1"/>
    </xf>
    <xf numFmtId="0" fontId="281" fillId="0" borderId="30" xfId="2618" applyFont="1" applyBorder="1" applyAlignment="1">
      <alignment horizontal="left" vertical="top" wrapText="1"/>
    </xf>
    <xf numFmtId="3" fontId="282" fillId="0" borderId="30" xfId="2618" applyNumberFormat="1" applyFont="1" applyBorder="1" applyAlignment="1">
      <alignment horizontal="center" vertical="top" shrinkToFit="1"/>
    </xf>
    <xf numFmtId="3" fontId="282" fillId="0" borderId="30" xfId="2618" applyNumberFormat="1" applyFont="1" applyBorder="1" applyAlignment="1">
      <alignment horizontal="right" vertical="top" indent="1" shrinkToFit="1"/>
    </xf>
    <xf numFmtId="0" fontId="283" fillId="0" borderId="30" xfId="2618" applyFont="1" applyBorder="1" applyAlignment="1">
      <alignment horizontal="left" vertical="top" wrapText="1"/>
    </xf>
    <xf numFmtId="0" fontId="283" fillId="0" borderId="30" xfId="2618" applyFont="1" applyBorder="1" applyAlignment="1">
      <alignment horizontal="center" vertical="top" wrapText="1"/>
    </xf>
    <xf numFmtId="226" fontId="284" fillId="0" borderId="30" xfId="2618" applyNumberFormat="1" applyFont="1" applyBorder="1" applyAlignment="1">
      <alignment horizontal="center" vertical="top" shrinkToFit="1"/>
    </xf>
    <xf numFmtId="3" fontId="285" fillId="0" borderId="30" xfId="2618" applyNumberFormat="1" applyFont="1" applyBorder="1" applyAlignment="1">
      <alignment horizontal="center" vertical="top" shrinkToFit="1"/>
    </xf>
    <xf numFmtId="1" fontId="285" fillId="0" borderId="30" xfId="2618" applyNumberFormat="1" applyFont="1" applyBorder="1" applyAlignment="1">
      <alignment horizontal="center" vertical="top" shrinkToFit="1"/>
    </xf>
    <xf numFmtId="0" fontId="280" fillId="0" borderId="30" xfId="2618" applyBorder="1" applyAlignment="1">
      <alignment horizontal="left" wrapText="1"/>
    </xf>
    <xf numFmtId="38" fontId="284" fillId="0" borderId="30" xfId="2618" applyNumberFormat="1" applyFont="1" applyBorder="1" applyAlignment="1">
      <alignment horizontal="center" vertical="top" shrinkToFit="1"/>
    </xf>
    <xf numFmtId="38" fontId="284" fillId="0" borderId="30" xfId="2618" applyNumberFormat="1" applyFont="1" applyBorder="1" applyAlignment="1">
      <alignment horizontal="right" vertical="top" indent="1" shrinkToFit="1"/>
    </xf>
    <xf numFmtId="0" fontId="286" fillId="0" borderId="30" xfId="2618" applyFont="1" applyBorder="1" applyAlignment="1">
      <alignment horizontal="left" vertical="top" wrapText="1"/>
    </xf>
    <xf numFmtId="181" fontId="282" fillId="0" borderId="30" xfId="2618" applyNumberFormat="1" applyFont="1" applyBorder="1" applyAlignment="1">
      <alignment horizontal="center" vertical="top" shrinkToFit="1"/>
    </xf>
    <xf numFmtId="182" fontId="280" fillId="0" borderId="30" xfId="2618" applyNumberFormat="1" applyBorder="1" applyAlignment="1">
      <alignment horizontal="left" wrapText="1"/>
    </xf>
    <xf numFmtId="165" fontId="287" fillId="0" borderId="30" xfId="407" applyNumberFormat="1" applyFont="1" applyFill="1" applyBorder="1" applyAlignment="1">
      <alignment horizontal="center" vertical="top" shrinkToFit="1"/>
    </xf>
    <xf numFmtId="0" fontId="2" fillId="0" borderId="7" xfId="1" applyFont="1" applyBorder="1"/>
    <xf numFmtId="0" fontId="2" fillId="0" borderId="93" xfId="0" applyFont="1" applyBorder="1" applyAlignment="1">
      <alignment horizontal="left"/>
    </xf>
    <xf numFmtId="168" fontId="2" fillId="0" borderId="0" xfId="0" applyNumberFormat="1" applyFont="1" applyAlignment="1">
      <alignment horizontal="right"/>
    </xf>
    <xf numFmtId="0" fontId="2" fillId="0" borderId="24" xfId="0" applyFont="1" applyBorder="1" applyAlignment="1">
      <alignment horizontal="center"/>
    </xf>
    <xf numFmtId="0" fontId="2" fillId="0" borderId="7" xfId="0" applyFont="1" applyBorder="1" applyAlignment="1">
      <alignment horizontal="center"/>
    </xf>
    <xf numFmtId="0" fontId="2" fillId="0" borderId="0" xfId="0" applyFont="1" applyAlignment="1">
      <alignment horizontal="center"/>
    </xf>
    <xf numFmtId="166" fontId="2" fillId="0" borderId="0" xfId="10" applyNumberFormat="1" applyFont="1" applyBorder="1" applyAlignment="1">
      <alignment horizontal="right"/>
    </xf>
    <xf numFmtId="0" fontId="296" fillId="0" borderId="45" xfId="2632" applyFont="1" applyFill="1"/>
    <xf numFmtId="0" fontId="79" fillId="0" borderId="0" xfId="0" applyFont="1"/>
    <xf numFmtId="0" fontId="297" fillId="0" borderId="0" xfId="0" applyFont="1"/>
    <xf numFmtId="0" fontId="298" fillId="0" borderId="0" xfId="0" applyFont="1" applyAlignment="1">
      <alignment horizontal="left" wrapText="1"/>
    </xf>
    <xf numFmtId="0" fontId="298" fillId="0" borderId="0" xfId="0" applyFont="1" applyAlignment="1">
      <alignment horizontal="right" wrapText="1"/>
    </xf>
    <xf numFmtId="0" fontId="297" fillId="0" borderId="0" xfId="0" applyFont="1" applyAlignment="1">
      <alignment vertical="top"/>
    </xf>
    <xf numFmtId="164" fontId="297" fillId="0" borderId="0" xfId="0" applyNumberFormat="1" applyFont="1" applyAlignment="1">
      <alignment horizontal="right" vertical="top"/>
    </xf>
    <xf numFmtId="2" fontId="79" fillId="0" borderId="0" xfId="0" applyNumberFormat="1" applyFont="1"/>
    <xf numFmtId="43" fontId="299" fillId="0" borderId="0" xfId="407" applyFont="1"/>
    <xf numFmtId="0" fontId="300" fillId="0" borderId="0" xfId="0" applyFont="1"/>
    <xf numFmtId="0" fontId="36" fillId="0" borderId="0" xfId="1" applyFont="1"/>
    <xf numFmtId="0" fontId="301" fillId="0" borderId="0" xfId="1" applyFont="1"/>
    <xf numFmtId="0" fontId="302" fillId="0" borderId="0" xfId="1" applyFont="1"/>
    <xf numFmtId="2" fontId="302" fillId="0" borderId="0" xfId="1" applyNumberFormat="1" applyFont="1"/>
    <xf numFmtId="0" fontId="39" fillId="0" borderId="0" xfId="1" applyFont="1"/>
    <xf numFmtId="0" fontId="40" fillId="0" borderId="0" xfId="1" applyFont="1"/>
    <xf numFmtId="2" fontId="40" fillId="0" borderId="0" xfId="1" applyNumberFormat="1" applyFont="1"/>
    <xf numFmtId="49" fontId="40" fillId="0" borderId="0" xfId="1" applyNumberFormat="1" applyFont="1" applyAlignment="1">
      <alignment wrapText="1"/>
    </xf>
    <xf numFmtId="2" fontId="36" fillId="0" borderId="0" xfId="10" applyNumberFormat="1" applyFont="1"/>
    <xf numFmtId="2" fontId="40" fillId="0" borderId="0" xfId="10" applyNumberFormat="1" applyFont="1"/>
    <xf numFmtId="49" fontId="40" fillId="0" borderId="0" xfId="1" applyNumberFormat="1" applyFont="1" applyAlignment="1">
      <alignment horizontal="left"/>
    </xf>
    <xf numFmtId="10" fontId="40" fillId="0" borderId="0" xfId="3" applyNumberFormat="1" applyFont="1"/>
    <xf numFmtId="2" fontId="36" fillId="0" borderId="0" xfId="1" applyNumberFormat="1" applyFont="1"/>
    <xf numFmtId="49" fontId="40" fillId="0" borderId="140" xfId="1" applyNumberFormat="1" applyFont="1" applyBorder="1" applyAlignment="1">
      <alignment wrapText="1"/>
    </xf>
    <xf numFmtId="2" fontId="36" fillId="0" borderId="140" xfId="1" applyNumberFormat="1" applyFont="1" applyBorder="1"/>
    <xf numFmtId="2" fontId="40" fillId="0" borderId="140" xfId="1" applyNumberFormat="1" applyFont="1" applyBorder="1"/>
    <xf numFmtId="10" fontId="301" fillId="0" borderId="0" xfId="10" applyNumberFormat="1" applyFont="1"/>
    <xf numFmtId="10" fontId="302" fillId="0" borderId="0" xfId="10" applyNumberFormat="1" applyFont="1"/>
    <xf numFmtId="10" fontId="36" fillId="0" borderId="0" xfId="199" applyNumberFormat="1" applyFont="1"/>
    <xf numFmtId="10" fontId="40" fillId="0" borderId="0" xfId="199" applyNumberFormat="1" applyFont="1"/>
    <xf numFmtId="0" fontId="303" fillId="0" borderId="0" xfId="1" applyFont="1"/>
    <xf numFmtId="0" fontId="304" fillId="0" borderId="0" xfId="1" applyFont="1"/>
    <xf numFmtId="2" fontId="303" fillId="0" borderId="0" xfId="1" applyNumberFormat="1" applyFont="1"/>
    <xf numFmtId="0" fontId="301" fillId="0" borderId="0" xfId="0" applyFont="1"/>
    <xf numFmtId="0" fontId="302" fillId="0" borderId="0" xfId="0" applyFont="1"/>
    <xf numFmtId="189" fontId="11" fillId="113" borderId="0" xfId="407" applyNumberFormat="1" applyFont="1" applyFill="1"/>
    <xf numFmtId="43" fontId="1" fillId="0" borderId="0" xfId="407"/>
    <xf numFmtId="164" fontId="305" fillId="0" borderId="0" xfId="7" applyNumberFormat="1" applyFont="1"/>
    <xf numFmtId="164" fontId="306" fillId="4" borderId="1" xfId="171" applyNumberFormat="1" applyFont="1" applyFill="1" applyBorder="1" applyAlignment="1">
      <alignment horizontal="center" vertical="center"/>
    </xf>
    <xf numFmtId="164" fontId="307" fillId="4" borderId="1" xfId="171" applyNumberFormat="1" applyFont="1" applyFill="1" applyBorder="1" applyAlignment="1">
      <alignment horizontal="center" vertical="center"/>
    </xf>
    <xf numFmtId="164" fontId="79" fillId="0" borderId="0" xfId="345" applyNumberFormat="1" applyFont="1"/>
    <xf numFmtId="0" fontId="297" fillId="0" borderId="0" xfId="345" applyFont="1"/>
    <xf numFmtId="0" fontId="297" fillId="0" borderId="0" xfId="0" applyFont="1" applyAlignment="1">
      <alignment horizontal="right" vertical="top"/>
    </xf>
    <xf numFmtId="9" fontId="297" fillId="0" borderId="0" xfId="10" applyFont="1" applyAlignment="1">
      <alignment horizontal="right" vertical="top"/>
    </xf>
    <xf numFmtId="0" fontId="2" fillId="149" borderId="73" xfId="0" applyFont="1" applyFill="1" applyBorder="1"/>
    <xf numFmtId="8" fontId="0" fillId="0" borderId="0" xfId="0" applyNumberFormat="1"/>
    <xf numFmtId="0" fontId="21" fillId="0" borderId="86" xfId="10" applyNumberFormat="1" applyFont="1" applyFill="1" applyBorder="1" applyAlignment="1" applyProtection="1">
      <alignment horizontal="center" vertical="center"/>
    </xf>
    <xf numFmtId="0" fontId="1" fillId="111" borderId="0" xfId="1" applyFill="1"/>
    <xf numFmtId="164" fontId="1" fillId="111" borderId="0" xfId="1" applyNumberFormat="1" applyFill="1"/>
    <xf numFmtId="0" fontId="21" fillId="111" borderId="86" xfId="10" applyNumberFormat="1" applyFont="1" applyFill="1" applyBorder="1" applyAlignment="1" applyProtection="1">
      <alignment horizontal="center" vertical="center"/>
    </xf>
    <xf numFmtId="9" fontId="1" fillId="111" borderId="4" xfId="1" applyNumberFormat="1" applyFill="1" applyBorder="1"/>
    <xf numFmtId="0" fontId="0" fillId="111" borderId="0" xfId="0" applyFill="1"/>
    <xf numFmtId="49" fontId="308" fillId="150" borderId="148" xfId="2634">
      <alignment horizontal="center" vertical="center"/>
    </xf>
    <xf numFmtId="49" fontId="308" fillId="150" borderId="150" xfId="2635" applyBorder="1">
      <alignment horizontal="center" vertical="center"/>
    </xf>
    <xf numFmtId="43" fontId="1" fillId="0" borderId="2" xfId="407" applyBorder="1"/>
    <xf numFmtId="43" fontId="1" fillId="0" borderId="0" xfId="1" applyNumberFormat="1"/>
    <xf numFmtId="0" fontId="0" fillId="106" borderId="0" xfId="0" applyFill="1"/>
    <xf numFmtId="3" fontId="0" fillId="106" borderId="0" xfId="0" applyNumberFormat="1" applyFill="1"/>
    <xf numFmtId="0" fontId="12" fillId="0" borderId="0" xfId="2636" applyFont="1" applyAlignment="1">
      <alignment vertical="center"/>
    </xf>
    <xf numFmtId="44" fontId="0" fillId="0" borderId="0" xfId="0" applyNumberFormat="1"/>
    <xf numFmtId="0" fontId="18" fillId="0" borderId="9" xfId="0" applyFont="1" applyBorder="1" applyAlignment="1">
      <alignment horizontal="center" wrapText="1"/>
    </xf>
    <xf numFmtId="0" fontId="18" fillId="0" borderId="10" xfId="0" applyFont="1" applyBorder="1" applyAlignment="1">
      <alignment horizontal="center" wrapText="1"/>
    </xf>
    <xf numFmtId="0" fontId="18" fillId="0" borderId="11" xfId="0" applyFont="1" applyBorder="1" applyAlignment="1">
      <alignment horizontal="center" wrapText="1"/>
    </xf>
    <xf numFmtId="0" fontId="128" fillId="0" borderId="0" xfId="0" applyFont="1" applyAlignment="1">
      <alignment vertical="center" wrapText="1"/>
    </xf>
    <xf numFmtId="0" fontId="128" fillId="0" borderId="0" xfId="0" applyFont="1" applyAlignment="1">
      <alignment vertical="center"/>
    </xf>
    <xf numFmtId="167" fontId="1" fillId="57" borderId="0" xfId="1" applyNumberFormat="1" applyFill="1"/>
    <xf numFmtId="0" fontId="2" fillId="0" borderId="93" xfId="1" applyFont="1" applyBorder="1" applyAlignment="1">
      <alignment horizontal="left" indent="1"/>
    </xf>
    <xf numFmtId="0" fontId="132" fillId="58" borderId="0" xfId="1900" applyFont="1" applyFill="1" applyBorder="1" applyAlignment="1" applyProtection="1">
      <alignment horizontal="center" vertical="center" wrapText="1"/>
    </xf>
    <xf numFmtId="164" fontId="129" fillId="0" borderId="107" xfId="0" quotePrefix="1" applyNumberFormat="1" applyFont="1" applyBorder="1" applyAlignment="1">
      <alignment horizontal="center" vertical="center"/>
    </xf>
    <xf numFmtId="164" fontId="129" fillId="33" borderId="107" xfId="0" quotePrefix="1" applyNumberFormat="1" applyFont="1" applyFill="1" applyBorder="1" applyAlignment="1">
      <alignment horizontal="center" vertical="center"/>
    </xf>
    <xf numFmtId="164" fontId="129" fillId="0" borderId="153" xfId="0" applyNumberFormat="1" applyFont="1" applyBorder="1" applyAlignment="1">
      <alignment horizontal="center" vertical="center"/>
    </xf>
    <xf numFmtId="164" fontId="129" fillId="33" borderId="153" xfId="0" applyNumberFormat="1" applyFont="1" applyFill="1" applyBorder="1" applyAlignment="1">
      <alignment horizontal="center" vertical="center"/>
    </xf>
    <xf numFmtId="164" fontId="129" fillId="4" borderId="153" xfId="0" applyNumberFormat="1" applyFont="1" applyFill="1" applyBorder="1" applyAlignment="1">
      <alignment horizontal="center" vertical="center"/>
    </xf>
    <xf numFmtId="164" fontId="129" fillId="0" borderId="152" xfId="0" applyNumberFormat="1" applyFont="1" applyBorder="1" applyAlignment="1">
      <alignment horizontal="center"/>
    </xf>
    <xf numFmtId="0" fontId="129" fillId="33" borderId="154" xfId="0" applyFont="1" applyFill="1" applyBorder="1" applyAlignment="1">
      <alignment horizontal="left"/>
    </xf>
    <xf numFmtId="3" fontId="1" fillId="0" borderId="0" xfId="1" applyNumberFormat="1"/>
    <xf numFmtId="3" fontId="18" fillId="125" borderId="0" xfId="1438" applyNumberFormat="1" applyFont="1" applyFill="1" applyAlignment="1" applyProtection="1">
      <alignment horizontal="center" vertical="top" wrapText="1"/>
      <protection locked="0"/>
    </xf>
    <xf numFmtId="3" fontId="18" fillId="125" borderId="0" xfId="1315" applyNumberFormat="1" applyFont="1" applyFill="1" applyAlignment="1">
      <alignment horizontal="center" vertical="top"/>
    </xf>
    <xf numFmtId="164" fontId="0" fillId="0" borderId="0" xfId="0" applyNumberFormat="1" applyAlignment="1">
      <alignment horizontal="center"/>
    </xf>
    <xf numFmtId="3" fontId="18" fillId="151" borderId="0" xfId="1438" applyNumberFormat="1" applyFont="1" applyFill="1" applyAlignment="1" applyProtection="1">
      <alignment horizontal="center" vertical="top" wrapText="1"/>
      <protection locked="0"/>
    </xf>
    <xf numFmtId="3" fontId="18" fillId="152" borderId="0" xfId="1438" applyNumberFormat="1" applyFont="1" applyFill="1" applyAlignment="1" applyProtection="1">
      <alignment horizontal="center" vertical="top" wrapText="1"/>
      <protection locked="0"/>
    </xf>
    <xf numFmtId="3" fontId="18" fillId="152" borderId="0" xfId="1315" applyNumberFormat="1" applyFont="1" applyFill="1" applyAlignment="1">
      <alignment horizontal="center" vertical="top"/>
    </xf>
    <xf numFmtId="0" fontId="1" fillId="0" borderId="93" xfId="1" applyBorder="1" applyAlignment="1">
      <alignment horizontal="left" indent="3"/>
    </xf>
    <xf numFmtId="166" fontId="0" fillId="106" borderId="0" xfId="10" applyNumberFormat="1" applyFont="1" applyFill="1"/>
    <xf numFmtId="166" fontId="0" fillId="57" borderId="0" xfId="10" applyNumberFormat="1" applyFont="1" applyFill="1" applyAlignment="1">
      <alignment horizontal="center"/>
    </xf>
    <xf numFmtId="0" fontId="220" fillId="106" borderId="0" xfId="0" applyFont="1" applyFill="1" applyAlignment="1">
      <alignment horizontal="center" vertical="center"/>
    </xf>
    <xf numFmtId="164" fontId="97" fillId="106" borderId="0" xfId="0" applyNumberFormat="1" applyFont="1" applyFill="1" applyAlignment="1">
      <alignment horizontal="left" vertical="top" wrapText="1" indent="1"/>
    </xf>
    <xf numFmtId="2" fontId="224" fillId="106" borderId="0" xfId="0" applyNumberFormat="1" applyFont="1" applyFill="1" applyAlignment="1">
      <alignment wrapText="1"/>
    </xf>
    <xf numFmtId="2" fontId="208" fillId="106" borderId="0" xfId="0" applyNumberFormat="1" applyFont="1" applyFill="1" applyAlignment="1">
      <alignment wrapText="1"/>
    </xf>
    <xf numFmtId="2" fontId="204" fillId="106" borderId="0" xfId="0" applyNumberFormat="1" applyFont="1" applyFill="1" applyAlignment="1">
      <alignment wrapText="1"/>
    </xf>
    <xf numFmtId="2" fontId="97" fillId="106" borderId="0" xfId="0" applyNumberFormat="1" applyFont="1" applyFill="1" applyAlignment="1">
      <alignment wrapText="1"/>
    </xf>
    <xf numFmtId="0" fontId="0" fillId="106" borderId="0" xfId="0" applyFill="1" applyAlignment="1">
      <alignment vertical="center" wrapText="1"/>
    </xf>
    <xf numFmtId="0" fontId="219" fillId="106" borderId="0" xfId="0" applyFont="1" applyFill="1" applyAlignment="1">
      <alignment horizontal="center" vertical="center"/>
    </xf>
    <xf numFmtId="0" fontId="212" fillId="106" borderId="0" xfId="0" applyFont="1" applyFill="1" applyAlignment="1">
      <alignment vertical="center" wrapText="1"/>
    </xf>
    <xf numFmtId="0" fontId="17" fillId="157" borderId="0" xfId="6" applyFill="1"/>
    <xf numFmtId="0" fontId="0" fillId="157" borderId="0" xfId="0" applyFill="1"/>
    <xf numFmtId="0" fontId="17" fillId="63" borderId="0" xfId="6" applyFill="1"/>
    <xf numFmtId="2" fontId="0" fillId="156" borderId="0" xfId="0" applyNumberFormat="1" applyFill="1"/>
    <xf numFmtId="9" fontId="0" fillId="119" borderId="0" xfId="10" applyFont="1" applyFill="1" applyAlignment="1">
      <alignment horizontal="center"/>
    </xf>
    <xf numFmtId="3" fontId="18" fillId="155" borderId="0" xfId="1438" applyNumberFormat="1" applyFont="1" applyFill="1" applyAlignment="1" applyProtection="1">
      <alignment horizontal="center" vertical="top" wrapText="1"/>
      <protection locked="0"/>
    </xf>
    <xf numFmtId="3" fontId="18" fillId="154" borderId="0" xfId="1315" applyNumberFormat="1" applyFont="1" applyFill="1" applyAlignment="1">
      <alignment horizontal="center" vertical="top"/>
    </xf>
    <xf numFmtId="2" fontId="0" fillId="153" borderId="0" xfId="0" applyNumberFormat="1" applyFill="1"/>
    <xf numFmtId="0" fontId="0" fillId="153" borderId="0" xfId="0" applyFill="1"/>
    <xf numFmtId="0" fontId="2" fillId="2" borderId="156" xfId="1" applyFont="1" applyFill="1" applyBorder="1"/>
    <xf numFmtId="0" fontId="2" fillId="106" borderId="156" xfId="1" applyFont="1" applyFill="1" applyBorder="1"/>
    <xf numFmtId="0" fontId="2" fillId="0" borderId="151" xfId="1" applyFont="1" applyBorder="1"/>
    <xf numFmtId="0" fontId="2" fillId="0" borderId="157" xfId="1" applyFont="1" applyBorder="1"/>
    <xf numFmtId="0" fontId="1" fillId="0" borderId="158" xfId="1" applyBorder="1"/>
    <xf numFmtId="0" fontId="1" fillId="0" borderId="159" xfId="1" applyBorder="1"/>
    <xf numFmtId="0" fontId="8" fillId="0" borderId="158" xfId="1" applyFont="1" applyBorder="1"/>
    <xf numFmtId="0" fontId="8" fillId="0" borderId="159" xfId="1" applyFont="1" applyBorder="1"/>
    <xf numFmtId="0" fontId="8" fillId="0" borderId="160" xfId="1" applyFont="1" applyBorder="1"/>
    <xf numFmtId="0" fontId="8" fillId="0" borderId="161" xfId="1" applyFont="1" applyBorder="1"/>
    <xf numFmtId="0" fontId="2" fillId="3" borderId="156" xfId="1" applyFont="1" applyFill="1" applyBorder="1"/>
    <xf numFmtId="0" fontId="2" fillId="6" borderId="156" xfId="1" applyFont="1" applyFill="1" applyBorder="1"/>
    <xf numFmtId="0" fontId="2" fillId="6" borderId="161" xfId="1" applyFont="1" applyFill="1" applyBorder="1"/>
    <xf numFmtId="0" fontId="2" fillId="0" borderId="162" xfId="1" applyFont="1" applyBorder="1"/>
    <xf numFmtId="0" fontId="1" fillId="0" borderId="160" xfId="1" applyBorder="1"/>
    <xf numFmtId="0" fontId="1" fillId="0" borderId="161" xfId="1" applyBorder="1"/>
    <xf numFmtId="0" fontId="237" fillId="0" borderId="162" xfId="0" applyFont="1" applyBorder="1"/>
    <xf numFmtId="0" fontId="115" fillId="0" borderId="156" xfId="0" applyFont="1" applyBorder="1"/>
    <xf numFmtId="0" fontId="115" fillId="0" borderId="161" xfId="0" applyFont="1" applyBorder="1"/>
    <xf numFmtId="0" fontId="115" fillId="0" borderId="156" xfId="0" applyFont="1" applyBorder="1" applyAlignment="1">
      <alignment horizontal="center"/>
    </xf>
    <xf numFmtId="0" fontId="102" fillId="4" borderId="162" xfId="171" applyFont="1" applyFill="1" applyBorder="1" applyAlignment="1">
      <alignment horizontal="center" vertical="center"/>
    </xf>
    <xf numFmtId="0" fontId="102" fillId="4" borderId="156" xfId="171" applyFont="1" applyFill="1" applyBorder="1" applyAlignment="1">
      <alignment horizontal="center" vertical="center"/>
    </xf>
    <xf numFmtId="0" fontId="102" fillId="4" borderId="161" xfId="171" applyFont="1" applyFill="1" applyBorder="1" applyAlignment="1">
      <alignment horizontal="center" vertical="center"/>
    </xf>
    <xf numFmtId="3" fontId="243" fillId="0" borderId="163" xfId="1315" applyNumberFormat="1" applyFont="1" applyBorder="1" applyAlignment="1">
      <alignment horizontal="left" vertical="center" indent="1"/>
    </xf>
    <xf numFmtId="3" fontId="243" fillId="0" borderId="163" xfId="1315" applyNumberFormat="1" applyFont="1" applyBorder="1" applyAlignment="1">
      <alignment vertical="center"/>
    </xf>
    <xf numFmtId="3" fontId="244" fillId="0" borderId="163" xfId="1315" applyNumberFormat="1" applyFont="1" applyBorder="1" applyAlignment="1">
      <alignment vertical="center"/>
    </xf>
    <xf numFmtId="3" fontId="244" fillId="0" borderId="163" xfId="1315" applyNumberFormat="1" applyFont="1" applyBorder="1" applyAlignment="1">
      <alignment horizontal="right" vertical="center"/>
    </xf>
    <xf numFmtId="0" fontId="11" fillId="0" borderId="162" xfId="0" applyFont="1" applyBorder="1"/>
    <xf numFmtId="0" fontId="0" fillId="0" borderId="156" xfId="0" applyBorder="1"/>
    <xf numFmtId="0" fontId="0" fillId="0" borderId="161" xfId="0" applyBorder="1"/>
    <xf numFmtId="0" fontId="116" fillId="0" borderId="162" xfId="0" applyFont="1" applyBorder="1"/>
    <xf numFmtId="0" fontId="90" fillId="64" borderId="156" xfId="0" applyFont="1" applyFill="1" applyBorder="1"/>
    <xf numFmtId="167" fontId="90" fillId="0" borderId="161" xfId="0" applyNumberFormat="1" applyFont="1" applyBorder="1"/>
    <xf numFmtId="0" fontId="90" fillId="108" borderId="156" xfId="0" applyFont="1" applyFill="1" applyBorder="1"/>
    <xf numFmtId="0" fontId="90" fillId="0" borderId="161" xfId="0" applyFont="1" applyBorder="1"/>
    <xf numFmtId="0" fontId="123" fillId="0" borderId="162" xfId="1" applyFont="1" applyBorder="1"/>
    <xf numFmtId="0" fontId="124" fillId="0" borderId="156" xfId="0" applyFont="1" applyBorder="1"/>
    <xf numFmtId="0" fontId="120" fillId="0" borderId="156" xfId="0" applyFont="1" applyBorder="1"/>
    <xf numFmtId="0" fontId="121" fillId="0" borderId="156" xfId="0" applyFont="1" applyBorder="1"/>
    <xf numFmtId="9" fontId="0" fillId="0" borderId="0" xfId="10" applyFont="1" applyAlignment="1">
      <alignment horizontal="center"/>
    </xf>
    <xf numFmtId="0" fontId="311" fillId="0" borderId="0" xfId="0" applyFont="1" applyAlignment="1">
      <alignment horizontal="left" vertical="top" indent="1"/>
    </xf>
    <xf numFmtId="216" fontId="0" fillId="0" borderId="0" xfId="481" applyNumberFormat="1" applyFont="1" applyFill="1" applyBorder="1" applyAlignment="1">
      <alignment horizontal="right"/>
    </xf>
    <xf numFmtId="216" fontId="6" fillId="0" borderId="0" xfId="481" applyNumberFormat="1" applyFont="1" applyFill="1" applyBorder="1" applyAlignment="1">
      <alignment horizontal="right"/>
    </xf>
    <xf numFmtId="165" fontId="0" fillId="0" borderId="71" xfId="407" applyNumberFormat="1" applyFont="1" applyFill="1" applyBorder="1" applyAlignment="1">
      <alignment horizontal="right"/>
    </xf>
    <xf numFmtId="165" fontId="6" fillId="0" borderId="71" xfId="407" applyNumberFormat="1" applyFont="1" applyFill="1" applyBorder="1" applyAlignment="1">
      <alignment horizontal="right"/>
    </xf>
    <xf numFmtId="43" fontId="0" fillId="0" borderId="0" xfId="407" applyFont="1" applyFill="1" applyBorder="1" applyAlignment="1">
      <alignment horizontal="right"/>
    </xf>
    <xf numFmtId="166" fontId="98" fillId="57" borderId="0" xfId="7" applyNumberFormat="1" applyFont="1" applyFill="1" applyAlignment="1">
      <alignment horizontal="center"/>
    </xf>
    <xf numFmtId="166" fontId="98" fillId="0" borderId="0" xfId="7" applyNumberFormat="1" applyFont="1" applyAlignment="1">
      <alignment horizontal="center"/>
    </xf>
    <xf numFmtId="227" fontId="0" fillId="0" borderId="151" xfId="2633" applyNumberFormat="1" applyFont="1" applyFill="1" applyBorder="1"/>
    <xf numFmtId="0" fontId="98" fillId="57" borderId="0" xfId="171" applyFont="1" applyFill="1" applyAlignment="1">
      <alignment horizontal="left"/>
    </xf>
    <xf numFmtId="164" fontId="98" fillId="57" borderId="0" xfId="175" applyNumberFormat="1" applyFont="1" applyFill="1" applyAlignment="1">
      <alignment horizontal="center"/>
    </xf>
    <xf numFmtId="166" fontId="98" fillId="57" borderId="0" xfId="420" applyNumberFormat="1" applyFont="1" applyFill="1" applyAlignment="1">
      <alignment horizontal="center" vertical="center"/>
    </xf>
    <xf numFmtId="165" fontId="98" fillId="57" borderId="0" xfId="407" applyNumberFormat="1" applyFont="1" applyFill="1" applyAlignment="1">
      <alignment horizontal="center"/>
    </xf>
    <xf numFmtId="165" fontId="6" fillId="57" borderId="0" xfId="407" applyNumberFormat="1" applyFont="1" applyFill="1"/>
    <xf numFmtId="164" fontId="257" fillId="57" borderId="0" xfId="11" applyNumberFormat="1" applyFont="1" applyFill="1" applyAlignment="1">
      <alignment horizontal="center" vertical="center"/>
    </xf>
    <xf numFmtId="165" fontId="95" fillId="57" borderId="0" xfId="407" applyNumberFormat="1" applyFont="1" applyFill="1" applyAlignment="1">
      <alignment horizontal="center"/>
    </xf>
    <xf numFmtId="165" fontId="98" fillId="57" borderId="0" xfId="407" applyNumberFormat="1" applyFont="1" applyFill="1" applyAlignment="1">
      <alignment horizontal="center" vertical="center"/>
    </xf>
    <xf numFmtId="43" fontId="98" fillId="57" borderId="0" xfId="407" applyFont="1" applyFill="1" applyAlignment="1">
      <alignment horizontal="center" vertical="center"/>
    </xf>
    <xf numFmtId="1" fontId="98" fillId="57" borderId="0" xfId="419" applyNumberFormat="1" applyFont="1" applyFill="1" applyAlignment="1">
      <alignment horizontal="center" vertical="center" wrapText="1"/>
    </xf>
    <xf numFmtId="166" fontId="95" fillId="57" borderId="0" xfId="10" applyNumberFormat="1" applyFont="1" applyFill="1" applyAlignment="1">
      <alignment horizontal="center"/>
    </xf>
    <xf numFmtId="1" fontId="99" fillId="57" borderId="0" xfId="419" applyNumberFormat="1" applyFont="1" applyFill="1" applyAlignment="1">
      <alignment horizontal="center" vertical="center" wrapText="1"/>
    </xf>
    <xf numFmtId="166" fontId="95" fillId="57" borderId="0" xfId="7" applyNumberFormat="1" applyFont="1" applyFill="1" applyAlignment="1">
      <alignment horizontal="center"/>
    </xf>
    <xf numFmtId="164" fontId="96" fillId="57" borderId="0" xfId="419" applyNumberFormat="1" applyFont="1" applyFill="1" applyAlignment="1">
      <alignment horizontal="center" vertical="center" wrapText="1"/>
    </xf>
    <xf numFmtId="164" fontId="100" fillId="57" borderId="0" xfId="419" applyNumberFormat="1" applyFont="1" applyFill="1" applyAlignment="1">
      <alignment horizontal="center" vertical="center" wrapText="1"/>
    </xf>
    <xf numFmtId="164" fontId="99" fillId="57" borderId="0" xfId="419" applyNumberFormat="1" applyFont="1" applyFill="1" applyAlignment="1">
      <alignment horizontal="center" vertical="center" wrapText="1"/>
    </xf>
    <xf numFmtId="0" fontId="97" fillId="57" borderId="0" xfId="0" applyFont="1" applyFill="1"/>
    <xf numFmtId="0" fontId="95" fillId="57" borderId="0" xfId="7" applyFont="1" applyFill="1"/>
    <xf numFmtId="166" fontId="95" fillId="57" borderId="0" xfId="7" applyNumberFormat="1" applyFont="1" applyFill="1"/>
    <xf numFmtId="0" fontId="18" fillId="0" borderId="0" xfId="0" applyFont="1"/>
    <xf numFmtId="0" fontId="18" fillId="107" borderId="0" xfId="0" applyFont="1" applyFill="1"/>
    <xf numFmtId="9" fontId="95" fillId="4" borderId="0" xfId="10" applyFont="1" applyFill="1" applyAlignment="1">
      <alignment horizontal="center"/>
    </xf>
    <xf numFmtId="0" fontId="17" fillId="5" borderId="0" xfId="6" applyFill="1"/>
    <xf numFmtId="179" fontId="1" fillId="0" borderId="0" xfId="2701"/>
    <xf numFmtId="179" fontId="0" fillId="0" borderId="0" xfId="0" applyNumberFormat="1"/>
    <xf numFmtId="0" fontId="17" fillId="4" borderId="0" xfId="6" applyFill="1"/>
    <xf numFmtId="0" fontId="201" fillId="4" borderId="0" xfId="0" applyFont="1" applyFill="1"/>
    <xf numFmtId="0" fontId="201" fillId="4" borderId="0" xfId="0" applyFont="1" applyFill="1" applyAlignment="1">
      <alignment horizontal="left"/>
    </xf>
    <xf numFmtId="166" fontId="0" fillId="4" borderId="0" xfId="0" applyNumberFormat="1" applyFill="1"/>
    <xf numFmtId="166" fontId="0" fillId="4" borderId="0" xfId="10" applyNumberFormat="1" applyFont="1" applyFill="1"/>
    <xf numFmtId="0" fontId="212" fillId="4" borderId="0" xfId="0" applyFont="1" applyFill="1" applyAlignment="1">
      <alignment horizontal="center" vertical="center" wrapText="1"/>
    </xf>
    <xf numFmtId="0" fontId="0" fillId="4" borderId="0" xfId="0" applyFill="1" applyAlignment="1">
      <alignment vertical="center" wrapText="1"/>
    </xf>
    <xf numFmtId="166" fontId="97" fillId="4" borderId="0" xfId="0" applyNumberFormat="1" applyFont="1" applyFill="1"/>
    <xf numFmtId="0" fontId="212" fillId="4" borderId="0" xfId="0" applyFont="1" applyFill="1" applyAlignment="1">
      <alignment vertical="center" wrapText="1"/>
    </xf>
    <xf numFmtId="0" fontId="0" fillId="4" borderId="0" xfId="0" applyFill="1" applyAlignment="1">
      <alignment vertical="top" wrapText="1"/>
    </xf>
    <xf numFmtId="0" fontId="0" fillId="4" borderId="0" xfId="0" applyFill="1" applyAlignment="1">
      <alignment wrapText="1"/>
    </xf>
    <xf numFmtId="0" fontId="205" fillId="4" borderId="0" xfId="0" applyFont="1" applyFill="1" applyAlignment="1">
      <alignment horizontal="left" vertical="top" wrapText="1" indent="1"/>
    </xf>
    <xf numFmtId="0" fontId="0" fillId="4" borderId="0" xfId="0" applyFill="1" applyAlignment="1">
      <alignment horizontal="left" vertical="top" wrapText="1" indent="1"/>
    </xf>
    <xf numFmtId="0" fontId="221" fillId="4" borderId="78" xfId="0" applyFont="1" applyFill="1" applyBorder="1" applyAlignment="1">
      <alignment horizontal="center" vertical="center"/>
    </xf>
    <xf numFmtId="0" fontId="221" fillId="4" borderId="79" xfId="0" applyFont="1" applyFill="1" applyBorder="1" applyAlignment="1">
      <alignment horizontal="center" vertical="center"/>
    </xf>
    <xf numFmtId="0" fontId="18" fillId="4" borderId="80" xfId="0" applyFont="1" applyFill="1" applyBorder="1" applyAlignment="1">
      <alignment horizontal="left" vertical="center"/>
    </xf>
    <xf numFmtId="0" fontId="18" fillId="4" borderId="76" xfId="0" applyFont="1" applyFill="1" applyBorder="1" applyAlignment="1">
      <alignment horizontal="center" vertical="center"/>
    </xf>
    <xf numFmtId="166" fontId="18" fillId="4" borderId="81" xfId="0" applyNumberFormat="1" applyFont="1" applyFill="1" applyBorder="1" applyAlignment="1">
      <alignment horizontal="center" vertical="center"/>
    </xf>
    <xf numFmtId="0" fontId="222" fillId="4" borderId="82" xfId="0" applyFont="1" applyFill="1" applyBorder="1" applyAlignment="1">
      <alignment horizontal="left" vertical="center"/>
    </xf>
    <xf numFmtId="0" fontId="222" fillId="4" borderId="83" xfId="0" applyFont="1" applyFill="1" applyBorder="1" applyAlignment="1">
      <alignment horizontal="center" vertical="center"/>
    </xf>
    <xf numFmtId="166" fontId="222" fillId="4" borderId="84" xfId="0" applyNumberFormat="1" applyFont="1" applyFill="1" applyBorder="1" applyAlignment="1">
      <alignment horizontal="center" vertical="center"/>
    </xf>
    <xf numFmtId="0" fontId="221" fillId="4" borderId="0" xfId="0" applyFont="1" applyFill="1" applyAlignment="1">
      <alignment horizontal="center" vertical="center"/>
    </xf>
    <xf numFmtId="166" fontId="18" fillId="4" borderId="0" xfId="0" applyNumberFormat="1" applyFont="1" applyFill="1" applyAlignment="1">
      <alignment horizontal="center" vertical="center"/>
    </xf>
    <xf numFmtId="166" fontId="222" fillId="4" borderId="0" xfId="0" applyNumberFormat="1" applyFont="1" applyFill="1" applyAlignment="1">
      <alignment horizontal="center" vertical="center"/>
    </xf>
    <xf numFmtId="0" fontId="219" fillId="56" borderId="0" xfId="0" applyFont="1" applyFill="1" applyAlignment="1">
      <alignment horizontal="center"/>
    </xf>
    <xf numFmtId="0" fontId="219" fillId="158" borderId="0" xfId="0" applyFont="1" applyFill="1" applyAlignment="1">
      <alignment horizontal="center"/>
    </xf>
    <xf numFmtId="0" fontId="219" fillId="4" borderId="0" xfId="0" applyFont="1" applyFill="1" applyAlignment="1">
      <alignment horizontal="center"/>
    </xf>
    <xf numFmtId="0" fontId="212" fillId="118" borderId="0" xfId="0" applyFont="1" applyFill="1" applyAlignment="1">
      <alignment horizontal="center"/>
    </xf>
    <xf numFmtId="0" fontId="212" fillId="4" borderId="0" xfId="0" applyFont="1" applyFill="1" applyAlignment="1">
      <alignment horizontal="center"/>
    </xf>
    <xf numFmtId="0" fontId="212" fillId="56" borderId="0" xfId="0" applyFont="1" applyFill="1" applyAlignment="1">
      <alignment horizontal="center" wrapText="1"/>
    </xf>
    <xf numFmtId="0" fontId="212" fillId="158" borderId="0" xfId="0" applyFont="1" applyFill="1" applyAlignment="1">
      <alignment horizontal="center" wrapText="1"/>
    </xf>
    <xf numFmtId="0" fontId="0" fillId="4" borderId="0" xfId="0" applyFill="1" applyAlignment="1">
      <alignment horizontal="center" wrapText="1"/>
    </xf>
    <xf numFmtId="2" fontId="97" fillId="4" borderId="0" xfId="0" applyNumberFormat="1" applyFont="1" applyFill="1" applyAlignment="1">
      <alignment horizontal="center" wrapText="1"/>
    </xf>
    <xf numFmtId="164" fontId="207" fillId="4" borderId="0" xfId="0" applyNumberFormat="1" applyFont="1" applyFill="1" applyAlignment="1">
      <alignment horizontal="center"/>
    </xf>
    <xf numFmtId="164" fontId="97" fillId="4" borderId="0" xfId="0" applyNumberFormat="1" applyFont="1" applyFill="1" applyAlignment="1">
      <alignment horizontal="center" wrapText="1"/>
    </xf>
    <xf numFmtId="2" fontId="204" fillId="4" borderId="0" xfId="0" applyNumberFormat="1" applyFont="1" applyFill="1" applyAlignment="1">
      <alignment horizontal="center" wrapText="1"/>
    </xf>
    <xf numFmtId="2" fontId="208" fillId="4" borderId="0" xfId="0" applyNumberFormat="1" applyFont="1" applyFill="1" applyAlignment="1">
      <alignment horizontal="center" wrapText="1"/>
    </xf>
    <xf numFmtId="164" fontId="204" fillId="4" borderId="0" xfId="0" applyNumberFormat="1" applyFont="1" applyFill="1" applyAlignment="1">
      <alignment horizontal="center" wrapText="1"/>
    </xf>
    <xf numFmtId="0" fontId="12" fillId="4" borderId="77" xfId="0" applyFont="1" applyFill="1" applyBorder="1" applyAlignment="1">
      <alignment vertical="center"/>
    </xf>
    <xf numFmtId="0" fontId="290" fillId="4" borderId="0" xfId="2619" applyFill="1"/>
    <xf numFmtId="0" fontId="189" fillId="4" borderId="0" xfId="2619" applyFont="1" applyFill="1"/>
    <xf numFmtId="168" fontId="0" fillId="0" borderId="0" xfId="0" applyNumberFormat="1" applyAlignment="1">
      <alignment horizontal="left" indent="2"/>
    </xf>
    <xf numFmtId="0" fontId="313" fillId="33" borderId="0" xfId="0" applyFont="1" applyFill="1"/>
    <xf numFmtId="0" fontId="189" fillId="0" borderId="0" xfId="2717" applyFont="1" applyAlignment="1">
      <alignment horizontal="left"/>
    </xf>
    <xf numFmtId="0" fontId="291" fillId="0" borderId="0" xfId="2717" applyFont="1" applyAlignment="1">
      <alignment horizontal="left"/>
    </xf>
    <xf numFmtId="2" fontId="189" fillId="0" borderId="0" xfId="2717" applyNumberFormat="1" applyFont="1" applyAlignment="1">
      <alignment horizontal="left"/>
    </xf>
    <xf numFmtId="3" fontId="189" fillId="0" borderId="0" xfId="2717" applyNumberFormat="1" applyFont="1" applyAlignment="1">
      <alignment horizontal="left"/>
    </xf>
    <xf numFmtId="0" fontId="189" fillId="0" borderId="0" xfId="2717" applyFont="1"/>
    <xf numFmtId="0" fontId="189" fillId="0" borderId="0" xfId="2717" applyFont="1" applyAlignment="1">
      <alignment horizontal="centerContinuous"/>
    </xf>
    <xf numFmtId="0" fontId="189" fillId="0" borderId="64" xfId="2717" applyFont="1" applyBorder="1" applyAlignment="1">
      <alignment horizontal="left"/>
    </xf>
    <xf numFmtId="3" fontId="189" fillId="0" borderId="7" xfId="2717" applyNumberFormat="1" applyFont="1" applyBorder="1" applyAlignment="1">
      <alignment horizontal="centerContinuous"/>
    </xf>
    <xf numFmtId="0" fontId="189" fillId="0" borderId="0" xfId="2717" applyFont="1" applyAlignment="1">
      <alignment horizontal="left" vertical="top" wrapText="1"/>
    </xf>
    <xf numFmtId="0" fontId="189" fillId="0" borderId="115" xfId="2717" applyFont="1" applyBorder="1" applyAlignment="1">
      <alignment horizontal="left" vertical="top" wrapText="1"/>
    </xf>
    <xf numFmtId="167" fontId="189" fillId="0" borderId="140" xfId="2717" applyNumberFormat="1" applyFont="1" applyBorder="1" applyAlignment="1">
      <alignment vertical="top" wrapText="1"/>
    </xf>
    <xf numFmtId="2" fontId="189" fillId="0" borderId="8" xfId="2717" applyNumberFormat="1" applyFont="1" applyBorder="1" applyAlignment="1">
      <alignment horizontal="left" vertical="top" wrapText="1"/>
    </xf>
    <xf numFmtId="0" fontId="189" fillId="0" borderId="140" xfId="2717" applyFont="1" applyBorder="1" applyAlignment="1">
      <alignment horizontal="left" vertical="top" wrapText="1"/>
    </xf>
    <xf numFmtId="167" fontId="189" fillId="0" borderId="140" xfId="2717" applyNumberFormat="1" applyFont="1" applyBorder="1" applyAlignment="1">
      <alignment horizontal="left" vertical="top" wrapText="1"/>
    </xf>
    <xf numFmtId="0" fontId="189" fillId="0" borderId="64" xfId="2717" applyFont="1" applyBorder="1" applyAlignment="1">
      <alignment horizontal="left" vertical="top" wrapText="1"/>
    </xf>
    <xf numFmtId="167" fontId="189" fillId="0" borderId="0" xfId="2717" applyNumberFormat="1" applyFont="1" applyAlignment="1">
      <alignment horizontal="right" vertical="top" wrapText="1"/>
    </xf>
    <xf numFmtId="2" fontId="189" fillId="0" borderId="7" xfId="2717" applyNumberFormat="1" applyFont="1" applyBorder="1" applyAlignment="1">
      <alignment horizontal="right" vertical="top" wrapText="1"/>
    </xf>
    <xf numFmtId="3" fontId="189" fillId="0" borderId="7" xfId="2717" applyNumberFormat="1" applyFont="1" applyBorder="1" applyAlignment="1">
      <alignment horizontal="right" vertical="top" wrapText="1"/>
    </xf>
    <xf numFmtId="3" fontId="189" fillId="0" borderId="24" xfId="2717" applyNumberFormat="1" applyFont="1" applyBorder="1" applyAlignment="1">
      <alignment horizontal="right" vertical="top" wrapText="1"/>
    </xf>
    <xf numFmtId="3" fontId="189" fillId="0" borderId="0" xfId="2717" applyNumberFormat="1" applyFont="1" applyAlignment="1">
      <alignment horizontal="left" vertical="top" wrapText="1"/>
    </xf>
    <xf numFmtId="0" fontId="189" fillId="0" borderId="64" xfId="2717" quotePrefix="1" applyFont="1" applyBorder="1" applyAlignment="1">
      <alignment horizontal="left"/>
    </xf>
    <xf numFmtId="0" fontId="189" fillId="0" borderId="64" xfId="2717" applyFont="1" applyBorder="1"/>
    <xf numFmtId="167" fontId="189" fillId="0" borderId="0" xfId="2717" applyNumberFormat="1" applyFont="1" applyAlignment="1">
      <alignment horizontal="right"/>
    </xf>
    <xf numFmtId="3" fontId="189" fillId="0" borderId="7" xfId="2708" applyNumberFormat="1" applyFont="1" applyBorder="1" applyAlignment="1">
      <alignment horizontal="right"/>
    </xf>
    <xf numFmtId="3" fontId="189" fillId="0" borderId="24" xfId="2708" applyNumberFormat="1" applyFont="1" applyBorder="1" applyAlignment="1">
      <alignment horizontal="right"/>
    </xf>
    <xf numFmtId="2" fontId="189" fillId="0" borderId="7" xfId="2717" applyNumberFormat="1" applyFont="1" applyBorder="1" applyAlignment="1">
      <alignment horizontal="right"/>
    </xf>
    <xf numFmtId="167" fontId="189" fillId="0" borderId="0" xfId="2717" applyNumberFormat="1" applyFont="1"/>
    <xf numFmtId="3" fontId="189" fillId="0" borderId="7" xfId="2708" applyNumberFormat="1" applyFont="1" applyBorder="1"/>
    <xf numFmtId="3" fontId="189" fillId="0" borderId="24" xfId="2708" applyNumberFormat="1" applyFont="1" applyBorder="1"/>
    <xf numFmtId="0" fontId="189" fillId="0" borderId="115" xfId="2717" applyFont="1" applyBorder="1"/>
    <xf numFmtId="167" fontId="189" fillId="0" borderId="140" xfId="2717" applyNumberFormat="1" applyFont="1" applyBorder="1" applyAlignment="1">
      <alignment horizontal="right"/>
    </xf>
    <xf numFmtId="2" fontId="189" fillId="0" borderId="8" xfId="2717" applyNumberFormat="1" applyFont="1" applyBorder="1" applyAlignment="1">
      <alignment horizontal="right"/>
    </xf>
    <xf numFmtId="3" fontId="189" fillId="0" borderId="8" xfId="2708" applyNumberFormat="1" applyFont="1" applyBorder="1"/>
    <xf numFmtId="0" fontId="189" fillId="0" borderId="115" xfId="2717" quotePrefix="1" applyFont="1" applyBorder="1" applyAlignment="1">
      <alignment horizontal="left"/>
    </xf>
    <xf numFmtId="3" fontId="189" fillId="0" borderId="8" xfId="2708" applyNumberFormat="1" applyFont="1" applyBorder="1" applyAlignment="1">
      <alignment horizontal="right"/>
    </xf>
    <xf numFmtId="0" fontId="292" fillId="0" borderId="0" xfId="2717" applyFont="1"/>
    <xf numFmtId="2" fontId="189" fillId="0" borderId="0" xfId="2717" applyNumberFormat="1" applyFont="1"/>
    <xf numFmtId="3" fontId="189" fillId="0" borderId="0" xfId="2717" applyNumberFormat="1" applyFont="1"/>
    <xf numFmtId="0" fontId="189" fillId="0" borderId="0" xfId="2717" applyFont="1" applyAlignment="1">
      <alignment vertical="top"/>
    </xf>
    <xf numFmtId="0" fontId="314" fillId="0" borderId="0" xfId="2717" quotePrefix="1" applyFont="1" applyAlignment="1">
      <alignment horizontal="right" vertical="top"/>
    </xf>
    <xf numFmtId="223" fontId="0" fillId="0" borderId="0" xfId="10" applyNumberFormat="1" applyFont="1"/>
    <xf numFmtId="10" fontId="202" fillId="57" borderId="0" xfId="10" applyNumberFormat="1" applyFont="1" applyFill="1" applyAlignment="1">
      <alignment horizontal="right" vertical="center" wrapText="1"/>
    </xf>
    <xf numFmtId="164" fontId="0" fillId="57" borderId="0" xfId="0" applyNumberFormat="1" applyFill="1"/>
    <xf numFmtId="166" fontId="88" fillId="0" borderId="0" xfId="10" applyNumberFormat="1" applyFont="1"/>
    <xf numFmtId="10" fontId="88" fillId="0" borderId="0" xfId="10" applyNumberFormat="1" applyFont="1"/>
    <xf numFmtId="0" fontId="0" fillId="4" borderId="0" xfId="0" applyFill="1" applyAlignment="1">
      <alignment horizontal="left" indent="2"/>
    </xf>
    <xf numFmtId="0" fontId="2" fillId="4" borderId="0" xfId="0" applyFont="1" applyFill="1"/>
    <xf numFmtId="0" fontId="315" fillId="0" borderId="0" xfId="0" applyFont="1"/>
    <xf numFmtId="0" fontId="0" fillId="4" borderId="0" xfId="0" applyFill="1" applyAlignment="1">
      <alignment horizontal="left"/>
    </xf>
    <xf numFmtId="0" fontId="0" fillId="0" borderId="0" xfId="0" applyAlignment="1">
      <alignment horizontal="left"/>
    </xf>
    <xf numFmtId="0" fontId="11" fillId="4" borderId="0" xfId="0" applyFont="1" applyFill="1" applyAlignment="1">
      <alignment horizontal="left" indent="2"/>
    </xf>
    <xf numFmtId="0" fontId="316" fillId="0" borderId="0" xfId="0" applyFont="1" applyAlignment="1">
      <alignment horizontal="left" indent="2"/>
    </xf>
    <xf numFmtId="0" fontId="306" fillId="4" borderId="0" xfId="0" applyFont="1" applyFill="1"/>
    <xf numFmtId="0" fontId="317" fillId="4" borderId="0" xfId="0" applyFont="1" applyFill="1"/>
    <xf numFmtId="0" fontId="152" fillId="4" borderId="0" xfId="0" applyFont="1" applyFill="1"/>
    <xf numFmtId="0" fontId="318" fillId="4" borderId="0" xfId="1896" applyFont="1" applyFill="1"/>
    <xf numFmtId="164" fontId="152" fillId="4" borderId="0" xfId="0" applyNumberFormat="1" applyFont="1" applyFill="1"/>
    <xf numFmtId="166" fontId="152" fillId="4" borderId="0" xfId="0" applyNumberFormat="1" applyFont="1" applyFill="1"/>
    <xf numFmtId="0" fontId="2" fillId="5" borderId="0" xfId="0" applyFont="1" applyFill="1"/>
    <xf numFmtId="166" fontId="0" fillId="159" borderId="0" xfId="10" applyNumberFormat="1" applyFont="1" applyFill="1"/>
    <xf numFmtId="167" fontId="6" fillId="0" borderId="0" xfId="2717" applyNumberFormat="1" applyAlignment="1">
      <alignment horizontal="left"/>
    </xf>
    <xf numFmtId="0" fontId="6" fillId="0" borderId="0" xfId="2717" applyAlignment="1">
      <alignment horizontal="left"/>
    </xf>
    <xf numFmtId="167" fontId="6" fillId="0" borderId="0" xfId="2717" applyNumberFormat="1" applyAlignment="1">
      <alignment horizontal="right"/>
    </xf>
    <xf numFmtId="2" fontId="6" fillId="0" borderId="0" xfId="2717" applyNumberFormat="1" applyAlignment="1">
      <alignment horizontal="right"/>
    </xf>
    <xf numFmtId="3" fontId="6" fillId="0" borderId="0" xfId="2717" applyNumberFormat="1" applyAlignment="1">
      <alignment horizontal="right"/>
    </xf>
    <xf numFmtId="0" fontId="6" fillId="0" borderId="0" xfId="2717"/>
    <xf numFmtId="0" fontId="6" fillId="0" borderId="0" xfId="2717" applyAlignment="1">
      <alignment horizontal="left" vertical="top" wrapText="1"/>
    </xf>
    <xf numFmtId="3" fontId="6" fillId="0" borderId="0" xfId="2717" applyNumberFormat="1" applyAlignment="1">
      <alignment horizontal="left" vertical="top" wrapText="1"/>
    </xf>
    <xf numFmtId="3" fontId="6" fillId="0" borderId="0" xfId="2717" applyNumberFormat="1"/>
    <xf numFmtId="0" fontId="6" fillId="0" borderId="0" xfId="2717" quotePrefix="1"/>
    <xf numFmtId="167" fontId="6" fillId="0" borderId="0" xfId="2717" applyNumberFormat="1" applyAlignment="1">
      <alignment horizontal="left" vertical="top" wrapText="1"/>
    </xf>
    <xf numFmtId="2" fontId="6" fillId="0" borderId="0" xfId="2717" applyNumberFormat="1" applyAlignment="1">
      <alignment horizontal="left" vertical="top" wrapText="1"/>
    </xf>
    <xf numFmtId="2" fontId="0" fillId="0" borderId="140" xfId="0" applyNumberFormat="1" applyBorder="1"/>
    <xf numFmtId="166" fontId="0" fillId="0" borderId="140" xfId="10" applyNumberFormat="1" applyFont="1" applyFill="1" applyBorder="1"/>
    <xf numFmtId="179" fontId="0" fillId="0" borderId="0" xfId="2701" applyFont="1"/>
    <xf numFmtId="2" fontId="88" fillId="156" borderId="0" xfId="0" applyNumberFormat="1" applyFont="1" applyFill="1"/>
    <xf numFmtId="164" fontId="88" fillId="0" borderId="0" xfId="0" applyNumberFormat="1" applyFont="1" applyAlignment="1">
      <alignment horizontal="center"/>
    </xf>
    <xf numFmtId="166" fontId="88" fillId="0" borderId="0" xfId="0" applyNumberFormat="1" applyFont="1" applyAlignment="1">
      <alignment horizontal="center"/>
    </xf>
    <xf numFmtId="166" fontId="88" fillId="0" borderId="0" xfId="10" applyNumberFormat="1" applyFont="1" applyAlignment="1">
      <alignment horizontal="center"/>
    </xf>
    <xf numFmtId="164" fontId="0" fillId="4" borderId="0" xfId="0" applyNumberFormat="1" applyFill="1"/>
    <xf numFmtId="0" fontId="0" fillId="57" borderId="0" xfId="0" applyFill="1" applyAlignment="1">
      <alignment wrapText="1"/>
    </xf>
    <xf numFmtId="0" fontId="97" fillId="57" borderId="0" xfId="171" applyFont="1" applyFill="1"/>
    <xf numFmtId="2" fontId="97" fillId="57" borderId="0" xfId="0" applyNumberFormat="1" applyFont="1" applyFill="1" applyAlignment="1">
      <alignment horizontal="center" wrapText="1"/>
    </xf>
    <xf numFmtId="164" fontId="207" fillId="57" borderId="0" xfId="0" applyNumberFormat="1" applyFont="1" applyFill="1" applyAlignment="1">
      <alignment horizontal="center"/>
    </xf>
    <xf numFmtId="164" fontId="97" fillId="57" borderId="0" xfId="0" applyNumberFormat="1" applyFont="1" applyFill="1" applyAlignment="1">
      <alignment horizontal="center" wrapText="1"/>
    </xf>
    <xf numFmtId="2" fontId="208" fillId="57" borderId="0" xfId="0" applyNumberFormat="1" applyFont="1" applyFill="1" applyAlignment="1">
      <alignment horizontal="center" wrapText="1"/>
    </xf>
    <xf numFmtId="168" fontId="0" fillId="0" borderId="0" xfId="0" applyNumberFormat="1" applyAlignment="1">
      <alignment horizontal="center"/>
    </xf>
    <xf numFmtId="166" fontId="319" fillId="4" borderId="0" xfId="7" applyNumberFormat="1" applyFont="1" applyFill="1" applyAlignment="1">
      <alignment horizontal="center"/>
    </xf>
    <xf numFmtId="0" fontId="0" fillId="7" borderId="0" xfId="0" applyFill="1" applyAlignment="1">
      <alignment wrapText="1"/>
    </xf>
    <xf numFmtId="0" fontId="97" fillId="7" borderId="0" xfId="171" applyFont="1" applyFill="1"/>
    <xf numFmtId="2" fontId="97" fillId="7" borderId="0" xfId="0" applyNumberFormat="1" applyFont="1" applyFill="1" applyAlignment="1">
      <alignment horizontal="center" wrapText="1"/>
    </xf>
    <xf numFmtId="164" fontId="207" fillId="7" borderId="0" xfId="0" applyNumberFormat="1" applyFont="1" applyFill="1" applyAlignment="1">
      <alignment horizontal="center"/>
    </xf>
    <xf numFmtId="164" fontId="97" fillId="7" borderId="0" xfId="0" applyNumberFormat="1" applyFont="1" applyFill="1" applyAlignment="1">
      <alignment horizontal="center" wrapText="1"/>
    </xf>
    <xf numFmtId="0" fontId="0" fillId="7" borderId="0" xfId="0" applyFill="1"/>
    <xf numFmtId="164" fontId="0" fillId="7" borderId="0" xfId="0" applyNumberFormat="1" applyFill="1"/>
    <xf numFmtId="0" fontId="0" fillId="7" borderId="0" xfId="0" applyFill="1" applyAlignment="1">
      <alignment vertical="center" wrapText="1"/>
    </xf>
    <xf numFmtId="2" fontId="204" fillId="7" borderId="0" xfId="0" applyNumberFormat="1" applyFont="1" applyFill="1" applyAlignment="1">
      <alignment horizontal="center" wrapText="1"/>
    </xf>
    <xf numFmtId="2" fontId="208" fillId="7" borderId="0" xfId="0" applyNumberFormat="1" applyFont="1" applyFill="1" applyAlignment="1">
      <alignment horizontal="center" wrapText="1"/>
    </xf>
    <xf numFmtId="166" fontId="0" fillId="7" borderId="0" xfId="0" applyNumberFormat="1" applyFill="1" applyAlignment="1">
      <alignment wrapText="1"/>
    </xf>
    <xf numFmtId="2" fontId="224" fillId="7" borderId="0" xfId="0" applyNumberFormat="1" applyFont="1" applyFill="1" applyAlignment="1">
      <alignment horizontal="center" wrapText="1"/>
    </xf>
    <xf numFmtId="166" fontId="0" fillId="7" borderId="0" xfId="10" applyNumberFormat="1" applyFont="1" applyFill="1"/>
    <xf numFmtId="0" fontId="319" fillId="4" borderId="0" xfId="171" applyFont="1" applyFill="1" applyAlignment="1">
      <alignment horizontal="left"/>
    </xf>
    <xf numFmtId="10" fontId="319" fillId="4" borderId="0" xfId="7" applyNumberFormat="1" applyFont="1" applyFill="1" applyAlignment="1">
      <alignment horizontal="center"/>
    </xf>
    <xf numFmtId="10" fontId="98" fillId="4" borderId="0" xfId="7" applyNumberFormat="1" applyFont="1" applyFill="1" applyAlignment="1">
      <alignment horizontal="center"/>
    </xf>
    <xf numFmtId="189" fontId="0" fillId="0" borderId="0" xfId="407" applyNumberFormat="1" applyFont="1" applyAlignment="1">
      <alignment horizontal="center"/>
    </xf>
    <xf numFmtId="6" fontId="0" fillId="0" borderId="0" xfId="0" applyNumberFormat="1"/>
    <xf numFmtId="167" fontId="189" fillId="57" borderId="0" xfId="2717" applyNumberFormat="1" applyFont="1" applyFill="1" applyAlignment="1">
      <alignment horizontal="right" vertical="top" wrapText="1"/>
    </xf>
    <xf numFmtId="10" fontId="319" fillId="57" borderId="0" xfId="7" applyNumberFormat="1" applyFont="1" applyFill="1" applyAlignment="1">
      <alignment horizontal="center"/>
    </xf>
    <xf numFmtId="166" fontId="319" fillId="57" borderId="0" xfId="7" applyNumberFormat="1" applyFont="1" applyFill="1" applyAlignment="1">
      <alignment horizontal="center"/>
    </xf>
    <xf numFmtId="166" fontId="204" fillId="57" borderId="0" xfId="7" applyNumberFormat="1" applyFont="1" applyFill="1" applyAlignment="1">
      <alignment horizontal="center"/>
    </xf>
    <xf numFmtId="3" fontId="200" fillId="57" borderId="0" xfId="1244" applyNumberFormat="1" applyFont="1" applyFill="1" applyAlignment="1">
      <alignment horizontal="center"/>
    </xf>
    <xf numFmtId="167" fontId="189" fillId="57" borderId="0" xfId="2717" applyNumberFormat="1" applyFont="1" applyFill="1"/>
    <xf numFmtId="3" fontId="200" fillId="57" borderId="0" xfId="1205" applyNumberFormat="1" applyFont="1" applyFill="1" applyAlignment="1">
      <alignment horizontal="center"/>
    </xf>
    <xf numFmtId="0" fontId="98" fillId="0" borderId="0" xfId="171" applyFont="1" applyAlignment="1">
      <alignment horizontal="left"/>
    </xf>
    <xf numFmtId="164" fontId="98" fillId="0" borderId="0" xfId="175" applyNumberFormat="1" applyFont="1" applyAlignment="1">
      <alignment horizontal="center"/>
    </xf>
    <xf numFmtId="164" fontId="98" fillId="0" borderId="0" xfId="11" applyNumberFormat="1" applyFont="1" applyAlignment="1">
      <alignment horizontal="center" vertical="center"/>
    </xf>
    <xf numFmtId="166" fontId="98" fillId="0" borderId="0" xfId="10" applyNumberFormat="1" applyFont="1" applyFill="1" applyAlignment="1">
      <alignment horizontal="center" vertical="center"/>
    </xf>
    <xf numFmtId="166" fontId="98" fillId="0" borderId="0" xfId="420" applyNumberFormat="1" applyFont="1" applyAlignment="1">
      <alignment horizontal="center" vertical="center"/>
    </xf>
    <xf numFmtId="165" fontId="98" fillId="0" borderId="0" xfId="407" applyNumberFormat="1" applyFont="1" applyFill="1" applyAlignment="1">
      <alignment horizontal="center"/>
    </xf>
    <xf numFmtId="165" fontId="6" fillId="0" borderId="0" xfId="407" applyNumberFormat="1" applyFont="1" applyFill="1"/>
    <xf numFmtId="165" fontId="95" fillId="0" borderId="0" xfId="407" applyNumberFormat="1" applyFont="1" applyFill="1" applyAlignment="1">
      <alignment horizontal="center"/>
    </xf>
    <xf numFmtId="164" fontId="257" fillId="0" borderId="0" xfId="11" applyNumberFormat="1" applyFont="1" applyAlignment="1">
      <alignment horizontal="center" vertical="center"/>
    </xf>
    <xf numFmtId="3" fontId="200" fillId="0" borderId="0" xfId="1202" applyNumberFormat="1" applyFont="1" applyAlignment="1">
      <alignment horizontal="center"/>
    </xf>
    <xf numFmtId="165" fontId="98" fillId="0" borderId="0" xfId="407" applyNumberFormat="1" applyFont="1" applyFill="1" applyAlignment="1">
      <alignment horizontal="center" vertical="center"/>
    </xf>
    <xf numFmtId="43" fontId="98" fillId="0" borderId="0" xfId="407" applyFont="1" applyFill="1" applyAlignment="1">
      <alignment horizontal="center" vertical="center"/>
    </xf>
    <xf numFmtId="1" fontId="98" fillId="0" borderId="0" xfId="419" applyNumberFormat="1" applyFont="1" applyAlignment="1">
      <alignment horizontal="center" vertical="center" wrapText="1"/>
    </xf>
    <xf numFmtId="166" fontId="95" fillId="0" borderId="0" xfId="10" applyNumberFormat="1" applyFont="1" applyFill="1" applyAlignment="1">
      <alignment horizontal="center"/>
    </xf>
    <xf numFmtId="1" fontId="99" fillId="0" borderId="0" xfId="419" applyNumberFormat="1" applyFont="1" applyAlignment="1">
      <alignment horizontal="center" vertical="center" wrapText="1"/>
    </xf>
    <xf numFmtId="164" fontId="96" fillId="0" borderId="0" xfId="419" applyNumberFormat="1" applyFont="1" applyAlignment="1">
      <alignment horizontal="center" vertical="center" wrapText="1"/>
    </xf>
    <xf numFmtId="164" fontId="100" fillId="0" borderId="0" xfId="419" applyNumberFormat="1" applyFont="1" applyAlignment="1">
      <alignment horizontal="center" vertical="center" wrapText="1"/>
    </xf>
    <xf numFmtId="164" fontId="99" fillId="0" borderId="0" xfId="419" applyNumberFormat="1" applyFont="1" applyAlignment="1">
      <alignment horizontal="center" vertical="center" wrapText="1"/>
    </xf>
    <xf numFmtId="0" fontId="97" fillId="111" borderId="0" xfId="171" applyFont="1" applyFill="1"/>
    <xf numFmtId="0" fontId="98" fillId="111" borderId="0" xfId="171" applyFont="1" applyFill="1" applyAlignment="1">
      <alignment horizontal="left"/>
    </xf>
    <xf numFmtId="164" fontId="98" fillId="111" borderId="0" xfId="175" applyNumberFormat="1" applyFont="1" applyFill="1" applyAlignment="1">
      <alignment horizontal="center"/>
    </xf>
    <xf numFmtId="167" fontId="189" fillId="111" borderId="0" xfId="2717" applyNumberFormat="1" applyFont="1" applyFill="1"/>
    <xf numFmtId="164" fontId="98" fillId="111" borderId="0" xfId="11" applyNumberFormat="1" applyFont="1" applyFill="1" applyAlignment="1">
      <alignment horizontal="center" vertical="center"/>
    </xf>
    <xf numFmtId="166" fontId="98" fillId="111" borderId="0" xfId="10" applyNumberFormat="1" applyFont="1" applyFill="1" applyAlignment="1">
      <alignment horizontal="center" vertical="center"/>
    </xf>
    <xf numFmtId="164" fontId="95" fillId="111" borderId="0" xfId="7" applyNumberFormat="1" applyFont="1" applyFill="1" applyAlignment="1">
      <alignment horizontal="center"/>
    </xf>
    <xf numFmtId="166" fontId="98" fillId="111" borderId="0" xfId="420" applyNumberFormat="1" applyFont="1" applyFill="1" applyAlignment="1">
      <alignment horizontal="center" vertical="center"/>
    </xf>
    <xf numFmtId="166" fontId="319" fillId="111" borderId="0" xfId="7" applyNumberFormat="1" applyFont="1" applyFill="1" applyAlignment="1">
      <alignment horizontal="center"/>
    </xf>
    <xf numFmtId="166" fontId="98" fillId="111" borderId="0" xfId="7" applyNumberFormat="1" applyFont="1" applyFill="1" applyAlignment="1">
      <alignment horizontal="center"/>
    </xf>
    <xf numFmtId="166" fontId="204" fillId="111" borderId="0" xfId="7" applyNumberFormat="1" applyFont="1" applyFill="1" applyAlignment="1">
      <alignment horizontal="center"/>
    </xf>
    <xf numFmtId="165" fontId="98" fillId="111" borderId="0" xfId="407" applyNumberFormat="1" applyFont="1" applyFill="1" applyAlignment="1">
      <alignment horizontal="center"/>
    </xf>
    <xf numFmtId="165" fontId="6" fillId="111" borderId="0" xfId="407" applyNumberFormat="1" applyFont="1" applyFill="1"/>
    <xf numFmtId="165" fontId="95" fillId="111" borderId="0" xfId="407" applyNumberFormat="1" applyFont="1" applyFill="1" applyAlignment="1">
      <alignment horizontal="center"/>
    </xf>
    <xf numFmtId="164" fontId="257" fillId="111" borderId="0" xfId="11" applyNumberFormat="1" applyFont="1" applyFill="1" applyAlignment="1">
      <alignment horizontal="center" vertical="center"/>
    </xf>
    <xf numFmtId="3" fontId="200" fillId="111" borderId="0" xfId="1175" applyNumberFormat="1" applyFont="1" applyFill="1" applyAlignment="1">
      <alignment horizontal="center"/>
    </xf>
    <xf numFmtId="0" fontId="97" fillId="111" borderId="0" xfId="0" applyFont="1" applyFill="1" applyAlignment="1">
      <alignment horizontal="center"/>
    </xf>
    <xf numFmtId="165" fontId="98" fillId="111" borderId="0" xfId="407" applyNumberFormat="1" applyFont="1" applyFill="1" applyAlignment="1">
      <alignment horizontal="center" vertical="center"/>
    </xf>
    <xf numFmtId="43" fontId="98" fillId="111" borderId="0" xfId="407" applyFont="1" applyFill="1" applyAlignment="1">
      <alignment horizontal="center" vertical="center"/>
    </xf>
    <xf numFmtId="1" fontId="98" fillId="111" borderId="0" xfId="419" applyNumberFormat="1" applyFont="1" applyFill="1" applyAlignment="1">
      <alignment horizontal="center" vertical="center" wrapText="1"/>
    </xf>
    <xf numFmtId="166" fontId="95" fillId="111" borderId="0" xfId="10" applyNumberFormat="1" applyFont="1" applyFill="1" applyAlignment="1">
      <alignment horizontal="center"/>
    </xf>
    <xf numFmtId="1" fontId="99" fillId="111" borderId="0" xfId="419" applyNumberFormat="1" applyFont="1" applyFill="1" applyAlignment="1">
      <alignment horizontal="center" vertical="center" wrapText="1"/>
    </xf>
    <xf numFmtId="166" fontId="95" fillId="111" borderId="0" xfId="7" applyNumberFormat="1" applyFont="1" applyFill="1" applyAlignment="1">
      <alignment horizontal="center"/>
    </xf>
    <xf numFmtId="1" fontId="95" fillId="111" borderId="0" xfId="7" applyNumberFormat="1" applyFont="1" applyFill="1" applyAlignment="1">
      <alignment horizontal="center"/>
    </xf>
    <xf numFmtId="164" fontId="96" fillId="111" borderId="0" xfId="419" applyNumberFormat="1" applyFont="1" applyFill="1" applyAlignment="1">
      <alignment horizontal="center" vertical="center" wrapText="1"/>
    </xf>
    <xf numFmtId="164" fontId="100" fillId="111" borderId="0" xfId="419" applyNumberFormat="1" applyFont="1" applyFill="1" applyAlignment="1">
      <alignment horizontal="center" vertical="center" wrapText="1"/>
    </xf>
    <xf numFmtId="164" fontId="99" fillId="111" borderId="0" xfId="419" applyNumberFormat="1" applyFont="1" applyFill="1" applyAlignment="1">
      <alignment horizontal="center" vertical="center" wrapText="1"/>
    </xf>
    <xf numFmtId="0" fontId="97" fillId="111" borderId="0" xfId="0" applyFont="1" applyFill="1"/>
    <xf numFmtId="0" fontId="95" fillId="111" borderId="0" xfId="7" applyFont="1" applyFill="1"/>
    <xf numFmtId="166" fontId="95" fillId="111" borderId="0" xfId="7" applyNumberFormat="1" applyFont="1" applyFill="1"/>
    <xf numFmtId="9" fontId="95" fillId="111" borderId="0" xfId="10" applyFont="1" applyFill="1" applyAlignment="1">
      <alignment horizontal="center"/>
    </xf>
    <xf numFmtId="0" fontId="18" fillId="111" borderId="0" xfId="0" applyFont="1" applyFill="1"/>
    <xf numFmtId="3" fontId="73" fillId="111" borderId="0" xfId="1049" applyNumberFormat="1" applyFont="1" applyFill="1" applyAlignment="1">
      <alignment horizontal="center"/>
    </xf>
    <xf numFmtId="165" fontId="200" fillId="111" borderId="0" xfId="407" applyNumberFormat="1" applyFont="1" applyFill="1" applyBorder="1" applyAlignment="1">
      <alignment horizontal="center"/>
    </xf>
    <xf numFmtId="3" fontId="73" fillId="111" borderId="1" xfId="1049" applyNumberFormat="1" applyFont="1" applyFill="1" applyBorder="1" applyAlignment="1">
      <alignment horizontal="center"/>
    </xf>
    <xf numFmtId="0" fontId="101" fillId="111" borderId="0" xfId="7" applyFont="1" applyFill="1"/>
    <xf numFmtId="166" fontId="97" fillId="111" borderId="0" xfId="10" applyNumberFormat="1" applyFont="1" applyFill="1"/>
    <xf numFmtId="165" fontId="0" fillId="111" borderId="71" xfId="407" applyNumberFormat="1" applyFont="1" applyFill="1" applyBorder="1" applyAlignment="1">
      <alignment horizontal="right"/>
    </xf>
    <xf numFmtId="216" fontId="0" fillId="111" borderId="0" xfId="481" applyNumberFormat="1" applyFont="1" applyFill="1" applyBorder="1" applyAlignment="1">
      <alignment horizontal="right"/>
    </xf>
    <xf numFmtId="165" fontId="1" fillId="111" borderId="0" xfId="407" applyNumberFormat="1" applyFont="1" applyFill="1" applyBorder="1" applyAlignment="1">
      <alignment horizontal="right"/>
    </xf>
    <xf numFmtId="1" fontId="97" fillId="111" borderId="0" xfId="0" applyNumberFormat="1" applyFont="1" applyFill="1" applyAlignment="1">
      <alignment horizontal="center"/>
    </xf>
    <xf numFmtId="0" fontId="102" fillId="111" borderId="0" xfId="171" applyFont="1" applyFill="1"/>
    <xf numFmtId="164" fontId="306" fillId="111" borderId="1" xfId="171" applyNumberFormat="1" applyFont="1" applyFill="1" applyBorder="1" applyAlignment="1">
      <alignment horizontal="center" vertical="center"/>
    </xf>
    <xf numFmtId="164" fontId="101" fillId="111" borderId="0" xfId="7" applyNumberFormat="1" applyFont="1" applyFill="1"/>
    <xf numFmtId="164" fontId="102" fillId="111" borderId="0" xfId="171" applyNumberFormat="1" applyFont="1" applyFill="1" applyAlignment="1">
      <alignment horizontal="center" vertical="center"/>
    </xf>
    <xf numFmtId="166" fontId="102" fillId="111" borderId="2" xfId="171" applyNumberFormat="1" applyFont="1" applyFill="1" applyBorder="1" applyAlignment="1">
      <alignment horizontal="center" vertical="center"/>
    </xf>
    <xf numFmtId="0" fontId="6" fillId="111" borderId="0" xfId="2717" applyFill="1"/>
    <xf numFmtId="0" fontId="18" fillId="160" borderId="0" xfId="0" applyFont="1" applyFill="1"/>
    <xf numFmtId="1" fontId="98" fillId="111" borderId="0" xfId="419" applyNumberFormat="1" applyFont="1" applyFill="1" applyAlignment="1">
      <alignment horizontal="center" vertical="center"/>
    </xf>
    <xf numFmtId="0" fontId="95" fillId="111" borderId="0" xfId="7" applyFont="1" applyFill="1" applyAlignment="1">
      <alignment horizontal="center"/>
    </xf>
    <xf numFmtId="164" fontId="104" fillId="111" borderId="0" xfId="420" applyNumberFormat="1" applyFont="1" applyFill="1" applyAlignment="1">
      <alignment horizontal="center" vertical="center"/>
    </xf>
    <xf numFmtId="164" fontId="105" fillId="111" borderId="0" xfId="419" applyNumberFormat="1" applyFont="1" applyFill="1" applyAlignment="1">
      <alignment horizontal="center" vertical="center" wrapText="1"/>
    </xf>
    <xf numFmtId="164" fontId="105" fillId="111" borderId="0" xfId="420" applyNumberFormat="1" applyFont="1" applyFill="1" applyAlignment="1">
      <alignment horizontal="center" vertical="center"/>
    </xf>
    <xf numFmtId="0" fontId="2" fillId="4" borderId="0" xfId="0" applyFont="1" applyFill="1" applyAlignment="1">
      <alignment horizontal="left"/>
    </xf>
    <xf numFmtId="223" fontId="0" fillId="0" borderId="0" xfId="10" applyNumberFormat="1" applyFont="1" applyAlignment="1">
      <alignment horizontal="center"/>
    </xf>
    <xf numFmtId="9" fontId="0" fillId="0" borderId="0" xfId="0" applyNumberFormat="1" applyAlignment="1">
      <alignment horizontal="center"/>
    </xf>
    <xf numFmtId="0" fontId="0" fillId="4" borderId="9" xfId="0" applyFill="1" applyBorder="1"/>
    <xf numFmtId="0" fontId="0" fillId="4" borderId="10" xfId="0" applyFill="1" applyBorder="1" applyAlignment="1">
      <alignment horizontal="center" vertical="center"/>
    </xf>
    <xf numFmtId="166" fontId="222" fillId="4" borderId="11" xfId="0" applyNumberFormat="1" applyFont="1" applyFill="1" applyBorder="1" applyAlignment="1">
      <alignment horizontal="center" vertical="center"/>
    </xf>
    <xf numFmtId="0" fontId="0" fillId="4" borderId="64" xfId="0" applyFill="1" applyBorder="1"/>
    <xf numFmtId="0" fontId="0" fillId="4" borderId="7" xfId="0" applyFill="1" applyBorder="1"/>
    <xf numFmtId="0" fontId="17" fillId="4" borderId="64" xfId="6" applyFill="1" applyBorder="1"/>
    <xf numFmtId="0" fontId="0" fillId="4" borderId="115" xfId="0" applyFill="1" applyBorder="1"/>
    <xf numFmtId="0" fontId="0" fillId="4" borderId="140" xfId="0" applyFill="1" applyBorder="1"/>
    <xf numFmtId="0" fontId="0" fillId="4" borderId="8" xfId="0" applyFill="1" applyBorder="1"/>
    <xf numFmtId="9" fontId="0" fillId="0" borderId="0" xfId="407" applyNumberFormat="1" applyFont="1" applyAlignment="1">
      <alignment horizontal="center"/>
    </xf>
    <xf numFmtId="10" fontId="0" fillId="0" borderId="0" xfId="10" applyNumberFormat="1" applyFont="1" applyAlignment="1">
      <alignment horizontal="center"/>
    </xf>
    <xf numFmtId="166" fontId="0" fillId="0" borderId="0" xfId="407" applyNumberFormat="1" applyFont="1" applyAlignment="1">
      <alignment horizontal="center"/>
    </xf>
    <xf numFmtId="3" fontId="222" fillId="152" borderId="0" xfId="1438" applyNumberFormat="1" applyFont="1" applyFill="1" applyAlignment="1" applyProtection="1">
      <alignment horizontal="center" vertical="top" wrapText="1"/>
      <protection locked="0"/>
    </xf>
    <xf numFmtId="0" fontId="321" fillId="0" borderId="0" xfId="0" applyFont="1" applyAlignment="1">
      <alignment vertical="center"/>
    </xf>
    <xf numFmtId="0" fontId="2" fillId="0" borderId="0" xfId="0" applyFont="1" applyAlignment="1">
      <alignment vertical="center"/>
    </xf>
    <xf numFmtId="10" fontId="2" fillId="0" borderId="0" xfId="0" applyNumberFormat="1" applyFont="1"/>
    <xf numFmtId="0" fontId="7" fillId="0" borderId="0" xfId="0" applyFont="1" applyAlignment="1">
      <alignment vertical="center" wrapText="1"/>
    </xf>
    <xf numFmtId="10" fontId="7" fillId="0" borderId="0" xfId="0" applyNumberFormat="1" applyFont="1" applyAlignment="1">
      <alignment vertical="center" wrapText="1"/>
    </xf>
    <xf numFmtId="0" fontId="12" fillId="0" borderId="0" xfId="0" applyFont="1" applyAlignment="1">
      <alignment vertical="center"/>
    </xf>
    <xf numFmtId="10" fontId="12" fillId="0" borderId="0" xfId="0" applyNumberFormat="1" applyFont="1" applyAlignment="1">
      <alignment vertical="center"/>
    </xf>
    <xf numFmtId="0" fontId="7" fillId="0" borderId="0" xfId="0" applyFont="1"/>
    <xf numFmtId="3" fontId="2" fillId="0" borderId="0" xfId="0" applyNumberFormat="1" applyFont="1" applyAlignment="1">
      <alignment vertical="center"/>
    </xf>
    <xf numFmtId="3" fontId="0" fillId="0" borderId="0" xfId="0" applyNumberFormat="1" applyAlignment="1">
      <alignment vertical="center"/>
    </xf>
    <xf numFmtId="181" fontId="0" fillId="0" borderId="0" xfId="0" applyNumberFormat="1" applyAlignment="1">
      <alignment vertical="center"/>
    </xf>
    <xf numFmtId="164" fontId="88" fillId="0" borderId="0" xfId="0" applyNumberFormat="1" applyFont="1" applyAlignment="1">
      <alignment horizontal="left"/>
    </xf>
    <xf numFmtId="164" fontId="0" fillId="0" borderId="0" xfId="0" applyNumberFormat="1" applyAlignment="1">
      <alignment horizontal="left"/>
    </xf>
    <xf numFmtId="166" fontId="0" fillId="0" borderId="0" xfId="0" applyNumberFormat="1" applyAlignment="1">
      <alignment horizontal="left"/>
    </xf>
    <xf numFmtId="0" fontId="6" fillId="0" borderId="0" xfId="309"/>
    <xf numFmtId="3" fontId="6" fillId="0" borderId="0" xfId="309" applyNumberFormat="1" applyAlignment="1">
      <alignment horizontal="right"/>
    </xf>
    <xf numFmtId="2" fontId="6" fillId="0" borderId="0" xfId="309" applyNumberFormat="1" applyAlignment="1">
      <alignment horizontal="right"/>
    </xf>
    <xf numFmtId="167" fontId="6" fillId="0" borderId="0" xfId="309" applyNumberFormat="1" applyAlignment="1">
      <alignment horizontal="right"/>
    </xf>
    <xf numFmtId="0" fontId="6" fillId="0" borderId="0" xfId="309" applyAlignment="1">
      <alignment horizontal="left"/>
    </xf>
    <xf numFmtId="3" fontId="6" fillId="0" borderId="0" xfId="309" applyNumberFormat="1"/>
    <xf numFmtId="2" fontId="6" fillId="0" borderId="0" xfId="309" applyNumberFormat="1"/>
    <xf numFmtId="167" fontId="6" fillId="0" borderId="0" xfId="309" applyNumberFormat="1"/>
    <xf numFmtId="0" fontId="189" fillId="0" borderId="0" xfId="309" applyFont="1"/>
    <xf numFmtId="167" fontId="6" fillId="0" borderId="0" xfId="309" applyNumberFormat="1" applyAlignment="1">
      <alignment horizontal="left" vertical="top" wrapText="1"/>
    </xf>
    <xf numFmtId="0" fontId="189" fillId="0" borderId="0" xfId="309" applyFont="1" applyAlignment="1">
      <alignment vertical="top"/>
    </xf>
    <xf numFmtId="0" fontId="314" fillId="0" borderId="0" xfId="309" quotePrefix="1" applyFont="1" applyAlignment="1">
      <alignment horizontal="right" vertical="top"/>
    </xf>
    <xf numFmtId="3" fontId="6" fillId="0" borderId="0" xfId="309" applyNumberFormat="1" applyAlignment="1">
      <alignment horizontal="left" vertical="top" wrapText="1"/>
    </xf>
    <xf numFmtId="2" fontId="6" fillId="0" borderId="0" xfId="309" applyNumberFormat="1" applyAlignment="1">
      <alignment horizontal="left" vertical="top" wrapText="1"/>
    </xf>
    <xf numFmtId="0" fontId="6" fillId="0" borderId="0" xfId="309" applyAlignment="1">
      <alignment horizontal="left" vertical="top" wrapText="1"/>
    </xf>
    <xf numFmtId="3" fontId="189" fillId="0" borderId="0" xfId="309" applyNumberFormat="1" applyFont="1"/>
    <xf numFmtId="2" fontId="189" fillId="0" borderId="0" xfId="309" applyNumberFormat="1" applyFont="1"/>
    <xf numFmtId="167" fontId="189" fillId="0" borderId="0" xfId="309" applyNumberFormat="1" applyFont="1"/>
    <xf numFmtId="0" fontId="292" fillId="0" borderId="0" xfId="309" applyFont="1"/>
    <xf numFmtId="3" fontId="189" fillId="0" borderId="8" xfId="1454" applyNumberFormat="1" applyFont="1" applyBorder="1" applyAlignment="1">
      <alignment horizontal="right"/>
    </xf>
    <xf numFmtId="2" fontId="189" fillId="0" borderId="8" xfId="309" applyNumberFormat="1" applyFont="1" applyBorder="1" applyAlignment="1">
      <alignment horizontal="right"/>
    </xf>
    <xf numFmtId="167" fontId="189" fillId="0" borderId="140" xfId="309" applyNumberFormat="1" applyFont="1" applyBorder="1" applyAlignment="1">
      <alignment horizontal="right"/>
    </xf>
    <xf numFmtId="0" fontId="189" fillId="0" borderId="115" xfId="309" quotePrefix="1" applyFont="1" applyBorder="1" applyAlignment="1">
      <alignment horizontal="left"/>
    </xf>
    <xf numFmtId="3" fontId="189" fillId="0" borderId="8" xfId="1454" applyNumberFormat="1" applyFont="1" applyBorder="1"/>
    <xf numFmtId="0" fontId="189" fillId="0" borderId="115" xfId="309" applyFont="1" applyBorder="1"/>
    <xf numFmtId="3" fontId="189" fillId="0" borderId="7" xfId="1454" applyNumberFormat="1" applyFont="1" applyBorder="1" applyAlignment="1">
      <alignment horizontal="right"/>
    </xf>
    <xf numFmtId="2" fontId="189" fillId="0" borderId="7" xfId="309" applyNumberFormat="1" applyFont="1" applyBorder="1" applyAlignment="1">
      <alignment horizontal="right"/>
    </xf>
    <xf numFmtId="167" fontId="189" fillId="0" borderId="0" xfId="309" applyNumberFormat="1" applyFont="1" applyAlignment="1">
      <alignment horizontal="right"/>
    </xf>
    <xf numFmtId="0" fontId="189" fillId="0" borderId="64" xfId="309" quotePrefix="1" applyFont="1" applyBorder="1" applyAlignment="1">
      <alignment horizontal="left"/>
    </xf>
    <xf numFmtId="3" fontId="189" fillId="0" borderId="24" xfId="1454" applyNumberFormat="1" applyFont="1" applyBorder="1"/>
    <xf numFmtId="3" fontId="189" fillId="0" borderId="7" xfId="1454" applyNumberFormat="1" applyFont="1" applyBorder="1"/>
    <xf numFmtId="0" fontId="189" fillId="0" borderId="64" xfId="309" applyFont="1" applyBorder="1"/>
    <xf numFmtId="164" fontId="6" fillId="0" borderId="0" xfId="309" applyNumberFormat="1"/>
    <xf numFmtId="2" fontId="189" fillId="0" borderId="7" xfId="309" applyNumberFormat="1" applyFont="1" applyBorder="1" applyAlignment="1">
      <alignment horizontal="right" vertical="top" wrapText="1"/>
    </xf>
    <xf numFmtId="3" fontId="189" fillId="0" borderId="0" xfId="309" applyNumberFormat="1" applyFont="1" applyAlignment="1">
      <alignment horizontal="left" vertical="top" wrapText="1"/>
    </xf>
    <xf numFmtId="3" fontId="189" fillId="0" borderId="24" xfId="1454" applyNumberFormat="1" applyFont="1" applyBorder="1" applyAlignment="1">
      <alignment horizontal="right"/>
    </xf>
    <xf numFmtId="3" fontId="189" fillId="0" borderId="7" xfId="309" applyNumberFormat="1" applyFont="1" applyBorder="1" applyAlignment="1">
      <alignment horizontal="right" vertical="top" wrapText="1"/>
    </xf>
    <xf numFmtId="167" fontId="189" fillId="0" borderId="0" xfId="309" applyNumberFormat="1" applyFont="1" applyAlignment="1">
      <alignment horizontal="right" vertical="top" wrapText="1"/>
    </xf>
    <xf numFmtId="3" fontId="189" fillId="0" borderId="24" xfId="309" applyNumberFormat="1" applyFont="1" applyBorder="1" applyAlignment="1">
      <alignment horizontal="right" vertical="top" wrapText="1"/>
    </xf>
    <xf numFmtId="0" fontId="189" fillId="0" borderId="64" xfId="309" applyFont="1" applyBorder="1" applyAlignment="1">
      <alignment horizontal="left" vertical="top" wrapText="1"/>
    </xf>
    <xf numFmtId="0" fontId="189" fillId="0" borderId="0" xfId="309" applyFont="1" applyAlignment="1">
      <alignment horizontal="left" vertical="top" wrapText="1"/>
    </xf>
    <xf numFmtId="2" fontId="189" fillId="0" borderId="8" xfId="309" applyNumberFormat="1" applyFont="1" applyBorder="1" applyAlignment="1">
      <alignment horizontal="left" vertical="top" wrapText="1"/>
    </xf>
    <xf numFmtId="167" fontId="189" fillId="0" borderId="140" xfId="309" applyNumberFormat="1" applyFont="1" applyBorder="1" applyAlignment="1">
      <alignment horizontal="left" vertical="top" wrapText="1"/>
    </xf>
    <xf numFmtId="0" fontId="189" fillId="0" borderId="115" xfId="309" applyFont="1" applyBorder="1" applyAlignment="1">
      <alignment horizontal="left" vertical="top" wrapText="1"/>
    </xf>
    <xf numFmtId="0" fontId="189" fillId="0" borderId="140" xfId="309" applyFont="1" applyBorder="1" applyAlignment="1">
      <alignment horizontal="left" vertical="top" wrapText="1"/>
    </xf>
    <xf numFmtId="167" fontId="189" fillId="0" borderId="140" xfId="309" applyNumberFormat="1" applyFont="1" applyBorder="1" applyAlignment="1">
      <alignment vertical="top" wrapText="1"/>
    </xf>
    <xf numFmtId="0" fontId="189" fillId="0" borderId="0" xfId="309" applyFont="1" applyAlignment="1">
      <alignment horizontal="left"/>
    </xf>
    <xf numFmtId="3" fontId="189" fillId="0" borderId="7" xfId="309" applyNumberFormat="1" applyFont="1" applyBorder="1" applyAlignment="1">
      <alignment horizontal="centerContinuous"/>
    </xf>
    <xf numFmtId="0" fontId="189" fillId="0" borderId="64" xfId="309" applyFont="1" applyBorder="1" applyAlignment="1">
      <alignment horizontal="left"/>
    </xf>
    <xf numFmtId="0" fontId="189" fillId="0" borderId="0" xfId="309" applyFont="1" applyAlignment="1">
      <alignment horizontal="centerContinuous"/>
    </xf>
    <xf numFmtId="3" fontId="189" fillId="0" borderId="0" xfId="309" applyNumberFormat="1" applyFont="1" applyAlignment="1">
      <alignment horizontal="left"/>
    </xf>
    <xf numFmtId="2" fontId="189" fillId="0" borderId="0" xfId="309" applyNumberFormat="1" applyFont="1" applyAlignment="1">
      <alignment horizontal="left"/>
    </xf>
    <xf numFmtId="167" fontId="6" fillId="0" borderId="0" xfId="309" applyNumberFormat="1" applyAlignment="1">
      <alignment horizontal="left"/>
    </xf>
    <xf numFmtId="0" fontId="291" fillId="0" borderId="0" xfId="309" applyFont="1" applyAlignment="1">
      <alignment horizontal="left"/>
    </xf>
    <xf numFmtId="0" fontId="2" fillId="7" borderId="156" xfId="0" applyFont="1" applyFill="1" applyBorder="1"/>
    <xf numFmtId="3" fontId="18" fillId="0" borderId="0" xfId="1438" applyNumberFormat="1" applyFont="1" applyFill="1" applyAlignment="1" applyProtection="1">
      <alignment horizontal="center" vertical="top" wrapText="1"/>
      <protection locked="0"/>
    </xf>
    <xf numFmtId="166" fontId="0" fillId="4" borderId="5" xfId="10" applyNumberFormat="1" applyFont="1" applyFill="1" applyBorder="1" applyAlignment="1">
      <alignment horizontal="center"/>
    </xf>
    <xf numFmtId="166" fontId="0" fillId="4" borderId="2" xfId="10" applyNumberFormat="1" applyFont="1" applyFill="1" applyBorder="1" applyAlignment="1">
      <alignment horizontal="center"/>
    </xf>
    <xf numFmtId="10" fontId="0" fillId="4" borderId="0" xfId="10" applyNumberFormat="1" applyFont="1" applyFill="1" applyBorder="1" applyAlignment="1">
      <alignment horizontal="center"/>
    </xf>
    <xf numFmtId="3" fontId="222" fillId="162" borderId="161" xfId="1438" applyNumberFormat="1" applyFont="1" applyFill="1" applyBorder="1" applyAlignment="1" applyProtection="1">
      <alignment horizontal="center" vertical="top" wrapText="1"/>
      <protection locked="0"/>
    </xf>
    <xf numFmtId="3" fontId="222" fillId="162" borderId="156" xfId="1438" applyNumberFormat="1" applyFont="1" applyFill="1" applyBorder="1" applyAlignment="1" applyProtection="1">
      <alignment horizontal="center" vertical="top" wrapText="1"/>
      <protection locked="0"/>
    </xf>
    <xf numFmtId="0" fontId="2" fillId="7" borderId="31" xfId="0" applyFont="1" applyFill="1" applyBorder="1"/>
    <xf numFmtId="0" fontId="0" fillId="7" borderId="35" xfId="0" applyFill="1" applyBorder="1"/>
    <xf numFmtId="0" fontId="0" fillId="7" borderId="33" xfId="0" applyFill="1" applyBorder="1"/>
    <xf numFmtId="0" fontId="0" fillId="7" borderId="160" xfId="0" applyFill="1" applyBorder="1"/>
    <xf numFmtId="164" fontId="0" fillId="4" borderId="5" xfId="0" applyNumberFormat="1" applyFill="1" applyBorder="1" applyAlignment="1">
      <alignment horizontal="center"/>
    </xf>
    <xf numFmtId="9" fontId="0" fillId="4" borderId="4" xfId="0" applyNumberFormat="1" applyFill="1" applyBorder="1" applyAlignment="1">
      <alignment horizontal="center"/>
    </xf>
    <xf numFmtId="9" fontId="0" fillId="4" borderId="0" xfId="0" applyNumberFormat="1" applyFill="1" applyAlignment="1">
      <alignment horizontal="center"/>
    </xf>
    <xf numFmtId="189" fontId="0" fillId="4" borderId="0" xfId="407" applyNumberFormat="1" applyFont="1" applyFill="1" applyBorder="1"/>
    <xf numFmtId="189" fontId="0" fillId="4" borderId="0" xfId="407" applyNumberFormat="1" applyFont="1" applyFill="1" applyBorder="1" applyAlignment="1">
      <alignment horizontal="center"/>
    </xf>
    <xf numFmtId="164" fontId="0" fillId="4" borderId="161" xfId="0" applyNumberFormat="1" applyFill="1" applyBorder="1" applyAlignment="1">
      <alignment horizontal="center"/>
    </xf>
    <xf numFmtId="164" fontId="0" fillId="4" borderId="156" xfId="0" applyNumberFormat="1" applyFill="1" applyBorder="1" applyAlignment="1">
      <alignment horizontal="center"/>
    </xf>
    <xf numFmtId="9" fontId="0" fillId="4" borderId="156" xfId="0" applyNumberFormat="1" applyFill="1" applyBorder="1" applyAlignment="1">
      <alignment horizontal="center"/>
    </xf>
    <xf numFmtId="189" fontId="0" fillId="4" borderId="156" xfId="407" applyNumberFormat="1" applyFont="1" applyFill="1" applyBorder="1"/>
    <xf numFmtId="189" fontId="0" fillId="4" borderId="156" xfId="407" applyNumberFormat="1" applyFont="1" applyFill="1" applyBorder="1" applyAlignment="1">
      <alignment horizontal="center"/>
    </xf>
    <xf numFmtId="9" fontId="0" fillId="4" borderId="11" xfId="10" applyFont="1" applyFill="1" applyBorder="1" applyAlignment="1">
      <alignment horizontal="center"/>
    </xf>
    <xf numFmtId="9" fontId="0" fillId="4" borderId="10" xfId="10" applyFont="1" applyFill="1" applyBorder="1" applyAlignment="1">
      <alignment horizontal="center"/>
    </xf>
    <xf numFmtId="3" fontId="18" fillId="162" borderId="35" xfId="1315" applyNumberFormat="1" applyFont="1" applyFill="1" applyBorder="1" applyAlignment="1">
      <alignment horizontal="center" vertical="top"/>
    </xf>
    <xf numFmtId="3" fontId="18" fillId="162" borderId="160" xfId="1438" applyNumberFormat="1" applyFont="1" applyFill="1" applyBorder="1" applyAlignment="1" applyProtection="1">
      <alignment horizontal="center" vertical="top" wrapText="1"/>
      <protection locked="0"/>
    </xf>
    <xf numFmtId="167" fontId="189" fillId="4" borderId="4" xfId="309" applyNumberFormat="1" applyFont="1" applyFill="1" applyBorder="1"/>
    <xf numFmtId="3" fontId="18" fillId="154" borderId="5" xfId="1315" applyNumberFormat="1" applyFont="1" applyFill="1" applyBorder="1" applyAlignment="1">
      <alignment horizontal="center" vertical="top"/>
    </xf>
    <xf numFmtId="3" fontId="18" fillId="154" borderId="4" xfId="1315" applyNumberFormat="1" applyFont="1" applyFill="1" applyBorder="1" applyAlignment="1">
      <alignment horizontal="center" vertical="top"/>
    </xf>
    <xf numFmtId="3" fontId="18" fillId="154" borderId="3" xfId="1315" applyNumberFormat="1" applyFont="1" applyFill="1" applyBorder="1" applyAlignment="1">
      <alignment horizontal="center" vertical="top"/>
    </xf>
    <xf numFmtId="164" fontId="0" fillId="4" borderId="5" xfId="0" applyNumberFormat="1" applyFill="1" applyBorder="1"/>
    <xf numFmtId="164" fontId="0" fillId="4" borderId="4" xfId="0" applyNumberFormat="1" applyFill="1" applyBorder="1"/>
    <xf numFmtId="166" fontId="0" fillId="4" borderId="3" xfId="10" applyNumberFormat="1" applyFont="1" applyFill="1" applyBorder="1" applyAlignment="1">
      <alignment horizontal="center"/>
    </xf>
    <xf numFmtId="164" fontId="0" fillId="4" borderId="2" xfId="0" applyNumberFormat="1" applyFill="1" applyBorder="1"/>
    <xf numFmtId="166" fontId="0" fillId="4" borderId="0" xfId="10" applyNumberFormat="1" applyFont="1" applyFill="1" applyBorder="1" applyAlignment="1">
      <alignment horizontal="center"/>
    </xf>
    <xf numFmtId="166" fontId="0" fillId="4" borderId="1" xfId="10" applyNumberFormat="1" applyFont="1" applyFill="1" applyBorder="1" applyAlignment="1">
      <alignment horizontal="center"/>
    </xf>
    <xf numFmtId="164" fontId="0" fillId="4" borderId="161" xfId="0" applyNumberFormat="1" applyFill="1" applyBorder="1"/>
    <xf numFmtId="164" fontId="0" fillId="4" borderId="156" xfId="0" applyNumberFormat="1" applyFill="1" applyBorder="1"/>
    <xf numFmtId="166" fontId="0" fillId="4" borderId="156" xfId="10" applyNumberFormat="1" applyFont="1" applyFill="1" applyBorder="1" applyAlignment="1">
      <alignment horizontal="center"/>
    </xf>
    <xf numFmtId="166" fontId="0" fillId="4" borderId="2" xfId="10" applyNumberFormat="1" applyFont="1" applyFill="1" applyBorder="1" applyAlignment="1">
      <alignment horizontal="left" wrapText="1"/>
    </xf>
    <xf numFmtId="0" fontId="0" fillId="4" borderId="2" xfId="0" applyFill="1" applyBorder="1" applyAlignment="1">
      <alignment wrapText="1"/>
    </xf>
    <xf numFmtId="164" fontId="0" fillId="4" borderId="2" xfId="0" applyNumberFormat="1" applyFill="1" applyBorder="1" applyAlignment="1">
      <alignment horizontal="center" wrapText="1"/>
    </xf>
    <xf numFmtId="168" fontId="0" fillId="4" borderId="0" xfId="0" applyNumberFormat="1" applyFill="1" applyAlignment="1">
      <alignment horizontal="center"/>
    </xf>
    <xf numFmtId="164" fontId="0" fillId="6" borderId="5" xfId="0" applyNumberFormat="1" applyFill="1" applyBorder="1" applyAlignment="1">
      <alignment horizontal="center"/>
    </xf>
    <xf numFmtId="0" fontId="88" fillId="4" borderId="0" xfId="0" applyFont="1" applyFill="1"/>
    <xf numFmtId="164" fontId="0" fillId="4" borderId="0" xfId="0" applyNumberFormat="1" applyFill="1" applyAlignment="1">
      <alignment horizontal="center"/>
    </xf>
    <xf numFmtId="9" fontId="0" fillId="4" borderId="0" xfId="10" applyFont="1" applyFill="1" applyAlignment="1">
      <alignment horizontal="center"/>
    </xf>
    <xf numFmtId="0" fontId="0" fillId="4" borderId="10" xfId="0" applyFill="1" applyBorder="1"/>
    <xf numFmtId="164" fontId="0" fillId="6" borderId="3" xfId="0" applyNumberFormat="1" applyFill="1" applyBorder="1" applyAlignment="1">
      <alignment horizontal="center"/>
    </xf>
    <xf numFmtId="164" fontId="0" fillId="6" borderId="4" xfId="0" applyNumberFormat="1" applyFill="1" applyBorder="1" applyAlignment="1">
      <alignment horizontal="center"/>
    </xf>
    <xf numFmtId="166" fontId="0" fillId="4" borderId="5" xfId="0" applyNumberFormat="1" applyFill="1" applyBorder="1" applyAlignment="1">
      <alignment horizontal="center"/>
    </xf>
    <xf numFmtId="164" fontId="0" fillId="4" borderId="4" xfId="0" applyNumberFormat="1" applyFill="1" applyBorder="1" applyAlignment="1">
      <alignment horizontal="center"/>
    </xf>
    <xf numFmtId="0" fontId="0" fillId="4" borderId="4" xfId="0" applyFill="1" applyBorder="1"/>
    <xf numFmtId="189" fontId="0" fillId="4" borderId="4" xfId="407" applyNumberFormat="1" applyFont="1" applyFill="1" applyBorder="1"/>
    <xf numFmtId="166" fontId="0" fillId="4" borderId="4" xfId="10" applyNumberFormat="1" applyFont="1" applyFill="1" applyBorder="1" applyAlignment="1">
      <alignment horizontal="center"/>
    </xf>
    <xf numFmtId="189" fontId="0" fillId="4" borderId="4" xfId="407" applyNumberFormat="1" applyFont="1" applyFill="1" applyBorder="1" applyAlignment="1">
      <alignment horizontal="center"/>
    </xf>
    <xf numFmtId="0" fontId="0" fillId="4" borderId="2" xfId="0" applyFill="1" applyBorder="1"/>
    <xf numFmtId="164" fontId="0" fillId="4" borderId="2" xfId="0" applyNumberFormat="1" applyFill="1" applyBorder="1" applyAlignment="1">
      <alignment horizontal="center"/>
    </xf>
    <xf numFmtId="0" fontId="0" fillId="4" borderId="35" xfId="0" applyFill="1" applyBorder="1"/>
    <xf numFmtId="0" fontId="0" fillId="4" borderId="33" xfId="0" applyFill="1" applyBorder="1"/>
    <xf numFmtId="0" fontId="0" fillId="4" borderId="33" xfId="0" applyFill="1" applyBorder="1" applyAlignment="1">
      <alignment vertical="center" wrapText="1"/>
    </xf>
    <xf numFmtId="0" fontId="2" fillId="4" borderId="35" xfId="0" applyFont="1" applyFill="1" applyBorder="1"/>
    <xf numFmtId="0" fontId="2" fillId="4" borderId="160" xfId="0" applyFont="1" applyFill="1" applyBorder="1"/>
    <xf numFmtId="0" fontId="0" fillId="4" borderId="156" xfId="0" applyFill="1" applyBorder="1"/>
    <xf numFmtId="3" fontId="18" fillId="125" borderId="4" xfId="1315" applyNumberFormat="1" applyFont="1" applyFill="1" applyBorder="1" applyAlignment="1">
      <alignment horizontal="center" vertical="top"/>
    </xf>
    <xf numFmtId="0" fontId="2" fillId="0" borderId="4" xfId="0" applyFont="1" applyBorder="1"/>
    <xf numFmtId="3" fontId="18" fillId="125" borderId="156" xfId="1438" applyNumberFormat="1" applyFont="1" applyFill="1" applyBorder="1" applyAlignment="1" applyProtection="1">
      <alignment horizontal="center" vertical="top" wrapText="1"/>
      <protection locked="0"/>
    </xf>
    <xf numFmtId="0" fontId="2" fillId="0" borderId="156" xfId="0" applyFont="1" applyBorder="1"/>
    <xf numFmtId="166" fontId="231" fillId="0" borderId="0" xfId="0" applyNumberFormat="1" applyFont="1" applyAlignment="1">
      <alignment horizontal="left"/>
    </xf>
    <xf numFmtId="0" fontId="231" fillId="6" borderId="0" xfId="0" applyFont="1" applyFill="1"/>
    <xf numFmtId="3" fontId="0" fillId="6" borderId="0" xfId="0" applyNumberFormat="1" applyFill="1" applyAlignment="1">
      <alignment vertical="center"/>
    </xf>
    <xf numFmtId="10" fontId="0" fillId="3" borderId="0" xfId="0" applyNumberFormat="1" applyFill="1"/>
    <xf numFmtId="181" fontId="0" fillId="3" borderId="0" xfId="0" applyNumberFormat="1" applyFill="1"/>
    <xf numFmtId="3" fontId="2" fillId="3" borderId="0" xfId="0" applyNumberFormat="1" applyFont="1" applyFill="1" applyAlignment="1">
      <alignment vertical="center"/>
    </xf>
    <xf numFmtId="0" fontId="0" fillId="56" borderId="0" xfId="0" applyFill="1"/>
    <xf numFmtId="0" fontId="2" fillId="7" borderId="4" xfId="0" applyFont="1" applyFill="1" applyBorder="1"/>
    <xf numFmtId="0" fontId="2" fillId="7" borderId="160" xfId="0" applyFont="1" applyFill="1" applyBorder="1"/>
    <xf numFmtId="0" fontId="2" fillId="7" borderId="35" xfId="0" applyFont="1" applyFill="1" applyBorder="1"/>
    <xf numFmtId="0" fontId="88" fillId="4" borderId="33" xfId="0" applyFont="1" applyFill="1" applyBorder="1"/>
    <xf numFmtId="164" fontId="88" fillId="4" borderId="0" xfId="0" applyNumberFormat="1" applyFont="1" applyFill="1" applyAlignment="1">
      <alignment horizontal="center"/>
    </xf>
    <xf numFmtId="164" fontId="88" fillId="4" borderId="2" xfId="0" applyNumberFormat="1" applyFont="1" applyFill="1" applyBorder="1" applyAlignment="1">
      <alignment horizontal="center"/>
    </xf>
    <xf numFmtId="2" fontId="0" fillId="4" borderId="2" xfId="0" applyNumberFormat="1" applyFill="1" applyBorder="1"/>
    <xf numFmtId="2" fontId="0" fillId="4" borderId="4" xfId="0" applyNumberFormat="1" applyFill="1" applyBorder="1"/>
    <xf numFmtId="2" fontId="0" fillId="4" borderId="5" xfId="0" applyNumberFormat="1" applyFill="1" applyBorder="1"/>
    <xf numFmtId="0" fontId="2" fillId="4" borderId="156" xfId="0" applyFont="1" applyFill="1" applyBorder="1"/>
    <xf numFmtId="0" fontId="2" fillId="7" borderId="10" xfId="0" applyFont="1" applyFill="1" applyBorder="1"/>
    <xf numFmtId="0" fontId="2" fillId="7" borderId="11" xfId="0" applyFont="1" applyFill="1" applyBorder="1"/>
    <xf numFmtId="164" fontId="88" fillId="4" borderId="156" xfId="0" applyNumberFormat="1" applyFont="1" applyFill="1" applyBorder="1"/>
    <xf numFmtId="2" fontId="88" fillId="4" borderId="4" xfId="0" applyNumberFormat="1" applyFont="1" applyFill="1" applyBorder="1"/>
    <xf numFmtId="0" fontId="2" fillId="4" borderId="33" xfId="0" applyFont="1" applyFill="1" applyBorder="1"/>
    <xf numFmtId="0" fontId="0" fillId="7" borderId="10" xfId="0" applyFill="1" applyBorder="1"/>
    <xf numFmtId="3" fontId="222" fillId="162" borderId="9" xfId="1438" applyNumberFormat="1" applyFont="1" applyFill="1" applyBorder="1" applyAlignment="1" applyProtection="1">
      <alignment horizontal="center" vertical="top" wrapText="1"/>
      <protection locked="0"/>
    </xf>
    <xf numFmtId="3" fontId="222" fillId="162" borderId="10" xfId="1438" applyNumberFormat="1" applyFont="1" applyFill="1" applyBorder="1" applyAlignment="1" applyProtection="1">
      <alignment horizontal="center" vertical="top" wrapText="1"/>
      <protection locked="0"/>
    </xf>
    <xf numFmtId="3" fontId="222" fillId="162" borderId="11" xfId="1438" applyNumberFormat="1" applyFont="1" applyFill="1" applyBorder="1" applyAlignment="1" applyProtection="1">
      <alignment horizontal="center" vertical="top" wrapText="1"/>
      <protection locked="0"/>
    </xf>
    <xf numFmtId="0" fontId="0" fillId="7" borderId="31" xfId="0" applyFill="1" applyBorder="1"/>
    <xf numFmtId="3" fontId="222" fillId="161" borderId="156" xfId="1438" applyNumberFormat="1" applyFont="1" applyFill="1" applyBorder="1" applyAlignment="1" applyProtection="1">
      <alignment horizontal="center" vertical="top" wrapText="1"/>
      <protection locked="0"/>
    </xf>
    <xf numFmtId="3" fontId="222" fillId="162" borderId="9" xfId="1438" applyNumberFormat="1" applyFont="1" applyFill="1" applyBorder="1" applyAlignment="1" applyProtection="1">
      <alignment horizontal="center" vertical="center" wrapText="1"/>
      <protection locked="0"/>
    </xf>
    <xf numFmtId="3" fontId="222" fillId="162" borderId="10" xfId="1438" applyNumberFormat="1" applyFont="1" applyFill="1" applyBorder="1" applyAlignment="1" applyProtection="1">
      <alignment horizontal="center" vertical="center" wrapText="1"/>
      <protection locked="0"/>
    </xf>
    <xf numFmtId="3" fontId="222" fillId="162" borderId="11" xfId="1438" applyNumberFormat="1" applyFont="1" applyFill="1" applyBorder="1" applyAlignment="1" applyProtection="1">
      <alignment horizontal="center" vertical="center" wrapText="1"/>
      <protection locked="0"/>
    </xf>
    <xf numFmtId="3" fontId="222" fillId="0" borderId="0" xfId="1438" applyNumberFormat="1" applyFont="1" applyFill="1" applyAlignment="1" applyProtection="1">
      <alignment horizontal="center" vertical="top" wrapText="1"/>
      <protection locked="0"/>
    </xf>
    <xf numFmtId="164" fontId="322" fillId="7" borderId="165" xfId="0" applyNumberFormat="1" applyFont="1" applyFill="1" applyBorder="1" applyAlignment="1">
      <alignment horizontal="center"/>
    </xf>
    <xf numFmtId="3" fontId="222" fillId="7" borderId="156" xfId="1438" applyNumberFormat="1" applyFont="1" applyFill="1" applyBorder="1" applyAlignment="1" applyProtection="1">
      <alignment horizontal="center" vertical="top" wrapText="1"/>
      <protection locked="0"/>
    </xf>
    <xf numFmtId="3" fontId="222" fillId="7" borderId="161" xfId="1438" applyNumberFormat="1" applyFont="1" applyFill="1" applyBorder="1" applyAlignment="1" applyProtection="1">
      <alignment horizontal="center" vertical="top" wrapText="1"/>
      <protection locked="0"/>
    </xf>
    <xf numFmtId="164" fontId="322" fillId="7" borderId="166" xfId="0" applyNumberFormat="1" applyFont="1" applyFill="1" applyBorder="1" applyAlignment="1">
      <alignment horizontal="center"/>
    </xf>
    <xf numFmtId="3" fontId="222" fillId="7" borderId="4" xfId="1438" applyNumberFormat="1" applyFont="1" applyFill="1" applyBorder="1" applyAlignment="1" applyProtection="1">
      <alignment horizontal="center" vertical="top" wrapText="1"/>
      <protection locked="0"/>
    </xf>
    <xf numFmtId="3" fontId="222" fillId="7" borderId="4" xfId="1315" applyNumberFormat="1" applyFont="1" applyFill="1" applyBorder="1" applyAlignment="1">
      <alignment horizontal="center" vertical="top"/>
    </xf>
    <xf numFmtId="3" fontId="222" fillId="7" borderId="5" xfId="1315" applyNumberFormat="1" applyFont="1" applyFill="1" applyBorder="1" applyAlignment="1">
      <alignment horizontal="center" vertical="top"/>
    </xf>
    <xf numFmtId="3" fontId="222" fillId="0" borderId="0" xfId="1315" applyNumberFormat="1" applyFont="1" applyAlignment="1">
      <alignment horizontal="center" vertical="top"/>
    </xf>
    <xf numFmtId="164" fontId="322" fillId="0" borderId="166" xfId="0" applyNumberFormat="1" applyFont="1" applyBorder="1" applyAlignment="1">
      <alignment horizontal="center"/>
    </xf>
    <xf numFmtId="3" fontId="222" fillId="162" borderId="4" xfId="1315" applyNumberFormat="1" applyFont="1" applyFill="1" applyBorder="1" applyAlignment="1">
      <alignment horizontal="center" vertical="top"/>
    </xf>
    <xf numFmtId="3" fontId="222" fillId="162" borderId="5" xfId="1315" applyNumberFormat="1" applyFont="1" applyFill="1" applyBorder="1" applyAlignment="1">
      <alignment horizontal="center" vertical="top"/>
    </xf>
    <xf numFmtId="164" fontId="2" fillId="0" borderId="0" xfId="0" applyNumberFormat="1" applyFont="1"/>
    <xf numFmtId="3" fontId="2" fillId="0" borderId="0" xfId="0" applyNumberFormat="1" applyFont="1"/>
    <xf numFmtId="167" fontId="257" fillId="4" borderId="4" xfId="309" applyNumberFormat="1" applyFont="1" applyFill="1" applyBorder="1" applyAlignment="1">
      <alignment horizontal="center" vertical="center"/>
    </xf>
    <xf numFmtId="0" fontId="257" fillId="4" borderId="4" xfId="309" applyFont="1" applyFill="1" applyBorder="1" applyAlignment="1">
      <alignment horizontal="center" vertical="center"/>
    </xf>
    <xf numFmtId="0" fontId="257" fillId="4" borderId="5" xfId="309" applyFont="1" applyFill="1" applyBorder="1" applyAlignment="1">
      <alignment horizontal="center" vertical="center"/>
    </xf>
    <xf numFmtId="3" fontId="222" fillId="155" borderId="162" xfId="1438" applyNumberFormat="1" applyFont="1" applyFill="1" applyBorder="1" applyAlignment="1" applyProtection="1">
      <alignment horizontal="center" vertical="top" wrapText="1"/>
      <protection locked="0"/>
    </xf>
    <xf numFmtId="3" fontId="222" fillId="155" borderId="156" xfId="1438" applyNumberFormat="1" applyFont="1" applyFill="1" applyBorder="1" applyAlignment="1" applyProtection="1">
      <alignment horizontal="center" vertical="top" wrapText="1"/>
      <protection locked="0"/>
    </xf>
    <xf numFmtId="3" fontId="222" fillId="155" borderId="161" xfId="1438" applyNumberFormat="1" applyFont="1" applyFill="1" applyBorder="1" applyAlignment="1" applyProtection="1">
      <alignment horizontal="center" vertical="top" wrapText="1"/>
      <protection locked="0"/>
    </xf>
    <xf numFmtId="3" fontId="222" fillId="154" borderId="3" xfId="1315" applyNumberFormat="1" applyFont="1" applyFill="1" applyBorder="1" applyAlignment="1">
      <alignment horizontal="center" vertical="top"/>
    </xf>
    <xf numFmtId="3" fontId="222" fillId="154" borderId="4" xfId="1315" applyNumberFormat="1" applyFont="1" applyFill="1" applyBorder="1" applyAlignment="1">
      <alignment horizontal="center" vertical="top"/>
    </xf>
    <xf numFmtId="3" fontId="222" fillId="154" borderId="5" xfId="1315" applyNumberFormat="1" applyFont="1" applyFill="1" applyBorder="1" applyAlignment="1">
      <alignment horizontal="center" vertical="top"/>
    </xf>
    <xf numFmtId="166" fontId="88" fillId="4" borderId="1" xfId="10" applyNumberFormat="1" applyFont="1" applyFill="1" applyBorder="1" applyAlignment="1">
      <alignment horizontal="center"/>
    </xf>
    <xf numFmtId="166" fontId="88" fillId="4" borderId="0" xfId="10" applyNumberFormat="1" applyFont="1" applyFill="1" applyBorder="1" applyAlignment="1">
      <alignment horizontal="center"/>
    </xf>
    <xf numFmtId="164" fontId="88" fillId="4" borderId="0" xfId="0" applyNumberFormat="1" applyFont="1" applyFill="1"/>
    <xf numFmtId="164" fontId="88" fillId="4" borderId="2" xfId="0" applyNumberFormat="1" applyFont="1" applyFill="1" applyBorder="1"/>
    <xf numFmtId="3" fontId="222" fillId="162" borderId="162" xfId="1438" applyNumberFormat="1" applyFont="1" applyFill="1" applyBorder="1" applyAlignment="1" applyProtection="1">
      <alignment horizontal="center" vertical="top" wrapText="1"/>
      <protection locked="0"/>
    </xf>
    <xf numFmtId="3" fontId="222" fillId="162" borderId="3" xfId="1315" applyNumberFormat="1" applyFont="1" applyFill="1" applyBorder="1" applyAlignment="1">
      <alignment horizontal="center" vertical="top"/>
    </xf>
    <xf numFmtId="164" fontId="0" fillId="4" borderId="162" xfId="0" applyNumberFormat="1" applyFill="1" applyBorder="1" applyAlignment="1">
      <alignment horizontal="center"/>
    </xf>
    <xf numFmtId="164" fontId="0" fillId="4" borderId="1" xfId="0" applyNumberFormat="1" applyFill="1" applyBorder="1" applyAlignment="1">
      <alignment horizontal="center"/>
    </xf>
    <xf numFmtId="9" fontId="0" fillId="4" borderId="9" xfId="10" applyFont="1" applyFill="1" applyBorder="1" applyAlignment="1">
      <alignment horizontal="center"/>
    </xf>
    <xf numFmtId="189" fontId="0" fillId="0" borderId="0" xfId="407" applyNumberFormat="1" applyFont="1" applyFill="1" applyAlignment="1">
      <alignment horizontal="center"/>
    </xf>
    <xf numFmtId="166" fontId="0" fillId="0" borderId="0" xfId="10" applyNumberFormat="1" applyFont="1" applyFill="1" applyAlignment="1">
      <alignment horizontal="center"/>
    </xf>
    <xf numFmtId="164" fontId="0" fillId="4" borderId="162" xfId="0" applyNumberFormat="1" applyFill="1" applyBorder="1"/>
    <xf numFmtId="2" fontId="0" fillId="4" borderId="1" xfId="0" applyNumberFormat="1" applyFill="1" applyBorder="1"/>
    <xf numFmtId="2" fontId="0" fillId="4" borderId="3" xfId="0" applyNumberFormat="1" applyFill="1" applyBorder="1"/>
    <xf numFmtId="164" fontId="2" fillId="6" borderId="1" xfId="0" applyNumberFormat="1" applyFont="1" applyFill="1" applyBorder="1" applyAlignment="1">
      <alignment vertical="center"/>
    </xf>
    <xf numFmtId="164" fontId="2" fillId="6" borderId="0" xfId="0" applyNumberFormat="1" applyFont="1" applyFill="1" applyAlignment="1">
      <alignment vertical="center"/>
    </xf>
    <xf numFmtId="164" fontId="0" fillId="6" borderId="3" xfId="0" applyNumberFormat="1" applyFill="1" applyBorder="1" applyAlignment="1">
      <alignment vertical="center"/>
    </xf>
    <xf numFmtId="164" fontId="0" fillId="6" borderId="4" xfId="0" applyNumberFormat="1" applyFill="1" applyBorder="1" applyAlignment="1">
      <alignment vertical="center"/>
    </xf>
    <xf numFmtId="164" fontId="2" fillId="6" borderId="4" xfId="0" applyNumberFormat="1" applyFont="1" applyFill="1" applyBorder="1" applyAlignment="1">
      <alignment vertical="center"/>
    </xf>
    <xf numFmtId="164" fontId="0" fillId="6" borderId="5" xfId="0" applyNumberFormat="1" applyFill="1" applyBorder="1" applyAlignment="1">
      <alignment vertical="center"/>
    </xf>
    <xf numFmtId="164" fontId="2" fillId="6" borderId="162" xfId="0" applyNumberFormat="1" applyFont="1" applyFill="1" applyBorder="1" applyAlignment="1">
      <alignment vertical="center"/>
    </xf>
    <xf numFmtId="164" fontId="2" fillId="6" borderId="156" xfId="0" applyNumberFormat="1" applyFont="1" applyFill="1" applyBorder="1" applyAlignment="1">
      <alignment vertical="center"/>
    </xf>
    <xf numFmtId="164" fontId="2" fillId="6" borderId="161" xfId="0" applyNumberFormat="1" applyFont="1" applyFill="1" applyBorder="1" applyAlignment="1">
      <alignment vertical="center"/>
    </xf>
    <xf numFmtId="164" fontId="2" fillId="6" borderId="2" xfId="0" applyNumberFormat="1" applyFont="1" applyFill="1" applyBorder="1" applyAlignment="1">
      <alignment vertical="center"/>
    </xf>
    <xf numFmtId="166" fontId="97" fillId="4" borderId="0" xfId="10" applyNumberFormat="1" applyFont="1" applyFill="1" applyAlignment="1">
      <alignment horizontal="center" wrapText="1"/>
    </xf>
    <xf numFmtId="0" fontId="0" fillId="0" borderId="0" xfId="0" pivotButton="1"/>
    <xf numFmtId="228" fontId="17" fillId="0" borderId="0" xfId="6" applyNumberFormat="1" applyFill="1" applyAlignment="1">
      <alignment horizontal="center"/>
    </xf>
    <xf numFmtId="164" fontId="323" fillId="0" borderId="36" xfId="0" applyNumberFormat="1" applyFont="1" applyBorder="1" applyAlignment="1">
      <alignment horizontal="center"/>
    </xf>
    <xf numFmtId="164" fontId="323" fillId="0" borderId="152" xfId="0" applyNumberFormat="1" applyFont="1" applyBorder="1" applyAlignment="1">
      <alignment horizontal="center"/>
    </xf>
    <xf numFmtId="0" fontId="323" fillId="33" borderId="37" xfId="0" applyFont="1" applyFill="1" applyBorder="1" applyAlignment="1">
      <alignment horizontal="left"/>
    </xf>
    <xf numFmtId="0" fontId="323" fillId="33" borderId="154" xfId="0" applyFont="1" applyFill="1" applyBorder="1" applyAlignment="1">
      <alignment horizontal="left"/>
    </xf>
    <xf numFmtId="229" fontId="0" fillId="0" borderId="0" xfId="407" applyNumberFormat="1" applyFont="1"/>
    <xf numFmtId="228" fontId="17" fillId="0" borderId="0" xfId="6" applyNumberFormat="1" applyAlignment="1">
      <alignment horizontal="center"/>
    </xf>
    <xf numFmtId="167" fontId="323" fillId="0" borderId="36" xfId="0" applyNumberFormat="1" applyFont="1" applyBorder="1" applyAlignment="1">
      <alignment horizontal="center"/>
    </xf>
    <xf numFmtId="0" fontId="0" fillId="4" borderId="1" xfId="0" applyFill="1" applyBorder="1"/>
    <xf numFmtId="166" fontId="88" fillId="4" borderId="81" xfId="0" applyNumberFormat="1" applyFont="1" applyFill="1" applyBorder="1" applyAlignment="1">
      <alignment horizontal="center" vertical="center"/>
    </xf>
    <xf numFmtId="164" fontId="204" fillId="7" borderId="0" xfId="0" applyNumberFormat="1" applyFont="1" applyFill="1" applyAlignment="1">
      <alignment horizontal="center" wrapText="1"/>
    </xf>
    <xf numFmtId="8" fontId="94" fillId="0" borderId="0" xfId="0" applyNumberFormat="1" applyFont="1" applyAlignment="1">
      <alignment horizontal="right" vertical="center" wrapText="1"/>
    </xf>
    <xf numFmtId="165" fontId="0" fillId="57" borderId="0" xfId="407" applyNumberFormat="1" applyFont="1" applyFill="1"/>
    <xf numFmtId="165" fontId="0" fillId="0" borderId="0" xfId="0" applyNumberFormat="1"/>
    <xf numFmtId="0" fontId="6" fillId="0" borderId="0" xfId="2810"/>
    <xf numFmtId="0" fontId="189" fillId="0" borderId="64" xfId="2810" applyFont="1" applyBorder="1"/>
    <xf numFmtId="167" fontId="189" fillId="0" borderId="0" xfId="2810" applyNumberFormat="1" applyFont="1"/>
    <xf numFmtId="2" fontId="189" fillId="0" borderId="7" xfId="2810" applyNumberFormat="1" applyFont="1" applyBorder="1" applyAlignment="1">
      <alignment horizontal="right" vertical="top" wrapText="1"/>
    </xf>
    <xf numFmtId="2" fontId="189" fillId="0" borderId="7" xfId="2810" applyNumberFormat="1" applyFont="1" applyBorder="1" applyAlignment="1">
      <alignment horizontal="right"/>
    </xf>
    <xf numFmtId="167" fontId="189" fillId="0" borderId="0" xfId="2810" applyNumberFormat="1" applyFont="1" applyAlignment="1">
      <alignment horizontal="right"/>
    </xf>
    <xf numFmtId="0" fontId="189" fillId="0" borderId="115" xfId="2810" applyFont="1" applyBorder="1"/>
    <xf numFmtId="2" fontId="189" fillId="0" borderId="8" xfId="2810" applyNumberFormat="1" applyFont="1" applyBorder="1" applyAlignment="1">
      <alignment horizontal="right"/>
    </xf>
    <xf numFmtId="230" fontId="0" fillId="0" borderId="0" xfId="407" applyNumberFormat="1" applyFont="1"/>
    <xf numFmtId="166" fontId="88" fillId="4" borderId="0" xfId="0" applyNumberFormat="1" applyFont="1" applyFill="1" applyAlignment="1">
      <alignment horizontal="center" vertical="center"/>
    </xf>
    <xf numFmtId="43" fontId="0" fillId="0" borderId="0" xfId="407" applyFont="1" applyAlignment="1">
      <alignment horizontal="center"/>
    </xf>
    <xf numFmtId="2" fontId="2" fillId="6" borderId="156" xfId="0" applyNumberFormat="1" applyFont="1" applyFill="1" applyBorder="1" applyAlignment="1">
      <alignment vertical="center"/>
    </xf>
    <xf numFmtId="3" fontId="18" fillId="162" borderId="2" xfId="1315" applyNumberFormat="1" applyFont="1" applyFill="1" applyBorder="1" applyAlignment="1">
      <alignment horizontal="center" vertical="top"/>
    </xf>
    <xf numFmtId="3" fontId="18" fillId="154" borderId="1" xfId="1315" applyNumberFormat="1" applyFont="1" applyFill="1" applyBorder="1" applyAlignment="1">
      <alignment horizontal="center" vertical="top"/>
    </xf>
    <xf numFmtId="3" fontId="18" fillId="154" borderId="2" xfId="1315" applyNumberFormat="1" applyFont="1" applyFill="1" applyBorder="1" applyAlignment="1">
      <alignment horizontal="center" vertical="top"/>
    </xf>
    <xf numFmtId="3" fontId="18" fillId="0" borderId="0" xfId="1315" applyNumberFormat="1" applyFont="1" applyAlignment="1">
      <alignment horizontal="center" vertical="top"/>
    </xf>
    <xf numFmtId="164" fontId="0" fillId="6" borderId="0" xfId="0" applyNumberFormat="1" applyFill="1" applyAlignment="1">
      <alignment horizontal="center"/>
    </xf>
    <xf numFmtId="0" fontId="18" fillId="163" borderId="76" xfId="0" applyFont="1" applyFill="1" applyBorder="1" applyAlignment="1">
      <alignment horizontal="center" vertical="center"/>
    </xf>
    <xf numFmtId="166" fontId="88" fillId="163" borderId="81" xfId="0" applyNumberFormat="1" applyFont="1" applyFill="1" applyBorder="1" applyAlignment="1">
      <alignment horizontal="center" vertical="center"/>
    </xf>
    <xf numFmtId="230" fontId="0" fillId="0" borderId="0" xfId="0" applyNumberFormat="1"/>
    <xf numFmtId="10" fontId="222" fillId="0" borderId="0" xfId="10" applyNumberFormat="1" applyFont="1" applyFill="1" applyAlignment="1" applyProtection="1">
      <alignment horizontal="center" vertical="top" wrapText="1"/>
      <protection locked="0"/>
    </xf>
    <xf numFmtId="10" fontId="317" fillId="4" borderId="0" xfId="10" applyNumberFormat="1" applyFont="1" applyFill="1"/>
    <xf numFmtId="10" fontId="152" fillId="4" borderId="0" xfId="10" applyNumberFormat="1" applyFont="1" applyFill="1"/>
    <xf numFmtId="2" fontId="0" fillId="57" borderId="0" xfId="0" applyNumberFormat="1" applyFill="1"/>
    <xf numFmtId="0" fontId="325" fillId="164" borderId="0" xfId="0" applyFont="1" applyFill="1" applyAlignment="1">
      <alignment horizontal="right" vertical="center"/>
    </xf>
    <xf numFmtId="0" fontId="257" fillId="164" borderId="0" xfId="0" applyFont="1" applyFill="1" applyAlignment="1">
      <alignment horizontal="right" vertical="center"/>
    </xf>
    <xf numFmtId="0" fontId="326" fillId="0" borderId="0" xfId="2811" applyFont="1" applyAlignment="1">
      <alignment horizontal="center" vertical="center" wrapText="1"/>
    </xf>
    <xf numFmtId="0" fontId="327" fillId="0" borderId="0" xfId="309" applyFont="1"/>
    <xf numFmtId="0" fontId="328" fillId="0" borderId="0" xfId="309" applyFont="1"/>
    <xf numFmtId="0" fontId="323" fillId="4" borderId="167" xfId="309" applyFont="1" applyFill="1" applyBorder="1"/>
    <xf numFmtId="0" fontId="327" fillId="4" borderId="96" xfId="309" applyFont="1" applyFill="1" applyBorder="1"/>
    <xf numFmtId="0" fontId="6" fillId="4" borderId="96" xfId="309" applyFill="1" applyBorder="1"/>
    <xf numFmtId="0" fontId="323" fillId="56" borderId="168" xfId="309" applyFont="1" applyFill="1" applyBorder="1"/>
    <xf numFmtId="0" fontId="327" fillId="56" borderId="100" xfId="309" applyFont="1" applyFill="1" applyBorder="1"/>
    <xf numFmtId="0" fontId="327" fillId="123" borderId="104" xfId="309" applyFont="1" applyFill="1" applyBorder="1" applyAlignment="1">
      <alignment horizontal="center" vertical="center"/>
    </xf>
    <xf numFmtId="0" fontId="327" fillId="123" borderId="0" xfId="309" applyFont="1" applyFill="1" applyAlignment="1">
      <alignment vertical="center"/>
    </xf>
    <xf numFmtId="0" fontId="327" fillId="56" borderId="168" xfId="309" applyFont="1" applyFill="1" applyBorder="1"/>
    <xf numFmtId="0" fontId="327" fillId="56" borderId="0" xfId="309" applyFont="1" applyFill="1" applyAlignment="1">
      <alignment horizontal="center" vertical="center"/>
    </xf>
    <xf numFmtId="0" fontId="327" fillId="56" borderId="0" xfId="309" applyFont="1" applyFill="1" applyAlignment="1">
      <alignment horizontal="right" vertical="center"/>
    </xf>
    <xf numFmtId="0" fontId="327" fillId="56" borderId="0" xfId="309" applyFont="1" applyFill="1" applyAlignment="1">
      <alignment horizontal="center" vertical="center" wrapText="1"/>
    </xf>
    <xf numFmtId="181" fontId="323" fillId="4" borderId="0" xfId="309" applyNumberFormat="1" applyFont="1" applyFill="1"/>
    <xf numFmtId="164" fontId="327" fillId="4" borderId="0" xfId="309" applyNumberFormat="1" applyFont="1" applyFill="1" applyAlignment="1">
      <alignment horizontal="right" vertical="center"/>
    </xf>
    <xf numFmtId="164" fontId="323" fillId="4" borderId="0" xfId="309" applyNumberFormat="1" applyFont="1" applyFill="1" applyAlignment="1">
      <alignment horizontal="right" vertical="center"/>
    </xf>
    <xf numFmtId="164" fontId="327" fillId="4" borderId="0" xfId="10" applyNumberFormat="1" applyFont="1" applyFill="1" applyBorder="1" applyAlignment="1">
      <alignment horizontal="right" vertical="center"/>
    </xf>
    <xf numFmtId="181" fontId="129" fillId="4" borderId="0" xfId="309" applyNumberFormat="1" applyFont="1" applyFill="1"/>
    <xf numFmtId="0" fontId="323" fillId="4" borderId="0" xfId="309" applyFont="1" applyFill="1"/>
    <xf numFmtId="182" fontId="323" fillId="4" borderId="0" xfId="309" applyNumberFormat="1" applyFont="1" applyFill="1"/>
    <xf numFmtId="181" fontId="93" fillId="165" borderId="0" xfId="309" applyNumberFormat="1" applyFont="1" applyFill="1" applyAlignment="1">
      <alignment wrapText="1"/>
    </xf>
    <xf numFmtId="181" fontId="93" fillId="165" borderId="0" xfId="309" applyNumberFormat="1" applyFont="1" applyFill="1"/>
    <xf numFmtId="164" fontId="327" fillId="57" borderId="0" xfId="309" applyNumberFormat="1" applyFont="1" applyFill="1" applyAlignment="1">
      <alignment horizontal="right" vertical="center"/>
    </xf>
    <xf numFmtId="164" fontId="327" fillId="4" borderId="172" xfId="309" applyNumberFormat="1" applyFont="1" applyFill="1" applyBorder="1" applyAlignment="1">
      <alignment horizontal="right" vertical="center"/>
    </xf>
    <xf numFmtId="164" fontId="327" fillId="4" borderId="0" xfId="309" applyNumberFormat="1" applyFont="1" applyFill="1" applyAlignment="1">
      <alignment horizontal="left" vertical="top"/>
    </xf>
    <xf numFmtId="164" fontId="323" fillId="0" borderId="0" xfId="309" applyNumberFormat="1" applyFont="1" applyAlignment="1">
      <alignment horizontal="right" vertical="center"/>
    </xf>
    <xf numFmtId="164" fontId="327" fillId="4" borderId="0" xfId="309" applyNumberFormat="1" applyFont="1" applyFill="1" applyAlignment="1">
      <alignment horizontal="right" vertical="top"/>
    </xf>
    <xf numFmtId="164" fontId="329" fillId="4" borderId="170" xfId="309" applyNumberFormat="1" applyFont="1" applyFill="1" applyBorder="1" applyAlignment="1">
      <alignment horizontal="left" vertical="top"/>
    </xf>
    <xf numFmtId="164" fontId="329" fillId="4" borderId="170" xfId="309" applyNumberFormat="1" applyFont="1" applyFill="1" applyBorder="1" applyAlignment="1">
      <alignment horizontal="right" vertical="center"/>
    </xf>
    <xf numFmtId="164" fontId="330" fillId="4" borderId="170" xfId="309" applyNumberFormat="1" applyFont="1" applyFill="1" applyBorder="1" applyAlignment="1">
      <alignment horizontal="right" vertical="center"/>
    </xf>
    <xf numFmtId="164" fontId="329" fillId="4" borderId="170" xfId="309" applyNumberFormat="1" applyFont="1" applyFill="1" applyBorder="1" applyAlignment="1">
      <alignment horizontal="right" vertical="top"/>
    </xf>
    <xf numFmtId="164" fontId="329" fillId="4" borderId="171" xfId="309" applyNumberFormat="1" applyFont="1" applyFill="1" applyBorder="1" applyAlignment="1">
      <alignment horizontal="right" vertical="center"/>
    </xf>
    <xf numFmtId="0" fontId="327" fillId="0" borderId="0" xfId="309" applyFont="1" applyAlignment="1">
      <alignment wrapText="1"/>
    </xf>
    <xf numFmtId="164" fontId="323" fillId="4" borderId="0" xfId="309" applyNumberFormat="1" applyFont="1" applyFill="1"/>
    <xf numFmtId="164" fontId="323" fillId="4" borderId="0" xfId="10" applyNumberFormat="1" applyFont="1" applyFill="1"/>
    <xf numFmtId="164" fontId="327" fillId="119" borderId="0" xfId="309" applyNumberFormat="1" applyFont="1" applyFill="1" applyAlignment="1">
      <alignment horizontal="right" vertical="center"/>
    </xf>
    <xf numFmtId="233" fontId="0" fillId="0" borderId="0" xfId="0" applyNumberFormat="1"/>
    <xf numFmtId="166" fontId="0" fillId="57" borderId="0" xfId="10" applyNumberFormat="1" applyFont="1" applyFill="1"/>
    <xf numFmtId="230" fontId="0" fillId="57" borderId="0" xfId="407" applyNumberFormat="1" applyFont="1" applyFill="1"/>
    <xf numFmtId="164" fontId="332" fillId="4" borderId="36" xfId="0" applyNumberFormat="1" applyFont="1" applyFill="1" applyBorder="1" applyAlignment="1">
      <alignment horizontal="center"/>
    </xf>
    <xf numFmtId="231" fontId="88" fillId="0" borderId="0" xfId="407" applyNumberFormat="1" applyFont="1" applyAlignment="1">
      <alignment horizontal="center"/>
    </xf>
    <xf numFmtId="0" fontId="88" fillId="4" borderId="35" xfId="0" applyFont="1" applyFill="1" applyBorder="1"/>
    <xf numFmtId="164" fontId="88" fillId="4" borderId="4" xfId="0" applyNumberFormat="1" applyFont="1" applyFill="1" applyBorder="1" applyAlignment="1">
      <alignment horizontal="center"/>
    </xf>
    <xf numFmtId="164" fontId="88" fillId="4" borderId="5" xfId="0" applyNumberFormat="1" applyFont="1" applyFill="1" applyBorder="1" applyAlignment="1">
      <alignment horizontal="center"/>
    </xf>
    <xf numFmtId="229" fontId="88" fillId="0" borderId="0" xfId="407" applyNumberFormat="1" applyFont="1" applyAlignment="1">
      <alignment horizontal="center"/>
    </xf>
    <xf numFmtId="166" fontId="88" fillId="4" borderId="3" xfId="10" applyNumberFormat="1" applyFont="1" applyFill="1" applyBorder="1" applyAlignment="1">
      <alignment horizontal="center"/>
    </xf>
    <xf numFmtId="166" fontId="88" fillId="4" borderId="4" xfId="10" applyNumberFormat="1" applyFont="1" applyFill="1" applyBorder="1" applyAlignment="1">
      <alignment horizontal="center"/>
    </xf>
    <xf numFmtId="164" fontId="88" fillId="4" borderId="4" xfId="0" applyNumberFormat="1" applyFont="1" applyFill="1" applyBorder="1"/>
    <xf numFmtId="164" fontId="88" fillId="4" borderId="5" xfId="0" applyNumberFormat="1" applyFont="1" applyFill="1" applyBorder="1"/>
    <xf numFmtId="0" fontId="88" fillId="4" borderId="33" xfId="0" applyFont="1" applyFill="1" applyBorder="1" applyAlignment="1">
      <alignment vertical="center" wrapText="1"/>
    </xf>
    <xf numFmtId="0" fontId="88" fillId="4" borderId="0" xfId="0" applyFont="1" applyFill="1" applyAlignment="1">
      <alignment vertical="center" wrapText="1"/>
    </xf>
    <xf numFmtId="230" fontId="88" fillId="0" borderId="0" xfId="407" applyNumberFormat="1" applyFont="1"/>
    <xf numFmtId="223" fontId="88" fillId="0" borderId="0" xfId="10" applyNumberFormat="1" applyFont="1"/>
    <xf numFmtId="232" fontId="88" fillId="0" borderId="0" xfId="407" applyNumberFormat="1" applyFont="1" applyAlignment="1">
      <alignment horizontal="center"/>
    </xf>
    <xf numFmtId="230" fontId="88" fillId="0" borderId="0" xfId="407" applyNumberFormat="1" applyFont="1" applyAlignment="1">
      <alignment horizontal="center"/>
    </xf>
    <xf numFmtId="230" fontId="2" fillId="0" borderId="0" xfId="0" applyNumberFormat="1" applyFont="1"/>
    <xf numFmtId="189" fontId="152" fillId="4" borderId="0" xfId="407" applyNumberFormat="1" applyFont="1" applyFill="1"/>
    <xf numFmtId="189" fontId="317" fillId="4" borderId="0" xfId="407" applyNumberFormat="1" applyFont="1" applyFill="1"/>
    <xf numFmtId="2" fontId="0" fillId="4" borderId="156" xfId="0" applyNumberFormat="1" applyFill="1" applyBorder="1" applyAlignment="1">
      <alignment horizontal="center"/>
    </xf>
    <xf numFmtId="2" fontId="0" fillId="4" borderId="0" xfId="0" applyNumberFormat="1" applyFill="1" applyAlignment="1">
      <alignment horizontal="center"/>
    </xf>
    <xf numFmtId="2" fontId="0" fillId="0" borderId="0" xfId="0" applyNumberFormat="1" applyAlignment="1">
      <alignment horizontal="left"/>
    </xf>
    <xf numFmtId="234" fontId="0" fillId="0" borderId="0" xfId="0" applyNumberFormat="1"/>
    <xf numFmtId="167" fontId="0" fillId="4" borderId="0" xfId="0" applyNumberFormat="1" applyFill="1" applyAlignment="1">
      <alignment horizontal="center"/>
    </xf>
    <xf numFmtId="232" fontId="2" fillId="0" borderId="0" xfId="407" applyNumberFormat="1" applyFont="1"/>
    <xf numFmtId="0" fontId="0" fillId="57" borderId="33" xfId="0" applyFill="1" applyBorder="1"/>
    <xf numFmtId="164" fontId="0" fillId="57" borderId="0" xfId="0" applyNumberFormat="1" applyFill="1" applyAlignment="1">
      <alignment horizontal="center"/>
    </xf>
    <xf numFmtId="164" fontId="2" fillId="57" borderId="1" xfId="0" applyNumberFormat="1" applyFont="1" applyFill="1" applyBorder="1" applyAlignment="1">
      <alignment vertical="center"/>
    </xf>
    <xf numFmtId="164" fontId="2" fillId="57" borderId="0" xfId="0" applyNumberFormat="1" applyFont="1" applyFill="1" applyAlignment="1">
      <alignment vertical="center"/>
    </xf>
    <xf numFmtId="166" fontId="0" fillId="57" borderId="2" xfId="10" applyNumberFormat="1" applyFont="1" applyFill="1" applyBorder="1" applyAlignment="1">
      <alignment horizontal="left" wrapText="1"/>
    </xf>
    <xf numFmtId="10" fontId="0" fillId="57" borderId="0" xfId="10" applyNumberFormat="1" applyFont="1" applyFill="1"/>
    <xf numFmtId="166" fontId="0" fillId="57" borderId="1" xfId="10" applyNumberFormat="1" applyFont="1" applyFill="1" applyBorder="1" applyAlignment="1">
      <alignment horizontal="center"/>
    </xf>
    <xf numFmtId="166" fontId="0" fillId="57" borderId="0" xfId="10" applyNumberFormat="1" applyFont="1" applyFill="1" applyBorder="1" applyAlignment="1">
      <alignment horizontal="center"/>
    </xf>
    <xf numFmtId="164" fontId="0" fillId="57" borderId="2" xfId="0" applyNumberFormat="1" applyFill="1" applyBorder="1"/>
    <xf numFmtId="0" fontId="0" fillId="57" borderId="0" xfId="0" applyFill="1" applyAlignment="1">
      <alignment horizontal="center"/>
    </xf>
    <xf numFmtId="43" fontId="0" fillId="0" borderId="0" xfId="10" applyNumberFormat="1" applyFont="1"/>
    <xf numFmtId="2" fontId="0" fillId="0" borderId="0" xfId="0" applyNumberFormat="1" applyAlignment="1">
      <alignment horizontal="center"/>
    </xf>
    <xf numFmtId="230" fontId="5" fillId="0" borderId="0" xfId="407" applyNumberFormat="1" applyFont="1"/>
    <xf numFmtId="168" fontId="97" fillId="4" borderId="0" xfId="0" applyNumberFormat="1" applyFont="1" applyFill="1" applyAlignment="1">
      <alignment horizontal="center" wrapText="1"/>
    </xf>
    <xf numFmtId="228" fontId="97" fillId="4" borderId="0" xfId="0" applyNumberFormat="1" applyFont="1" applyFill="1" applyAlignment="1">
      <alignment horizontal="center" wrapText="1"/>
    </xf>
    <xf numFmtId="167" fontId="204" fillId="4" borderId="0" xfId="0" applyNumberFormat="1" applyFont="1" applyFill="1" applyAlignment="1">
      <alignment horizontal="center" wrapText="1"/>
    </xf>
    <xf numFmtId="0" fontId="2" fillId="5" borderId="175" xfId="0" applyFont="1" applyFill="1" applyBorder="1"/>
    <xf numFmtId="0" fontId="0" fillId="5" borderId="175" xfId="0" applyFill="1" applyBorder="1"/>
    <xf numFmtId="0" fontId="2" fillId="4" borderId="176" xfId="0" applyFont="1" applyFill="1" applyBorder="1"/>
    <xf numFmtId="0" fontId="0" fillId="4" borderId="177" xfId="0" applyFill="1" applyBorder="1"/>
    <xf numFmtId="0" fontId="0" fillId="4" borderId="178" xfId="0" applyFill="1" applyBorder="1"/>
    <xf numFmtId="10" fontId="129" fillId="0" borderId="36" xfId="10" applyNumberFormat="1" applyFont="1" applyBorder="1" applyAlignment="1">
      <alignment horizontal="center"/>
    </xf>
    <xf numFmtId="164" fontId="129" fillId="0" borderId="165" xfId="0" applyNumberFormat="1" applyFont="1" applyBorder="1" applyAlignment="1">
      <alignment horizontal="center"/>
    </xf>
    <xf numFmtId="164" fontId="129" fillId="4" borderId="36" xfId="0" applyNumberFormat="1" applyFont="1" applyFill="1" applyBorder="1" applyAlignment="1">
      <alignment horizontal="center"/>
    </xf>
    <xf numFmtId="0" fontId="0" fillId="0" borderId="175" xfId="0" applyBorder="1"/>
    <xf numFmtId="164" fontId="0" fillId="0" borderId="175" xfId="0" applyNumberFormat="1" applyBorder="1"/>
    <xf numFmtId="166" fontId="0" fillId="0" borderId="175" xfId="10" applyNumberFormat="1" applyFont="1" applyBorder="1"/>
    <xf numFmtId="0" fontId="0" fillId="0" borderId="175" xfId="0" applyBorder="1" applyAlignment="1">
      <alignment vertical="center" wrapText="1"/>
    </xf>
    <xf numFmtId="164" fontId="0" fillId="0" borderId="175" xfId="0" applyNumberFormat="1" applyBorder="1" applyAlignment="1">
      <alignment horizontal="center"/>
    </xf>
    <xf numFmtId="0" fontId="2" fillId="0" borderId="175" xfId="0" applyFont="1" applyBorder="1"/>
    <xf numFmtId="164" fontId="2" fillId="0" borderId="175" xfId="0" applyNumberFormat="1" applyFont="1" applyBorder="1"/>
    <xf numFmtId="166" fontId="2" fillId="0" borderId="175" xfId="10" applyNumberFormat="1" applyFont="1" applyBorder="1"/>
    <xf numFmtId="3" fontId="189" fillId="0" borderId="182" xfId="309" applyNumberFormat="1" applyFont="1" applyBorder="1" applyAlignment="1">
      <alignment horizontal="centerContinuous"/>
    </xf>
    <xf numFmtId="0" fontId="189" fillId="0" borderId="176" xfId="309" applyFont="1" applyBorder="1" applyAlignment="1">
      <alignment horizontal="left"/>
    </xf>
    <xf numFmtId="3" fontId="189" fillId="0" borderId="178" xfId="309" applyNumberFormat="1" applyFont="1" applyBorder="1" applyAlignment="1">
      <alignment horizontal="centerContinuous"/>
    </xf>
    <xf numFmtId="3" fontId="189" fillId="0" borderId="175" xfId="309" applyNumberFormat="1" applyFont="1" applyBorder="1" applyAlignment="1">
      <alignment horizontal="left" vertical="top" wrapText="1"/>
    </xf>
    <xf numFmtId="3" fontId="189" fillId="0" borderId="182" xfId="2717" applyNumberFormat="1" applyFont="1" applyBorder="1" applyAlignment="1">
      <alignment horizontal="centerContinuous"/>
    </xf>
    <xf numFmtId="0" fontId="189" fillId="0" borderId="176" xfId="2717" applyFont="1" applyBorder="1" applyAlignment="1">
      <alignment horizontal="left"/>
    </xf>
    <xf numFmtId="3" fontId="189" fillId="0" borderId="178" xfId="2717" applyNumberFormat="1" applyFont="1" applyBorder="1" applyAlignment="1">
      <alignment horizontal="centerContinuous"/>
    </xf>
    <xf numFmtId="3" fontId="189" fillId="0" borderId="175" xfId="2717" applyNumberFormat="1" applyFont="1" applyBorder="1" applyAlignment="1">
      <alignment horizontal="left" vertical="top" wrapText="1"/>
    </xf>
    <xf numFmtId="166" fontId="317" fillId="4" borderId="0" xfId="10" applyNumberFormat="1" applyFont="1" applyFill="1"/>
    <xf numFmtId="0" fontId="102" fillId="4" borderId="175" xfId="171" applyFont="1" applyFill="1" applyBorder="1" applyAlignment="1">
      <alignment horizontal="center" vertical="center"/>
    </xf>
    <xf numFmtId="0" fontId="95" fillId="0" borderId="175" xfId="7" applyFont="1" applyBorder="1" applyAlignment="1">
      <alignment horizontal="center" vertical="center"/>
    </xf>
    <xf numFmtId="0" fontId="95" fillId="0" borderId="182" xfId="7" applyFont="1" applyBorder="1" applyAlignment="1">
      <alignment horizontal="center" vertical="center"/>
    </xf>
    <xf numFmtId="164" fontId="98" fillId="4" borderId="182" xfId="11" applyNumberFormat="1" applyFont="1" applyFill="1" applyBorder="1" applyAlignment="1">
      <alignment horizontal="center" vertical="center"/>
    </xf>
    <xf numFmtId="3" fontId="200" fillId="33" borderId="183" xfId="1181" applyNumberFormat="1" applyFont="1" applyFill="1" applyBorder="1" applyAlignment="1">
      <alignment horizontal="center"/>
    </xf>
    <xf numFmtId="3" fontId="200" fillId="111" borderId="183" xfId="1154" applyNumberFormat="1" applyFont="1" applyFill="1" applyBorder="1" applyAlignment="1">
      <alignment horizontal="center"/>
    </xf>
    <xf numFmtId="3" fontId="73" fillId="111" borderId="183" xfId="1049" applyNumberFormat="1" applyFont="1" applyFill="1" applyBorder="1" applyAlignment="1">
      <alignment horizontal="center"/>
    </xf>
    <xf numFmtId="3" fontId="200" fillId="33" borderId="183" xfId="1160" applyNumberFormat="1" applyFont="1" applyFill="1" applyBorder="1" applyAlignment="1">
      <alignment horizontal="center"/>
    </xf>
    <xf numFmtId="3" fontId="73" fillId="0" borderId="183" xfId="1049" applyNumberFormat="1" applyFont="1" applyBorder="1" applyAlignment="1">
      <alignment horizontal="center"/>
    </xf>
    <xf numFmtId="0" fontId="2" fillId="117" borderId="177" xfId="0" applyFont="1" applyFill="1" applyBorder="1"/>
    <xf numFmtId="167" fontId="2" fillId="117" borderId="177" xfId="0" applyNumberFormat="1" applyFont="1" applyFill="1" applyBorder="1" applyAlignment="1">
      <alignment horizontal="center"/>
    </xf>
    <xf numFmtId="167" fontId="2" fillId="105" borderId="177" xfId="0" applyNumberFormat="1" applyFont="1" applyFill="1" applyBorder="1" applyAlignment="1">
      <alignment horizontal="center"/>
    </xf>
    <xf numFmtId="0" fontId="2" fillId="57" borderId="176" xfId="0" applyFont="1" applyFill="1" applyBorder="1"/>
    <xf numFmtId="0" fontId="0" fillId="57" borderId="177" xfId="0" applyFill="1" applyBorder="1"/>
    <xf numFmtId="0" fontId="0" fillId="57" borderId="178" xfId="0" applyFill="1" applyBorder="1"/>
    <xf numFmtId="0" fontId="0" fillId="0" borderId="177" xfId="0" applyBorder="1"/>
    <xf numFmtId="0" fontId="0" fillId="0" borderId="178" xfId="0" applyBorder="1"/>
    <xf numFmtId="0" fontId="2" fillId="0" borderId="176" xfId="0" applyFont="1" applyBorder="1"/>
    <xf numFmtId="2" fontId="0" fillId="0" borderId="177" xfId="0" applyNumberFormat="1" applyBorder="1"/>
    <xf numFmtId="0" fontId="2" fillId="57" borderId="176" xfId="0" applyFont="1" applyFill="1" applyBorder="1" applyAlignment="1">
      <alignment wrapText="1"/>
    </xf>
    <xf numFmtId="0" fontId="2" fillId="0" borderId="180" xfId="0" applyFont="1" applyBorder="1"/>
    <xf numFmtId="0" fontId="130" fillId="122" borderId="184" xfId="0" applyFont="1" applyFill="1" applyBorder="1" applyAlignment="1">
      <alignment horizontal="center" vertical="center"/>
    </xf>
    <xf numFmtId="3" fontId="241" fillId="37" borderId="185" xfId="1315" applyNumberFormat="1" applyFont="1" applyFill="1" applyBorder="1" applyAlignment="1">
      <alignment horizontal="right" vertical="center" wrapText="1"/>
    </xf>
    <xf numFmtId="3" fontId="36" fillId="0" borderId="185" xfId="1304" applyNumberFormat="1" applyFont="1" applyBorder="1" applyAlignment="1">
      <alignment horizontal="right" vertical="center"/>
    </xf>
    <xf numFmtId="3" fontId="36" fillId="37" borderId="186" xfId="1304" applyNumberFormat="1" applyFont="1" applyFill="1" applyBorder="1" applyAlignment="1">
      <alignment horizontal="right" vertical="center" wrapText="1"/>
    </xf>
    <xf numFmtId="3" fontId="241" fillId="37" borderId="187" xfId="1315" applyNumberFormat="1" applyFont="1" applyFill="1" applyBorder="1" applyAlignment="1">
      <alignment horizontal="right" vertical="center" wrapText="1"/>
    </xf>
    <xf numFmtId="3" fontId="36" fillId="0" borderId="186" xfId="1304" applyNumberFormat="1" applyFont="1" applyBorder="1" applyAlignment="1">
      <alignment horizontal="right" vertical="center"/>
    </xf>
    <xf numFmtId="0" fontId="40" fillId="0" borderId="180" xfId="1" applyFont="1" applyBorder="1" applyAlignment="1">
      <alignment wrapText="1"/>
    </xf>
    <xf numFmtId="0" fontId="36" fillId="0" borderId="180" xfId="1" applyFont="1" applyBorder="1" applyAlignment="1">
      <alignment horizontal="right" wrapText="1"/>
    </xf>
    <xf numFmtId="0" fontId="40" fillId="0" borderId="180" xfId="1" applyFont="1" applyBorder="1" applyAlignment="1">
      <alignment horizontal="right" wrapText="1"/>
    </xf>
    <xf numFmtId="3" fontId="18" fillId="155" borderId="0" xfId="1438" applyNumberFormat="1" applyFont="1" applyFill="1" applyAlignment="1" applyProtection="1">
      <alignment horizontal="center" vertical="top" wrapText="1"/>
      <protection locked="0"/>
    </xf>
    <xf numFmtId="3" fontId="222" fillId="152" borderId="0" xfId="1438" applyNumberFormat="1" applyFont="1" applyFill="1" applyAlignment="1" applyProtection="1">
      <alignment horizontal="center" vertical="top" wrapText="1"/>
      <protection locked="0"/>
    </xf>
    <xf numFmtId="0" fontId="2" fillId="55" borderId="30" xfId="0" applyFont="1" applyFill="1" applyBorder="1" applyAlignment="1">
      <alignment horizontal="center" vertical="center"/>
    </xf>
    <xf numFmtId="0" fontId="238" fillId="5" borderId="0" xfId="0" applyFont="1" applyFill="1" applyAlignment="1">
      <alignment horizontal="left" wrapText="1"/>
    </xf>
    <xf numFmtId="0" fontId="11" fillId="5" borderId="0" xfId="0" applyFont="1" applyFill="1" applyAlignment="1">
      <alignment horizontal="left" wrapText="1"/>
    </xf>
    <xf numFmtId="0" fontId="2" fillId="7" borderId="160" xfId="0" applyFont="1" applyFill="1" applyBorder="1" applyAlignment="1">
      <alignment horizontal="center" vertical="center"/>
    </xf>
    <xf numFmtId="0" fontId="2" fillId="7" borderId="35" xfId="0" applyFont="1" applyFill="1" applyBorder="1" applyAlignment="1">
      <alignment horizontal="center" vertical="center"/>
    </xf>
    <xf numFmtId="3" fontId="18" fillId="155" borderId="162" xfId="1438" applyNumberFormat="1" applyFont="1" applyFill="1" applyBorder="1" applyAlignment="1" applyProtection="1">
      <alignment horizontal="center" vertical="top" wrapText="1"/>
      <protection locked="0"/>
    </xf>
    <xf numFmtId="3" fontId="18" fillId="155" borderId="156" xfId="1438" applyNumberFormat="1" applyFont="1" applyFill="1" applyBorder="1" applyAlignment="1" applyProtection="1">
      <alignment horizontal="center" vertical="top" wrapText="1"/>
      <protection locked="0"/>
    </xf>
    <xf numFmtId="3" fontId="18" fillId="155" borderId="161" xfId="1438" applyNumberFormat="1" applyFont="1" applyFill="1" applyBorder="1" applyAlignment="1" applyProtection="1">
      <alignment horizontal="center" vertical="top" wrapText="1"/>
      <protection locked="0"/>
    </xf>
    <xf numFmtId="3" fontId="222" fillId="162" borderId="156" xfId="1438" applyNumberFormat="1" applyFont="1" applyFill="1" applyBorder="1" applyAlignment="1" applyProtection="1">
      <alignment horizontal="center" vertical="top" wrapText="1"/>
      <protection locked="0"/>
    </xf>
    <xf numFmtId="3" fontId="222" fillId="162" borderId="161" xfId="1438" applyNumberFormat="1" applyFont="1" applyFill="1" applyBorder="1" applyAlignment="1" applyProtection="1">
      <alignment horizontal="center" vertical="top" wrapText="1"/>
      <protection locked="0"/>
    </xf>
    <xf numFmtId="3" fontId="18" fillId="155" borderId="0" xfId="1438" applyNumberFormat="1" applyFont="1" applyFill="1" applyAlignment="1" applyProtection="1">
      <alignment horizontal="center" vertical="top" wrapText="1"/>
      <protection locked="0"/>
    </xf>
    <xf numFmtId="3" fontId="222" fillId="152" borderId="0" xfId="1438" applyNumberFormat="1" applyFont="1" applyFill="1" applyAlignment="1" applyProtection="1">
      <alignment horizontal="center" vertical="top" wrapText="1"/>
      <protection locked="0"/>
    </xf>
    <xf numFmtId="0" fontId="2" fillId="0" borderId="175" xfId="0" applyFont="1" applyBorder="1" applyAlignment="1">
      <alignment horizontal="center"/>
    </xf>
    <xf numFmtId="0" fontId="0" fillId="0" borderId="175" xfId="0" applyBorder="1" applyAlignment="1">
      <alignment horizontal="left" vertical="center"/>
    </xf>
    <xf numFmtId="0" fontId="295" fillId="0" borderId="0" xfId="9" applyFont="1" applyBorder="1" applyAlignment="1" applyProtection="1">
      <alignment horizontal="left" vertical="top" wrapText="1"/>
    </xf>
    <xf numFmtId="0" fontId="189" fillId="0" borderId="0" xfId="309" applyFont="1" applyAlignment="1">
      <alignment horizontal="left" vertical="top" wrapText="1"/>
    </xf>
    <xf numFmtId="49" fontId="294" fillId="0" borderId="0" xfId="309" applyNumberFormat="1" applyFont="1" applyAlignment="1">
      <alignment horizontal="left" vertical="top" wrapText="1"/>
    </xf>
    <xf numFmtId="0" fontId="294" fillId="0" borderId="0" xfId="309" applyFont="1" applyAlignment="1">
      <alignment horizontal="left" vertical="top" wrapText="1"/>
    </xf>
    <xf numFmtId="0" fontId="189" fillId="0" borderId="0" xfId="309" quotePrefix="1" applyFont="1" applyAlignment="1">
      <alignment horizontal="left" vertical="top" wrapText="1"/>
    </xf>
    <xf numFmtId="0" fontId="189" fillId="0" borderId="0" xfId="309" applyFont="1" applyAlignment="1">
      <alignment horizontal="left"/>
    </xf>
    <xf numFmtId="0" fontId="292" fillId="0" borderId="179" xfId="309" applyFont="1" applyBorder="1" applyAlignment="1">
      <alignment horizontal="center" vertical="top" wrapText="1"/>
    </xf>
    <xf numFmtId="0" fontId="292" fillId="0" borderId="180" xfId="309" applyFont="1" applyBorder="1" applyAlignment="1">
      <alignment horizontal="center" vertical="top" wrapText="1"/>
    </xf>
    <xf numFmtId="0" fontId="292" fillId="0" borderId="181" xfId="309" applyFont="1" applyBorder="1" applyAlignment="1">
      <alignment horizontal="center" vertical="top" wrapText="1"/>
    </xf>
    <xf numFmtId="0" fontId="189" fillId="0" borderId="0" xfId="309" applyFont="1" applyAlignment="1">
      <alignment horizontal="center"/>
    </xf>
    <xf numFmtId="0" fontId="189" fillId="0" borderId="7" xfId="309" applyFont="1" applyBorder="1" applyAlignment="1">
      <alignment horizontal="center"/>
    </xf>
    <xf numFmtId="0" fontId="189" fillId="0" borderId="177" xfId="309" applyFont="1" applyBorder="1" applyAlignment="1">
      <alignment horizontal="center"/>
    </xf>
    <xf numFmtId="0" fontId="189" fillId="0" borderId="178" xfId="309" applyFont="1" applyBorder="1" applyAlignment="1">
      <alignment horizontal="center"/>
    </xf>
    <xf numFmtId="0" fontId="292" fillId="0" borderId="179" xfId="309" applyFont="1" applyBorder="1" applyAlignment="1">
      <alignment horizontal="center"/>
    </xf>
    <xf numFmtId="0" fontId="292" fillId="0" borderId="180" xfId="309" applyFont="1" applyBorder="1" applyAlignment="1">
      <alignment horizontal="center"/>
    </xf>
    <xf numFmtId="0" fontId="6" fillId="0" borderId="181" xfId="309" applyBorder="1" applyAlignment="1">
      <alignment horizontal="center"/>
    </xf>
    <xf numFmtId="0" fontId="295" fillId="0" borderId="0" xfId="9" applyFont="1" applyAlignment="1" applyProtection="1">
      <alignment horizontal="left" vertical="top" wrapText="1"/>
    </xf>
    <xf numFmtId="0" fontId="189" fillId="0" borderId="0" xfId="2717" applyFont="1" applyAlignment="1">
      <alignment horizontal="left" vertical="top" wrapText="1"/>
    </xf>
    <xf numFmtId="0" fontId="189" fillId="0" borderId="0" xfId="2717" quotePrefix="1" applyFont="1" applyAlignment="1">
      <alignment horizontal="left" vertical="top" wrapText="1"/>
    </xf>
    <xf numFmtId="0" fontId="189" fillId="0" borderId="0" xfId="2717" applyFont="1" applyAlignment="1">
      <alignment horizontal="left"/>
    </xf>
    <xf numFmtId="0" fontId="292" fillId="0" borderId="179" xfId="2717" applyFont="1" applyBorder="1" applyAlignment="1">
      <alignment horizontal="center" vertical="top" wrapText="1"/>
    </xf>
    <xf numFmtId="0" fontId="292" fillId="0" borderId="180" xfId="2717" applyFont="1" applyBorder="1" applyAlignment="1">
      <alignment horizontal="center" vertical="top" wrapText="1"/>
    </xf>
    <xf numFmtId="0" fontId="292" fillId="0" borderId="181" xfId="2717" applyFont="1" applyBorder="1" applyAlignment="1">
      <alignment horizontal="center" vertical="top" wrapText="1"/>
    </xf>
    <xf numFmtId="0" fontId="189" fillId="0" borderId="0" xfId="2717" applyFont="1" applyAlignment="1">
      <alignment horizontal="center"/>
    </xf>
    <xf numFmtId="0" fontId="189" fillId="0" borderId="7" xfId="2717" applyFont="1" applyBorder="1" applyAlignment="1">
      <alignment horizontal="center"/>
    </xf>
    <xf numFmtId="0" fontId="189" fillId="0" borderId="177" xfId="2717" applyFont="1" applyBorder="1" applyAlignment="1">
      <alignment horizontal="center"/>
    </xf>
    <xf numFmtId="0" fontId="189" fillId="0" borderId="178" xfId="2717" applyFont="1" applyBorder="1" applyAlignment="1">
      <alignment horizontal="center"/>
    </xf>
    <xf numFmtId="0" fontId="292" fillId="0" borderId="179" xfId="2717" applyFont="1" applyBorder="1" applyAlignment="1">
      <alignment horizontal="center"/>
    </xf>
    <xf numFmtId="0" fontId="292" fillId="0" borderId="180" xfId="2717" applyFont="1" applyBorder="1" applyAlignment="1">
      <alignment horizontal="center"/>
    </xf>
    <xf numFmtId="0" fontId="6" fillId="0" borderId="181" xfId="2717" applyBorder="1" applyAlignment="1">
      <alignment horizontal="center"/>
    </xf>
    <xf numFmtId="49" fontId="294" fillId="0" borderId="0" xfId="2717" applyNumberFormat="1" applyFont="1" applyAlignment="1">
      <alignment horizontal="left" vertical="top" wrapText="1"/>
    </xf>
    <xf numFmtId="0" fontId="294" fillId="0" borderId="0" xfId="2717" applyFont="1" applyAlignment="1">
      <alignment horizontal="left" vertical="top" wrapText="1"/>
    </xf>
    <xf numFmtId="0" fontId="62" fillId="0" borderId="0" xfId="309" applyFont="1" applyAlignment="1">
      <alignment horizontal="left" vertical="top" wrapText="1"/>
    </xf>
    <xf numFmtId="0" fontId="327" fillId="56" borderId="102" xfId="309" applyFont="1" applyFill="1" applyBorder="1" applyAlignment="1">
      <alignment horizontal="center"/>
    </xf>
    <xf numFmtId="0" fontId="327" fillId="56" borderId="169" xfId="309" applyFont="1" applyFill="1" applyBorder="1" applyAlignment="1">
      <alignment horizontal="center"/>
    </xf>
    <xf numFmtId="0" fontId="327" fillId="123" borderId="170" xfId="309" applyFont="1" applyFill="1" applyBorder="1" applyAlignment="1">
      <alignment horizontal="center" vertical="center"/>
    </xf>
    <xf numFmtId="0" fontId="327" fillId="123" borderId="171" xfId="309" applyFont="1" applyFill="1" applyBorder="1" applyAlignment="1">
      <alignment horizontal="center" vertical="center"/>
    </xf>
    <xf numFmtId="0" fontId="331" fillId="4" borderId="173" xfId="309" applyFont="1" applyFill="1" applyBorder="1" applyAlignment="1">
      <alignment horizontal="left" vertical="center" wrapText="1"/>
    </xf>
    <xf numFmtId="0" fontId="331" fillId="4" borderId="174" xfId="309" applyFont="1" applyFill="1" applyBorder="1" applyAlignment="1">
      <alignment horizontal="left" vertical="center" wrapText="1"/>
    </xf>
    <xf numFmtId="0" fontId="216" fillId="102" borderId="0" xfId="0" applyFont="1" applyFill="1" applyAlignment="1">
      <alignment horizontal="center" vertical="center" wrapText="1"/>
    </xf>
    <xf numFmtId="0" fontId="135" fillId="0" borderId="0" xfId="0" applyFont="1" applyAlignment="1">
      <alignment horizontal="left" vertical="top" wrapText="1"/>
    </xf>
    <xf numFmtId="0" fontId="0" fillId="115" borderId="177" xfId="0" applyFill="1" applyBorder="1" applyAlignment="1">
      <alignment horizontal="center"/>
    </xf>
    <xf numFmtId="164" fontId="1" fillId="124" borderId="0" xfId="1" applyNumberFormat="1" applyFill="1" applyAlignment="1">
      <alignment horizontal="center"/>
    </xf>
    <xf numFmtId="164" fontId="1" fillId="124" borderId="2" xfId="1" applyNumberFormat="1" applyFill="1" applyBorder="1" applyAlignment="1">
      <alignment horizontal="center"/>
    </xf>
    <xf numFmtId="0" fontId="128" fillId="0" borderId="37" xfId="0" applyFont="1" applyBorder="1" applyAlignment="1">
      <alignment vertical="center" wrapText="1"/>
    </xf>
    <xf numFmtId="0" fontId="128" fillId="0" borderId="0" xfId="0" applyFont="1" applyAlignment="1">
      <alignment vertical="center" wrapText="1"/>
    </xf>
    <xf numFmtId="0" fontId="128" fillId="0" borderId="36" xfId="0" applyFont="1" applyBorder="1" applyAlignment="1">
      <alignment vertical="center" wrapText="1"/>
    </xf>
    <xf numFmtId="0" fontId="128" fillId="0" borderId="37" xfId="0" applyFont="1" applyBorder="1" applyAlignment="1">
      <alignment horizontal="left" vertical="center" wrapText="1"/>
    </xf>
    <xf numFmtId="0" fontId="128" fillId="0" borderId="0" xfId="0" applyFont="1" applyAlignment="1">
      <alignment horizontal="left" vertical="center" wrapText="1"/>
    </xf>
    <xf numFmtId="0" fontId="128" fillId="0" borderId="36" xfId="0" applyFont="1" applyBorder="1" applyAlignment="1">
      <alignment horizontal="left" vertical="center" wrapText="1"/>
    </xf>
    <xf numFmtId="0" fontId="128" fillId="0" borderId="113" xfId="0" applyFont="1" applyBorder="1" applyAlignment="1">
      <alignment vertical="center" wrapText="1"/>
    </xf>
    <xf numFmtId="0" fontId="128" fillId="0" borderId="96" xfId="0" applyFont="1" applyBorder="1" applyAlignment="1">
      <alignment vertical="center" wrapText="1"/>
    </xf>
    <xf numFmtId="0" fontId="128" fillId="0" borderId="114" xfId="0" applyFont="1" applyBorder="1" applyAlignment="1">
      <alignment vertical="center" wrapText="1"/>
    </xf>
    <xf numFmtId="0" fontId="131" fillId="122" borderId="97" xfId="0" applyFont="1" applyFill="1" applyBorder="1" applyAlignment="1">
      <alignment horizontal="center"/>
    </xf>
    <xf numFmtId="0" fontId="131" fillId="122" borderId="98" xfId="0" applyFont="1" applyFill="1" applyBorder="1" applyAlignment="1">
      <alignment horizontal="center"/>
    </xf>
    <xf numFmtId="0" fontId="131" fillId="122" borderId="99" xfId="0" applyFont="1" applyFill="1" applyBorder="1" applyAlignment="1">
      <alignment horizontal="center"/>
    </xf>
    <xf numFmtId="0" fontId="130" fillId="56" borderId="100" xfId="0" applyFont="1" applyFill="1" applyBorder="1" applyAlignment="1">
      <alignment horizontal="center" vertical="center"/>
    </xf>
    <xf numFmtId="0" fontId="130" fillId="56" borderId="101" xfId="0" applyFont="1" applyFill="1" applyBorder="1" applyAlignment="1">
      <alignment horizontal="center" vertical="center"/>
    </xf>
    <xf numFmtId="0" fontId="128" fillId="0" borderId="37" xfId="0" applyFont="1" applyBorder="1" applyAlignment="1">
      <alignment vertical="center"/>
    </xf>
    <xf numFmtId="0" fontId="128" fillId="0" borderId="0" xfId="0" applyFont="1" applyAlignment="1">
      <alignment vertical="center"/>
    </xf>
    <xf numFmtId="0" fontId="128" fillId="0" borderId="36" xfId="0" applyFont="1" applyBorder="1" applyAlignment="1">
      <alignment vertical="center"/>
    </xf>
    <xf numFmtId="0" fontId="128" fillId="0" borderId="37" xfId="0" applyFont="1" applyBorder="1" applyAlignment="1">
      <alignment horizontal="left" vertical="center"/>
    </xf>
    <xf numFmtId="0" fontId="128" fillId="0" borderId="0" xfId="0" applyFont="1" applyAlignment="1">
      <alignment horizontal="left" vertical="center"/>
    </xf>
    <xf numFmtId="0" fontId="128" fillId="0" borderId="36" xfId="0" applyFont="1" applyBorder="1" applyAlignment="1">
      <alignment horizontal="left" vertical="center"/>
    </xf>
    <xf numFmtId="0" fontId="128" fillId="0" borderId="37" xfId="0" quotePrefix="1" applyFont="1" applyBorder="1" applyAlignment="1">
      <alignment horizontal="left" vertical="center"/>
    </xf>
    <xf numFmtId="3" fontId="241" fillId="37" borderId="125" xfId="1315" applyNumberFormat="1" applyFont="1" applyFill="1" applyBorder="1" applyAlignment="1">
      <alignment horizontal="center" vertical="center"/>
    </xf>
    <xf numFmtId="3" fontId="241" fillId="37" borderId="126" xfId="1315" applyNumberFormat="1" applyFont="1" applyFill="1" applyBorder="1" applyAlignment="1">
      <alignment horizontal="center" vertical="center"/>
    </xf>
    <xf numFmtId="3" fontId="241" fillId="37" borderId="127" xfId="1315" applyNumberFormat="1" applyFont="1" applyFill="1" applyBorder="1" applyAlignment="1">
      <alignment horizontal="center" vertical="center"/>
    </xf>
    <xf numFmtId="0" fontId="90" fillId="109" borderId="162" xfId="0" applyFont="1" applyFill="1" applyBorder="1" applyAlignment="1">
      <alignment horizontal="center" vertical="center" wrapText="1"/>
    </xf>
    <xf numFmtId="0" fontId="90" fillId="109" borderId="161" xfId="0" applyFont="1" applyFill="1" applyBorder="1" applyAlignment="1">
      <alignment horizontal="center" vertical="center" wrapText="1"/>
    </xf>
    <xf numFmtId="0" fontId="90" fillId="109" borderId="1" xfId="0" applyFont="1" applyFill="1" applyBorder="1" applyAlignment="1">
      <alignment horizontal="center" vertical="center" wrapText="1"/>
    </xf>
    <xf numFmtId="0" fontId="90" fillId="109" borderId="2" xfId="0" applyFont="1" applyFill="1" applyBorder="1" applyAlignment="1">
      <alignment horizontal="center" vertical="center" wrapText="1"/>
    </xf>
  </cellXfs>
  <cellStyles count="2812">
    <cellStyle name=" 1" xfId="516" xr:uid="{328A8625-8544-49A5-94B3-AD5F6DDE8EFE}"/>
    <cellStyle name=" 1 2" xfId="566" xr:uid="{E7510F31-4D5B-4BA5-9448-7A61FDEFF0FA}"/>
    <cellStyle name="_x000a_386grabber=M" xfId="586" xr:uid="{70BF355E-4244-4E6E-BE29-034798636ECC}"/>
    <cellStyle name="_x000a_386grabber=M 2" xfId="1518" xr:uid="{85C9F601-F9C9-4625-AB3A-29687AFD591F}"/>
    <cellStyle name="%" xfId="11" xr:uid="{5500729A-3FB1-495A-96EA-76AF82BD54C1}"/>
    <cellStyle name="% 2" xfId="12" xr:uid="{B3CB5539-E3FD-441B-B445-177EEA82F843}"/>
    <cellStyle name="% 2 2" xfId="420" xr:uid="{AF7C8661-C13C-44AB-9CDC-319A8BEAAFE5}"/>
    <cellStyle name="% 3" xfId="895" xr:uid="{DBF271B3-4153-41DE-A58A-A95D7045CD0A}"/>
    <cellStyle name="% 4" xfId="1372" xr:uid="{60A3F460-E7C0-4BD2-87B6-B7B69FA24EC9}"/>
    <cellStyle name="%_charts tables TP" xfId="877" xr:uid="{728828A1-958A-4411-8E61-AC5588FFD388}"/>
    <cellStyle name="%_charts tables TP 070311" xfId="878" xr:uid="{212B5CFB-6689-4734-BBDB-37D1D1D2A26F}"/>
    <cellStyle name="%_charts tables TP-formatted " xfId="879" xr:uid="{F08D493F-9E68-4E7A-95BD-09FFC3993F86}"/>
    <cellStyle name="%_charts tables TP-formatted  (2)" xfId="880" xr:uid="{7E8ADC00-91DB-4392-996B-40256F82A423}"/>
    <cellStyle name="%_charts tables TP-formatted  (3)" xfId="881" xr:uid="{F80A08F5-D45F-48B9-938E-87A26E22B038}"/>
    <cellStyle name="%_charts_tables250111(1)" xfId="882" xr:uid="{93916530-15AD-4222-A35C-D7F7F5171D1D}"/>
    <cellStyle name="%_Economy Tables" xfId="883" xr:uid="{9DE07AEB-1406-41E2-91C7-8C38B62530A8}"/>
    <cellStyle name="%_Fiscal Tables" xfId="587" xr:uid="{EBBD6A0F-E183-4269-AE74-1E086BC885F4}"/>
    <cellStyle name="%_Fiscal Tables 2" xfId="1519" xr:uid="{BFCACE5B-055F-4534-A1D3-421821E36126}"/>
    <cellStyle name="%_inc to ex AS12 EFOsupps" xfId="588" xr:uid="{8A584A0E-B30A-4544-9B6D-607308FB860E}"/>
    <cellStyle name="%_March-2012-Fiscal-Supplementary-Tables1(1)" xfId="589" xr:uid="{F213A162-8520-4055-8AF8-FB7808396885}"/>
    <cellStyle name="%_March-2012-Fiscal-Supplementary-Tables1(1) 2" xfId="1520" xr:uid="{E73B3CA6-D644-4A08-B50C-5DD530848733}"/>
    <cellStyle name="%_PEF Autumn2011" xfId="517" xr:uid="{6F29A2B6-8469-4635-989D-7039F500CD9A}"/>
    <cellStyle name="%_PEF Autumn2011 2" xfId="1521" xr:uid="{A2C3BE26-F637-4EB7-A49A-4F90CCFFEAD3}"/>
    <cellStyle name="%_PEF FSBR2011" xfId="13" xr:uid="{44F5391F-6615-4E68-ABF5-5C42076AFA5B}"/>
    <cellStyle name="%_PEF FSBR2011 2" xfId="503" xr:uid="{B0FDE16E-B9FD-478F-ADFB-F87C1D0A80DA}"/>
    <cellStyle name="%_PEF FSBR2011 AA simplification" xfId="518" xr:uid="{70071929-19C4-47F9-B5F6-C98675DEBDA1}"/>
    <cellStyle name="%_PEF FSBR2011 AA simplification 2" xfId="1522" xr:uid="{65172C03-9536-465F-A551-111968CA8E7C}"/>
    <cellStyle name="%_Scorecard" xfId="590" xr:uid="{E0427CE0-BDD3-4BF1-8D0F-6541BFE52B79}"/>
    <cellStyle name="%_Scorecard 2" xfId="1523" xr:uid="{F4E89315-4439-4D7A-B525-C91736AFAB7F}"/>
    <cellStyle name="%_VAT refunds" xfId="591" xr:uid="{76AC6D69-EBC4-4C1C-BF19-CDA4E990E208}"/>
    <cellStyle name="%_VAT refunds 2" xfId="1524" xr:uid="{AADF8FF4-B0CD-4D61-A8A7-4990F2743B00}"/>
    <cellStyle name="]_x000d__x000a_Zoomed=1_x000d__x000a_Row=0_x000d__x000a_Column=0_x000d__x000a_Height=0_x000d__x000a_Width=0_x000d__x000a_FontName=FoxFont_x000d__x000a_FontStyle=0_x000d__x000a_FontSize=9_x000d__x000a_PrtFontName=FoxPrin" xfId="14" xr:uid="{C05F9E4A-248E-40CB-B2F9-A495C5CECBDE}"/>
    <cellStyle name="]_x000d__x000a_Zoomed=1_x000d__x000a_Row=0_x000d__x000a_Column=0_x000d__x000a_Height=0_x000d__x000a_Width=0_x000d__x000a_FontName=FoxFont_x000d__x000a_FontStyle=0_x000d__x000a_FontSize=9_x000d__x000a_PrtFontName=FoxPrin 2" xfId="1525" xr:uid="{F0F58A99-9CC6-496F-B1D1-D7BBD6FBDC99}"/>
    <cellStyle name="_111125 APDPassengerNumbers" xfId="592" xr:uid="{CFA30C33-3DC1-4E4A-8674-F758A9855C62}"/>
    <cellStyle name="_111125 APDPassengerNumbers_inc to ex AS12 EFOsupps" xfId="593" xr:uid="{543360CC-F385-4FDA-9AD0-6F203BA9B9EB}"/>
    <cellStyle name="_Asset Co - 2014-40" xfId="594" xr:uid="{5EF06481-472A-40A4-83FC-4CC85F53FD01}"/>
    <cellStyle name="_covered bonds" xfId="595" xr:uid="{AB3F0A95-E106-44F8-B501-7733691E40CA}"/>
    <cellStyle name="_covered bonds_20110317 Guarantee Data sheet with CDS Expected Losses" xfId="596" xr:uid="{CE1DDA69-C137-473F-AE9E-02A7CB383D96}"/>
    <cellStyle name="_covered bonds_20110317 Guarantee Data sheet with CDS Expected Losses 2" xfId="1526" xr:uid="{260697C0-39C5-4A74-AC70-17A40A6C1849}"/>
    <cellStyle name="_Dpn Forecast 2008-2010 (14-Dec-07)" xfId="597" xr:uid="{88ECF468-CE6D-4243-9807-BB6088852ED7}"/>
    <cellStyle name="_Dpn Forecast 2008-2010 (14-Dec-07)_20110317 Guarantee Data sheet with CDS Expected Losses" xfId="598" xr:uid="{C7D34413-9BD0-4010-AC96-F840991B6599}"/>
    <cellStyle name="_Dpn Forecast 2008-2010 (14-Dec-07)_20110317 Guarantee Data sheet with CDS Expected Losses 2" xfId="1527" xr:uid="{29D55AFB-3577-4386-A5BB-55A79F74357B}"/>
    <cellStyle name="_Fair Value schedule" xfId="599" xr:uid="{FDA11F2B-F8CF-419A-A901-65D95CA6FD91}"/>
    <cellStyle name="_Fair Value schedule_20110317 Guarantee Data sheet with CDS Expected Losses" xfId="600" xr:uid="{B2BC95EE-1F8B-49AD-A57A-2AE4116B1C64}"/>
    <cellStyle name="_Fair Value schedule_20110317 Guarantee Data sheet with CDS Expected Losses 2" xfId="1528" xr:uid="{D317F619-1EA6-4929-9319-139C999A122A}"/>
    <cellStyle name="_FPS Options High Level Costing 23rd Aug 06" xfId="601" xr:uid="{03759D13-AC3F-4DC1-B33F-7F785BDF379D}"/>
    <cellStyle name="_HOD Gosforth_current" xfId="602" xr:uid="{EC6C5E21-2111-4384-BF7C-7496D5829382}"/>
    <cellStyle name="_IT HOD Rainton - Tower Cost Update 5th April 2007 (Revised) V3" xfId="603" xr:uid="{930697A5-A52D-4456-9675-7D79570042BC}"/>
    <cellStyle name="_IT HOD Rainton - Tower Cost Update 5th April 2007 (Revised) V3_20110317 Guarantee Data sheet with CDS Expected Losses" xfId="604" xr:uid="{114DA100-0001-49CF-A55A-9DD9594D302B}"/>
    <cellStyle name="_IT HOD Rainton - Tower Cost Update 5th April 2007 (Revised) V3_20110317 Guarantee Data sheet with CDS Expected Losses 2" xfId="1529" xr:uid="{7473E286-AF69-4A98-AEDA-CA30A9A3F9AB}"/>
    <cellStyle name="_MaincodeCY" xfId="2635" xr:uid="{3ED68642-F8E4-47B5-8954-E469BBDC41EC}"/>
    <cellStyle name="_Project Details Report Aug v0.12" xfId="605" xr:uid="{1167F132-76AE-4178-97ED-930D7B504540}"/>
    <cellStyle name="_RB_Update_current" xfId="606" xr:uid="{56026A36-FE65-4A89-8BC0-082EECC359E0}"/>
    <cellStyle name="_RB_Update_current (SCA draft)PH review" xfId="607" xr:uid="{925F3229-37D1-4D93-B8FC-095BEF68D05C}"/>
    <cellStyle name="_RB_Update_current (SCA draft)PH review_20110317 Guarantee Data sheet with CDS Expected Losses" xfId="608" xr:uid="{73931379-1CB7-4FED-9E87-A36E0CACEE0E}"/>
    <cellStyle name="_RB_Update_current (SCA draft)PH review_20110317 Guarantee Data sheet with CDS Expected Losses 2" xfId="1530" xr:uid="{77EAEA05-09F7-41CF-84CD-7A8B8C92171B}"/>
    <cellStyle name="_RB_Update_current (SCA draft)revised" xfId="609" xr:uid="{4C8F6EC9-1B8E-4CA6-9D99-E37B540AFE81}"/>
    <cellStyle name="_RB_Update_current (SCA draft)revised_20110317 Guarantee Data sheet with CDS Expected Losses" xfId="610" xr:uid="{4510E78E-16DD-48FA-9AB7-AE8F76A72D83}"/>
    <cellStyle name="_RB_Update_current (SCA draft)revised_20110317 Guarantee Data sheet with CDS Expected Losses 2" xfId="1531" xr:uid="{8C5D60FE-A757-4842-87A7-7E53E754E036}"/>
    <cellStyle name="_RB_Update_current_20110317 Guarantee Data sheet with CDS Expected Losses" xfId="611" xr:uid="{0515E5F6-5C27-44A3-805E-4ADC10F72D4D}"/>
    <cellStyle name="_RB_Update_current_20110317 Guarantee Data sheet with CDS Expected Losses 2" xfId="1532" xr:uid="{C5B16B51-9BC4-4270-A1FF-C473F1669A64}"/>
    <cellStyle name="_Sample change log v0 2" xfId="612" xr:uid="{109EA53F-36E6-42F6-BF52-CF22DC638417}"/>
    <cellStyle name="_Sample change log v0 2_20110317 Guarantee Data sheet with CDS Expected Losses" xfId="613" xr:uid="{0C7DBA78-9815-4E24-BA8C-5214D8D9E660}"/>
    <cellStyle name="_Sample change log v0 2_20110317 Guarantee Data sheet with CDS Expected Losses 2" xfId="1533" xr:uid="{4012A032-7AE2-4E95-8B03-355C21E03A5A}"/>
    <cellStyle name="_Sub debt extension discount table 31 1 11 v2" xfId="614" xr:uid="{49DD456A-61B8-415F-A2E6-3B28E4C6BA6C}"/>
    <cellStyle name="_sub debt int" xfId="615" xr:uid="{17DD9948-AE80-4F29-BBEA-0D603B5C9D26}"/>
    <cellStyle name="_sub debt int_20110317 Guarantee Data sheet with CDS Expected Losses" xfId="616" xr:uid="{47B48BFD-0B5A-4D6B-88CB-68DF9F72A8D8}"/>
    <cellStyle name="_sub debt int_20110317 Guarantee Data sheet with CDS Expected Losses 2" xfId="1534" xr:uid="{FCA4DE08-0898-4DE6-9E8B-486E11C7DCC5}"/>
    <cellStyle name="_Subcode" xfId="2634" xr:uid="{00838E7B-D097-45CC-9EB1-76AEF6F66216}"/>
    <cellStyle name="_TableHead" xfId="15" xr:uid="{95A1280C-0BA7-45D6-92CE-7BD8C69A1C17}"/>
    <cellStyle name="_Tailor Analysis 1.11 (1 Dec take up rates)" xfId="617" xr:uid="{E6B1B6B3-49BD-4C0F-95BE-E4EEC6616AFB}"/>
    <cellStyle name="1dp" xfId="16" xr:uid="{CD443DA5-F340-42EC-928B-C813B2C13A60}"/>
    <cellStyle name="1dp 2" xfId="17" xr:uid="{BF30EFA9-9F66-4CAC-914B-42EE63D87837}"/>
    <cellStyle name="1dp 2 2" xfId="1536" xr:uid="{2D8709B7-43F6-463C-B1F0-85ED02E7F506}"/>
    <cellStyle name="1dp 3" xfId="1535" xr:uid="{3359E9F8-6833-4E0E-8257-F3D05669D519}"/>
    <cellStyle name="20% - Accent1 10" xfId="1953" xr:uid="{5CD2A634-D44A-45AB-8D40-D87EBBED7333}"/>
    <cellStyle name="20% - Accent1 11" xfId="2000" xr:uid="{47978B09-6935-4FCB-A703-157353FF50FD}"/>
    <cellStyle name="20% - Accent1 12" xfId="2020" xr:uid="{81DC90F2-2774-4F3A-B569-ADAC94480ED6}"/>
    <cellStyle name="20% - Accent1 13" xfId="2049" xr:uid="{2916FBFA-C515-4AFA-AB8C-80B3C9810757}"/>
    <cellStyle name="20% - Accent1 14" xfId="2150" xr:uid="{CAACEAAC-9553-45DB-B4C5-3F5DB7FC8703}"/>
    <cellStyle name="20% - Accent1 15" xfId="2242" xr:uid="{B51F7DAA-9F69-4594-9082-5D33B0178C1E}"/>
    <cellStyle name="20% - Accent1 16" xfId="2330" xr:uid="{9AAB6529-F3FE-4EE0-9A94-DB19BD700637}"/>
    <cellStyle name="20% - Accent1 17" xfId="2418" xr:uid="{C85017FE-DDCC-4BDA-A081-CA5967CD4E83}"/>
    <cellStyle name="20% - Accent1 18" xfId="2440" xr:uid="{557B2EA6-7A10-4063-8CC3-A7BFD4136D32}"/>
    <cellStyle name="20% - Accent1 19" xfId="2532" xr:uid="{DE4ACD6C-A7FA-4806-9E98-66BD064051C6}"/>
    <cellStyle name="20% - Accent1 2" xfId="18" xr:uid="{35F78BD4-AF16-4F98-B9BA-B5824914E10E}"/>
    <cellStyle name="20% - Accent1 2 2" xfId="1905" xr:uid="{06D8F1DD-32BD-4A45-A783-AD691938FECF}"/>
    <cellStyle name="20% - Accent1 2 2 2" xfId="2051" xr:uid="{7FBE383C-65EB-4910-9458-3AD01E5CECF7}"/>
    <cellStyle name="20% - Accent1 2 2 3" xfId="2152" xr:uid="{4E08B56C-4059-4548-9141-C51D0604EBD4}"/>
    <cellStyle name="20% - Accent1 2 2 4" xfId="2244" xr:uid="{3E7A3364-0F9C-453A-ACF1-089B82730710}"/>
    <cellStyle name="20% - Accent1 2 2 5" xfId="2332" xr:uid="{E1BF4E1C-3CB0-4516-9593-11F9C7FE0B59}"/>
    <cellStyle name="20% - Accent1 2 2 6" xfId="2484" xr:uid="{8612A315-E293-4761-9820-586FC7C49246}"/>
    <cellStyle name="20% - Accent1 2 2 7" xfId="2575" xr:uid="{9F361429-50E5-41EC-AC76-8C50043EA1C1}"/>
    <cellStyle name="20% - Accent1 2 3" xfId="1954" xr:uid="{845A8073-646D-4D6C-A27F-3EB8A998934E}"/>
    <cellStyle name="20% - Accent1 2 4" xfId="2050" xr:uid="{6BE76C63-F510-4CD5-BF80-351746582752}"/>
    <cellStyle name="20% - Accent1 2 5" xfId="2151" xr:uid="{EDAB560A-B003-40C4-8F9C-F789C14082A1}"/>
    <cellStyle name="20% - Accent1 2 6" xfId="2243" xr:uid="{19DFD0BB-DEBC-4E70-8673-0972E97CB60A}"/>
    <cellStyle name="20% - Accent1 2 7" xfId="2331" xr:uid="{C31B4AAF-56E6-4378-8B8F-FC9C97A8ECBD}"/>
    <cellStyle name="20% - Accent1 2 8" xfId="2463" xr:uid="{ED08E93A-D0F9-4F93-A702-8237AC4F764A}"/>
    <cellStyle name="20% - Accent1 2 9" xfId="2554" xr:uid="{11462054-A272-4AA7-86D9-98FC48A4190C}"/>
    <cellStyle name="20% - Accent1 3" xfId="905" xr:uid="{69AC0B00-EC5A-4162-975E-B70B3263E57F}"/>
    <cellStyle name="20% - Accent1 3 2" xfId="2052" xr:uid="{2E00BC93-EE15-45DE-A077-2066E2993574}"/>
    <cellStyle name="20% - Accent1 3 3" xfId="2153" xr:uid="{EED59044-F240-4046-B4C2-28E45BF0380C}"/>
    <cellStyle name="20% - Accent1 3 4" xfId="2245" xr:uid="{02390E78-BCF7-494A-B0E3-2421807E3E7F}"/>
    <cellStyle name="20% - Accent1 3 5" xfId="2333" xr:uid="{DCF093FC-55C6-4500-A344-2AEC387E9641}"/>
    <cellStyle name="20% - Accent1 3 6" xfId="2483" xr:uid="{EAA390D8-3D0A-4A5B-A469-D96A1A383E24}"/>
    <cellStyle name="20% - Accent1 3 7" xfId="2574" xr:uid="{B0F657B3-E4C6-43DD-B1D2-0D4E9D56B83B}"/>
    <cellStyle name="20% - Accent1 4" xfId="1412" xr:uid="{5346875E-B890-45D0-9AF4-5FF7C2340990}"/>
    <cellStyle name="20% - Accent1 4 2" xfId="1687" xr:uid="{E5F7DF6C-8248-4B34-836A-763E4DF9DE44}"/>
    <cellStyle name="20% - Accent1 5" xfId="1740" xr:uid="{48B69393-540D-477D-AD84-3EE1E4671787}"/>
    <cellStyle name="20% - Accent1 6" xfId="1788" xr:uid="{16C1617C-A071-4B8D-A890-4CFF47D04DDF}"/>
    <cellStyle name="20% - Accent1 7" xfId="1818" xr:uid="{4B8B2F2E-DA6F-4A4F-B440-077A1329CD5F}"/>
    <cellStyle name="20% - Accent1 8" xfId="1853" xr:uid="{E25DE641-E578-46EB-AD59-B95FD1F0666E}"/>
    <cellStyle name="20% - Accent1 9" xfId="1904" xr:uid="{46D817DD-161F-4680-BDC0-E53715A5FF50}"/>
    <cellStyle name="20% - Accent2 10" xfId="1955" xr:uid="{2E6CCC62-7CB8-4F45-961D-68C52910A4BD}"/>
    <cellStyle name="20% - Accent2 11" xfId="2001" xr:uid="{5253BEE2-303E-49A8-AD83-528F1315B75D}"/>
    <cellStyle name="20% - Accent2 12" xfId="2021" xr:uid="{D1538BDA-8CDE-4252-A320-86A127748071}"/>
    <cellStyle name="20% - Accent2 13" xfId="2053" xr:uid="{E97ABEDD-E835-4699-A382-87F147F8D56C}"/>
    <cellStyle name="20% - Accent2 14" xfId="2154" xr:uid="{F871D631-AF65-4698-BA2B-0861DCD7CBF3}"/>
    <cellStyle name="20% - Accent2 15" xfId="2246" xr:uid="{C3CE0BCC-CDDF-48FF-AB0D-A1C53D1D15DE}"/>
    <cellStyle name="20% - Accent2 16" xfId="2334" xr:uid="{67EC8512-5526-44EC-BA7A-AEFBBD0DC5A4}"/>
    <cellStyle name="20% - Accent2 17" xfId="2419" xr:uid="{3F2D8DB2-7ABF-4656-96B4-FEB7B8FFDE8C}"/>
    <cellStyle name="20% - Accent2 18" xfId="2443" xr:uid="{7F5D7609-7A23-4814-8025-351BFDCC7413}"/>
    <cellStyle name="20% - Accent2 19" xfId="2535" xr:uid="{45F621CF-C667-4045-A8C0-F5FE2FE9DBAE}"/>
    <cellStyle name="20% - Accent2 2" xfId="19" xr:uid="{326A5160-4886-45A7-99F6-4898C2425EC5}"/>
    <cellStyle name="20% - Accent2 2 2" xfId="1907" xr:uid="{DA666AFD-0F24-4A3B-991E-B9C262AE26CB}"/>
    <cellStyle name="20% - Accent2 2 2 2" xfId="2055" xr:uid="{DF5D76BA-834A-4AE8-8D09-75396338431D}"/>
    <cellStyle name="20% - Accent2 2 2 3" xfId="2156" xr:uid="{466013FF-DDFF-46A1-BCFE-5FE155694F9E}"/>
    <cellStyle name="20% - Accent2 2 2 4" xfId="2248" xr:uid="{69A12BFE-361E-4598-ABEA-C2C15873C01A}"/>
    <cellStyle name="20% - Accent2 2 2 5" xfId="2336" xr:uid="{CD531DF0-5BAE-47C0-B451-17CEFF9E9351}"/>
    <cellStyle name="20% - Accent2 2 2 6" xfId="2486" xr:uid="{31E3F8D1-DDF5-4E7F-90B5-49626AE6F3D3}"/>
    <cellStyle name="20% - Accent2 2 2 7" xfId="2577" xr:uid="{68A15039-1CD0-4DE1-814F-4542F4048ABC}"/>
    <cellStyle name="20% - Accent2 2 3" xfId="1956" xr:uid="{A8AAF2C9-D942-4663-9254-8054EEEE258A}"/>
    <cellStyle name="20% - Accent2 2 4" xfId="2054" xr:uid="{75942C34-7116-4112-A023-986A7A7DECD2}"/>
    <cellStyle name="20% - Accent2 2 5" xfId="2155" xr:uid="{5D06A786-345B-4673-8F6E-4287FA6F62AB}"/>
    <cellStyle name="20% - Accent2 2 6" xfId="2247" xr:uid="{0C930082-5FE0-4604-8BC3-C111EF17B766}"/>
    <cellStyle name="20% - Accent2 2 7" xfId="2335" xr:uid="{1E55AC62-010B-490D-85FE-F59F499FC43E}"/>
    <cellStyle name="20% - Accent2 2 8" xfId="2466" xr:uid="{40A62473-A85A-4D84-87DB-8D9D2552C135}"/>
    <cellStyle name="20% - Accent2 2 9" xfId="2557" xr:uid="{C65C8748-C9B1-4616-ADB8-D5C34F493507}"/>
    <cellStyle name="20% - Accent2 3" xfId="906" xr:uid="{E21632B9-3B64-43C8-ACB6-7C24D94AD6B3}"/>
    <cellStyle name="20% - Accent2 3 2" xfId="2056" xr:uid="{9004B131-0C78-4322-B3C2-A294CE9667B1}"/>
    <cellStyle name="20% - Accent2 3 3" xfId="2157" xr:uid="{84F04200-4AB1-4139-9F3E-491CBE5B61E1}"/>
    <cellStyle name="20% - Accent2 3 4" xfId="2249" xr:uid="{54628E03-A800-4675-9987-921A79BAD3D8}"/>
    <cellStyle name="20% - Accent2 3 5" xfId="2337" xr:uid="{FB5211F3-7E42-434E-887B-9788BB476889}"/>
    <cellStyle name="20% - Accent2 3 6" xfId="2485" xr:uid="{76852BA2-99F4-4372-B3F3-04B97A4F050A}"/>
    <cellStyle name="20% - Accent2 3 7" xfId="2576" xr:uid="{3C1FBAFB-5D2F-4571-8237-770820B09F38}"/>
    <cellStyle name="20% - Accent2 4" xfId="1416" xr:uid="{8DF3BAFE-0C84-45EF-BDDD-3A0AC15822DA}"/>
    <cellStyle name="20% - Accent2 4 2" xfId="1688" xr:uid="{0AFEADE3-5EF3-4D94-AFCD-5EF333666AD8}"/>
    <cellStyle name="20% - Accent2 5" xfId="1741" xr:uid="{60B6A8F5-F2A8-4A74-83B1-7D48FB7E388E}"/>
    <cellStyle name="20% - Accent2 6" xfId="1787" xr:uid="{D51F2D85-48FC-4F03-9B1E-128A6DACB1FD}"/>
    <cellStyle name="20% - Accent2 7" xfId="1817" xr:uid="{754F5AC2-EAAA-4461-8978-5984E1BACDAF}"/>
    <cellStyle name="20% - Accent2 8" xfId="1856" xr:uid="{F4A422AD-3B76-4116-A201-02B033B7F79D}"/>
    <cellStyle name="20% - Accent2 9" xfId="1906" xr:uid="{07F5A7C6-43F4-4CB6-932E-AB6ABE33F6A8}"/>
    <cellStyle name="20% - Accent3 10" xfId="1957" xr:uid="{C562109D-B36C-4CE0-A806-2BB61CDE6885}"/>
    <cellStyle name="20% - Accent3 11" xfId="2002" xr:uid="{F62188B6-7B7B-4194-9E2E-64AA728C44D6}"/>
    <cellStyle name="20% - Accent3 12" xfId="2022" xr:uid="{9396944A-C24F-49F7-90E8-85DCDCE05463}"/>
    <cellStyle name="20% - Accent3 13" xfId="2057" xr:uid="{FD8AE623-648C-442F-80DC-9A704B5B95B4}"/>
    <cellStyle name="20% - Accent3 14" xfId="2158" xr:uid="{C99B9B5C-B890-4CB0-AE4C-040BA5203B08}"/>
    <cellStyle name="20% - Accent3 15" xfId="2250" xr:uid="{BC94F01B-AB77-4241-A0CB-D50AF4EEA6F8}"/>
    <cellStyle name="20% - Accent3 16" xfId="2338" xr:uid="{74A87364-30DF-4BF2-930A-80EDABC86131}"/>
    <cellStyle name="20% - Accent3 17" xfId="2420" xr:uid="{1465CCB5-43A8-4561-B0B0-10C8A501137D}"/>
    <cellStyle name="20% - Accent3 18" xfId="2446" xr:uid="{A807F7EE-BE79-44B5-8027-6A6D53B760F1}"/>
    <cellStyle name="20% - Accent3 19" xfId="2538" xr:uid="{4598AA5C-27BD-44F0-B107-59275DA8DCB3}"/>
    <cellStyle name="20% - Accent3 2" xfId="20" xr:uid="{660D8116-E51E-4BD3-A221-DCB59112FBFB}"/>
    <cellStyle name="20% - Accent3 2 2" xfId="1909" xr:uid="{3F1ECA0B-4FD0-4D69-8B4F-DE5CE8E9C6F9}"/>
    <cellStyle name="20% - Accent3 2 2 2" xfId="2059" xr:uid="{4D13E0E4-5368-4EFF-946D-046437F42CC8}"/>
    <cellStyle name="20% - Accent3 2 2 3" xfId="2160" xr:uid="{89BA17F2-8035-40C3-940D-E7F1F7E59F88}"/>
    <cellStyle name="20% - Accent3 2 2 4" xfId="2252" xr:uid="{14200FF0-759E-4265-8ED3-980CE05DF6F1}"/>
    <cellStyle name="20% - Accent3 2 2 5" xfId="2340" xr:uid="{1B32A8C3-99C4-4232-91D7-BABA375A0B1A}"/>
    <cellStyle name="20% - Accent3 2 2 6" xfId="2488" xr:uid="{FA42A06D-4380-4D94-B2FA-74A9053480E3}"/>
    <cellStyle name="20% - Accent3 2 2 7" xfId="2579" xr:uid="{EB5D791D-1CAE-4273-9B18-DE2B8A6EF8EE}"/>
    <cellStyle name="20% - Accent3 2 3" xfId="1958" xr:uid="{192C17D5-0543-48C2-871A-50C0E07E9C11}"/>
    <cellStyle name="20% - Accent3 2 4" xfId="2058" xr:uid="{C87A15EB-CF15-4CA3-B8C8-AC195960450E}"/>
    <cellStyle name="20% - Accent3 2 5" xfId="2159" xr:uid="{A2B50196-5AFB-4492-8530-D0FCDC402383}"/>
    <cellStyle name="20% - Accent3 2 6" xfId="2251" xr:uid="{CDAB9AC7-248B-4483-A7A4-D91FCB58C647}"/>
    <cellStyle name="20% - Accent3 2 7" xfId="2339" xr:uid="{0D542545-CEF7-43AF-8E13-93D094B90F04}"/>
    <cellStyle name="20% - Accent3 2 8" xfId="2469" xr:uid="{31B7C08D-AF4C-4308-B334-83650DF28AC5}"/>
    <cellStyle name="20% - Accent3 2 9" xfId="2560" xr:uid="{B2146601-3BFA-41D9-87BF-33FD028F6528}"/>
    <cellStyle name="20% - Accent3 3" xfId="907" xr:uid="{549E2E05-0CE4-47EE-A87B-AC0886B822E6}"/>
    <cellStyle name="20% - Accent3 3 2" xfId="2060" xr:uid="{27954778-15A9-4B17-8B54-52833EAB2786}"/>
    <cellStyle name="20% - Accent3 3 3" xfId="2161" xr:uid="{0E2B7C8D-6618-435B-985A-87D9014DB67C}"/>
    <cellStyle name="20% - Accent3 3 4" xfId="2253" xr:uid="{0DA4CB64-002A-42C1-A00B-FA00AC700E1F}"/>
    <cellStyle name="20% - Accent3 3 5" xfId="2341" xr:uid="{168D35CC-78C5-473E-8490-0C07E530EF4C}"/>
    <cellStyle name="20% - Accent3 3 6" xfId="2487" xr:uid="{49263EA2-63BD-42D5-B93A-90C47F605E06}"/>
    <cellStyle name="20% - Accent3 3 7" xfId="2578" xr:uid="{6F7B6196-968C-47A4-AB47-89032EAF5A4B}"/>
    <cellStyle name="20% - Accent3 4" xfId="1420" xr:uid="{AE0B3416-85DE-4560-B785-763C60E98E8B}"/>
    <cellStyle name="20% - Accent3 4 2" xfId="1689" xr:uid="{05B9583B-902E-4E10-A4D6-B3537D9AFAC6}"/>
    <cellStyle name="20% - Accent3 5" xfId="1742" xr:uid="{26A466B6-E67A-4008-ADF3-3A96FC0F724F}"/>
    <cellStyle name="20% - Accent3 6" xfId="1786" xr:uid="{0A6FE28A-5A07-4D02-BA51-B34388B04312}"/>
    <cellStyle name="20% - Accent3 7" xfId="1816" xr:uid="{B1A6E1DF-E589-4842-BB18-63DE46B433DB}"/>
    <cellStyle name="20% - Accent3 8" xfId="1857" xr:uid="{76142376-10E7-413B-800B-3269321FDE0C}"/>
    <cellStyle name="20% - Accent3 9" xfId="1908" xr:uid="{BCB882B1-FD24-4937-9F25-315F5A4EC4F9}"/>
    <cellStyle name="20% - Accent4 10" xfId="1959" xr:uid="{7765E3F5-7EFE-4509-9F2C-505DFCDAF7DC}"/>
    <cellStyle name="20% - Accent4 11" xfId="2003" xr:uid="{44675F7E-E119-4B4E-98E9-69C110316A1C}"/>
    <cellStyle name="20% - Accent4 12" xfId="2023" xr:uid="{9B6B4306-B42F-4E2A-B7C7-9ACCFEA835E5}"/>
    <cellStyle name="20% - Accent4 13" xfId="2061" xr:uid="{D17FFE6A-E43E-492E-AAE1-5FEF9C7A0464}"/>
    <cellStyle name="20% - Accent4 14" xfId="2162" xr:uid="{DAC43B2A-A82C-4778-AC07-83C7E1EEE049}"/>
    <cellStyle name="20% - Accent4 15" xfId="2254" xr:uid="{34ECA8FE-A0F9-4AAE-8772-8F0C5C32C2D4}"/>
    <cellStyle name="20% - Accent4 16" xfId="2342" xr:uid="{E3E57873-0D91-400E-8674-4F0F1A598218}"/>
    <cellStyle name="20% - Accent4 17" xfId="2421" xr:uid="{A631EE24-B573-4103-B683-E2C91F87127C}"/>
    <cellStyle name="20% - Accent4 18" xfId="2450" xr:uid="{AA198F2A-D5A9-491B-A760-B4828ADC4280}"/>
    <cellStyle name="20% - Accent4 19" xfId="2541" xr:uid="{92106786-83F2-493F-B9A0-375C2F1F6E4A}"/>
    <cellStyle name="20% - Accent4 2" xfId="21" xr:uid="{0BA116EE-41CE-4B42-8EA4-95A1052C0D2A}"/>
    <cellStyle name="20% - Accent4 2 2" xfId="1911" xr:uid="{A4A0B3FD-E0C6-470B-840F-B1D9506B67C8}"/>
    <cellStyle name="20% - Accent4 2 2 2" xfId="2063" xr:uid="{15600C45-73BC-4228-9CD7-A8CAFF0014C5}"/>
    <cellStyle name="20% - Accent4 2 2 3" xfId="2164" xr:uid="{0D72C5A1-578B-4502-ABA8-8B92E315AD8A}"/>
    <cellStyle name="20% - Accent4 2 2 4" xfId="2256" xr:uid="{F809BCE3-8E01-4656-9F82-182D5976C6B8}"/>
    <cellStyle name="20% - Accent4 2 2 5" xfId="2344" xr:uid="{2AC615D1-2CA3-4316-B861-4FE0F34FC1B2}"/>
    <cellStyle name="20% - Accent4 2 2 6" xfId="2490" xr:uid="{A63DC8A3-E687-412E-ADD0-A3089DFB8DE5}"/>
    <cellStyle name="20% - Accent4 2 2 7" xfId="2581" xr:uid="{6DAC479D-1452-4056-AEAC-4E09888072F7}"/>
    <cellStyle name="20% - Accent4 2 3" xfId="1960" xr:uid="{3C7560B5-2A8A-4214-87C4-CDB3424C1DC0}"/>
    <cellStyle name="20% - Accent4 2 4" xfId="2062" xr:uid="{6CC70670-D131-4D6A-B34D-8B08F9A423AE}"/>
    <cellStyle name="20% - Accent4 2 5" xfId="2163" xr:uid="{5DD903BB-AB66-4F4A-89C3-3C68DADF58C5}"/>
    <cellStyle name="20% - Accent4 2 6" xfId="2255" xr:uid="{5E396586-5A45-46AC-8305-82726A553476}"/>
    <cellStyle name="20% - Accent4 2 7" xfId="2343" xr:uid="{7CC508CC-89F1-420E-9E3D-C42F37BCBB3F}"/>
    <cellStyle name="20% - Accent4 2 8" xfId="2472" xr:uid="{D6F36277-5E5B-4062-85D5-097749863420}"/>
    <cellStyle name="20% - Accent4 2 9" xfId="2563" xr:uid="{17B84B7C-ED82-4B40-86C5-B23C2453564F}"/>
    <cellStyle name="20% - Accent4 3" xfId="908" xr:uid="{3D8D4352-58A7-4143-827D-622165263C9E}"/>
    <cellStyle name="20% - Accent4 3 2" xfId="2064" xr:uid="{09A19731-29B3-4DD4-A114-C890D365239B}"/>
    <cellStyle name="20% - Accent4 3 3" xfId="2165" xr:uid="{EFD86740-1FEE-4794-94EA-EC6BBBA15E62}"/>
    <cellStyle name="20% - Accent4 3 4" xfId="2257" xr:uid="{2E992AFF-90CE-46AE-BF38-E19127B82A8E}"/>
    <cellStyle name="20% - Accent4 3 5" xfId="2345" xr:uid="{FA7BEB27-505A-4298-910A-AD01C532C97D}"/>
    <cellStyle name="20% - Accent4 3 6" xfId="2489" xr:uid="{6277D3D4-726E-4037-AD65-0D5B71340651}"/>
    <cellStyle name="20% - Accent4 3 7" xfId="2580" xr:uid="{9AA3E489-EA15-4387-8B02-940159DD42B4}"/>
    <cellStyle name="20% - Accent4 4" xfId="1424" xr:uid="{2E8960EE-7D92-45EF-A858-77F6C5FC5789}"/>
    <cellStyle name="20% - Accent4 4 2" xfId="1690" xr:uid="{7EF7925B-F634-4D8E-A6E6-00AC0A189422}"/>
    <cellStyle name="20% - Accent4 5" xfId="1743" xr:uid="{67E021CF-A81A-4D39-993A-08406F784186}"/>
    <cellStyle name="20% - Accent4 6" xfId="1792" xr:uid="{E5B75AAD-BB28-4C36-AEC3-E0EC57A6F745}"/>
    <cellStyle name="20% - Accent4 7" xfId="1821" xr:uid="{BB16954B-0C0B-40D6-98E9-643EE1E14AF3}"/>
    <cellStyle name="20% - Accent4 8" xfId="1858" xr:uid="{6B40FF0A-3231-4291-8E7D-32B53B92025A}"/>
    <cellStyle name="20% - Accent4 9" xfId="1910" xr:uid="{9C7929AB-9840-4178-85B2-18ACF748E6A7}"/>
    <cellStyle name="20% - Accent5 10" xfId="1961" xr:uid="{2EF56C99-0F09-4FFF-8F06-2024BBEF826B}"/>
    <cellStyle name="20% - Accent5 11" xfId="2004" xr:uid="{789E0D3D-D058-46A2-842D-4592C2190D3D}"/>
    <cellStyle name="20% - Accent5 12" xfId="2024" xr:uid="{2B5210CF-6304-47F1-B5B4-1C1D325DFEFC}"/>
    <cellStyle name="20% - Accent5 13" xfId="2065" xr:uid="{3C832BDE-A2F6-46A9-9563-C880B57AA6A8}"/>
    <cellStyle name="20% - Accent5 14" xfId="2166" xr:uid="{D0C2483B-3ADB-446B-B0FD-B2E6086B8FFF}"/>
    <cellStyle name="20% - Accent5 15" xfId="2258" xr:uid="{3CD4D23B-2C48-4C8F-B676-46E0810B1615}"/>
    <cellStyle name="20% - Accent5 16" xfId="2346" xr:uid="{066B3750-2047-42AB-AB5B-6BBDA8BE6768}"/>
    <cellStyle name="20% - Accent5 17" xfId="2422" xr:uid="{261A7306-A173-42A7-AE57-241225C2B289}"/>
    <cellStyle name="20% - Accent5 18" xfId="2453" xr:uid="{B662E47B-199A-48D6-B79D-923E9D18C19F}"/>
    <cellStyle name="20% - Accent5 19" xfId="2544" xr:uid="{1300865C-4582-4CF6-A28D-653B3162797F}"/>
    <cellStyle name="20% - Accent5 2" xfId="22" xr:uid="{89B5A396-F3BB-4A46-B4D5-F2CDB3E78C25}"/>
    <cellStyle name="20% - Accent5 2 2" xfId="1913" xr:uid="{8071E92A-F2CD-459E-8908-5E7A932FE287}"/>
    <cellStyle name="20% - Accent5 2 2 2" xfId="2067" xr:uid="{600D76A2-3191-4E9F-831D-9C3EA0650B85}"/>
    <cellStyle name="20% - Accent5 2 2 3" xfId="2168" xr:uid="{1639E7AF-F4B7-43C6-8E99-0B5E39224A23}"/>
    <cellStyle name="20% - Accent5 2 2 4" xfId="2260" xr:uid="{1E42B50A-EE61-447D-91C3-8F83BE941A75}"/>
    <cellStyle name="20% - Accent5 2 2 5" xfId="2348" xr:uid="{8125B267-39A4-4199-B2CD-A433EE806017}"/>
    <cellStyle name="20% - Accent5 2 2 6" xfId="2492" xr:uid="{0C4C4B49-D55B-41E9-AE98-76852BA7AFC3}"/>
    <cellStyle name="20% - Accent5 2 2 7" xfId="2583" xr:uid="{C51630AD-ACF0-4370-8C13-80C6D1BA165A}"/>
    <cellStyle name="20% - Accent5 2 3" xfId="1962" xr:uid="{6AC59799-1081-47ED-9867-E3040759C457}"/>
    <cellStyle name="20% - Accent5 2 4" xfId="2066" xr:uid="{17EEAAF9-F933-43B0-BAF4-A7F08B680D7E}"/>
    <cellStyle name="20% - Accent5 2 5" xfId="2167" xr:uid="{A1E3BEC0-EC72-4429-9C7B-7EF29F16E0CC}"/>
    <cellStyle name="20% - Accent5 2 6" xfId="2259" xr:uid="{7B231D97-E2CE-4510-BCB7-C013E459B239}"/>
    <cellStyle name="20% - Accent5 2 7" xfId="2347" xr:uid="{2F4BEAE2-D913-4ECD-B4E1-0F5B5B11252F}"/>
    <cellStyle name="20% - Accent5 2 8" xfId="2475" xr:uid="{46F5F3CF-235A-41B3-9AAA-EA706D7419C5}"/>
    <cellStyle name="20% - Accent5 2 9" xfId="2566" xr:uid="{01A3B883-FA43-48F9-9672-47B98BC220AA}"/>
    <cellStyle name="20% - Accent5 3" xfId="909" xr:uid="{78BF894B-BA0F-42F5-AB53-3B9B554B31A7}"/>
    <cellStyle name="20% - Accent5 3 2" xfId="2068" xr:uid="{CEECE384-D2CA-4574-BD41-94D997CA6B81}"/>
    <cellStyle name="20% - Accent5 3 3" xfId="2169" xr:uid="{545683AF-B707-40A3-B930-FC06CFF22B8C}"/>
    <cellStyle name="20% - Accent5 3 4" xfId="2261" xr:uid="{BFE52293-CB63-4ECD-87E3-8D3F37F7D4EF}"/>
    <cellStyle name="20% - Accent5 3 5" xfId="2349" xr:uid="{18CA49B4-8BBA-46A8-BF05-1D9555699504}"/>
    <cellStyle name="20% - Accent5 3 6" xfId="2491" xr:uid="{CC17132C-A20A-49EC-AAE7-16E7C75EDCDA}"/>
    <cellStyle name="20% - Accent5 3 7" xfId="2582" xr:uid="{17033F3F-2956-4A44-A8DE-5A5559A8F277}"/>
    <cellStyle name="20% - Accent5 4" xfId="1428" xr:uid="{CFB7585F-4688-4DED-875C-32288660D3C9}"/>
    <cellStyle name="20% - Accent5 4 2" xfId="1691" xr:uid="{F0A99C1D-89D3-46E7-9D3A-43ACF1621EB4}"/>
    <cellStyle name="20% - Accent5 5" xfId="1744" xr:uid="{AE4369FF-FACF-49BC-90F4-53E45BEFBEE5}"/>
    <cellStyle name="20% - Accent5 6" xfId="1793" xr:uid="{A141B34D-4A68-4B5C-A6A5-9254CD40447D}"/>
    <cellStyle name="20% - Accent5 7" xfId="1822" xr:uid="{76D0546B-505F-4622-915F-D3FE04996F6A}"/>
    <cellStyle name="20% - Accent5 8" xfId="1863" xr:uid="{2FA5D889-9B6F-4662-89C2-6ACB03E7069D}"/>
    <cellStyle name="20% - Accent5 9" xfId="1912" xr:uid="{E96EA121-EEAB-4673-BEE0-D2CF03E156AF}"/>
    <cellStyle name="20% - Accent6 10" xfId="1963" xr:uid="{EA1548BA-70FA-4FFE-8F1C-0363ADCC859A}"/>
    <cellStyle name="20% - Accent6 11" xfId="2005" xr:uid="{E2496023-1EF9-4C50-A1F0-D9052CF95338}"/>
    <cellStyle name="20% - Accent6 12" xfId="2025" xr:uid="{9E2E1DC0-4153-4486-84AC-F9188DE81302}"/>
    <cellStyle name="20% - Accent6 13" xfId="2069" xr:uid="{7FFF86BF-FA4D-4517-B7FB-E993D34288AC}"/>
    <cellStyle name="20% - Accent6 14" xfId="2170" xr:uid="{68256BE0-80D8-4017-9997-043633242167}"/>
    <cellStyle name="20% - Accent6 15" xfId="2262" xr:uid="{46C42B1A-E39E-4DBD-BD18-08A33537F3C1}"/>
    <cellStyle name="20% - Accent6 16" xfId="2350" xr:uid="{5F4D4F7E-AA40-484D-9833-3311172CD911}"/>
    <cellStyle name="20% - Accent6 17" xfId="2423" xr:uid="{B6B246E6-BD41-4031-8066-27D6315D4597}"/>
    <cellStyle name="20% - Accent6 18" xfId="2456" xr:uid="{3360D172-9A01-41FC-8239-7648171181E9}"/>
    <cellStyle name="20% - Accent6 19" xfId="2547" xr:uid="{F4338858-D023-42DF-9425-26D5452DB0BA}"/>
    <cellStyle name="20% - Accent6 2" xfId="23" xr:uid="{6290CD06-736C-491C-8C31-64ACC19E2232}"/>
    <cellStyle name="20% - Accent6 2 2" xfId="1915" xr:uid="{FE4EEE20-0527-4AA0-84D0-AF8B314391F9}"/>
    <cellStyle name="20% - Accent6 2 2 2" xfId="2071" xr:uid="{B201FDCB-87C8-418B-B926-1D250BB707A0}"/>
    <cellStyle name="20% - Accent6 2 2 3" xfId="2172" xr:uid="{F9FA6BE4-BD75-481E-95C4-5FD701231585}"/>
    <cellStyle name="20% - Accent6 2 2 4" xfId="2264" xr:uid="{DD9F4AB9-7EC5-45A7-9FA8-67EA4CC7AB8A}"/>
    <cellStyle name="20% - Accent6 2 2 5" xfId="2352" xr:uid="{2E99E5EC-FF5B-4DCB-BC68-45AAB3EBE772}"/>
    <cellStyle name="20% - Accent6 2 2 6" xfId="2494" xr:uid="{34D02E9A-3ACD-4376-9F28-BC22B460842D}"/>
    <cellStyle name="20% - Accent6 2 2 7" xfId="2585" xr:uid="{E4CF5624-B2D8-4B6A-8828-916FE06B68A7}"/>
    <cellStyle name="20% - Accent6 2 3" xfId="1964" xr:uid="{9DEC9B07-1FD0-40F0-ABEE-A2936FA0D117}"/>
    <cellStyle name="20% - Accent6 2 4" xfId="2070" xr:uid="{076D38B4-08C6-45F2-89A4-A124A96D5715}"/>
    <cellStyle name="20% - Accent6 2 5" xfId="2171" xr:uid="{ABE755C9-1ACE-4272-9CA9-57F42F062D4C}"/>
    <cellStyle name="20% - Accent6 2 6" xfId="2263" xr:uid="{2F579264-7145-4081-8867-518D29668A05}"/>
    <cellStyle name="20% - Accent6 2 7" xfId="2351" xr:uid="{E5BADBC4-78C8-4511-9102-9C126886619D}"/>
    <cellStyle name="20% - Accent6 2 8" xfId="2478" xr:uid="{ED065AB3-052F-47C8-98AC-B1803808DC5A}"/>
    <cellStyle name="20% - Accent6 2 9" xfId="2569" xr:uid="{880B04C3-D2D7-4633-9818-1169DA41F0B4}"/>
    <cellStyle name="20% - Accent6 3" xfId="910" xr:uid="{AA636182-F682-4F46-84E2-6A66423B84D2}"/>
    <cellStyle name="20% - Accent6 3 2" xfId="2072" xr:uid="{2EFF35E2-D413-45F0-B79C-FAF4242798AF}"/>
    <cellStyle name="20% - Accent6 3 3" xfId="2173" xr:uid="{9A6A0D34-21B7-431C-B79F-0DC6860F8841}"/>
    <cellStyle name="20% - Accent6 3 4" xfId="2265" xr:uid="{052A4D86-2590-427A-A19E-8504BBD2C806}"/>
    <cellStyle name="20% - Accent6 3 5" xfId="2353" xr:uid="{8962FDEB-36A0-44F1-9C86-AE2EA3042392}"/>
    <cellStyle name="20% - Accent6 3 6" xfId="2493" xr:uid="{851BE8EC-E36F-4D1D-8F14-B6EF687F4BA4}"/>
    <cellStyle name="20% - Accent6 3 7" xfId="2584" xr:uid="{2D05EECF-45E3-4627-8C29-64DF1D79EF82}"/>
    <cellStyle name="20% - Accent6 4" xfId="1432" xr:uid="{F700FCC8-2059-4E82-962F-33C15820AF9F}"/>
    <cellStyle name="20% - Accent6 4 2" xfId="1692" xr:uid="{C1B4CD00-016D-4433-83D0-43F45D7F4443}"/>
    <cellStyle name="20% - Accent6 5" xfId="1745" xr:uid="{EBB0E55E-65D3-4B94-B144-B741DC2BC1AC}"/>
    <cellStyle name="20% - Accent6 6" xfId="1794" xr:uid="{AF4EEEBB-5674-44DF-8133-90B597C81909}"/>
    <cellStyle name="20% - Accent6 7" xfId="1823" xr:uid="{099DEC6D-9B4C-40F1-BA9C-B492AF37EC9D}"/>
    <cellStyle name="20% - Accent6 8" xfId="1864" xr:uid="{64DF8D39-6041-4085-9752-12E6DFC018BB}"/>
    <cellStyle name="20% - Accent6 9" xfId="1914" xr:uid="{A1F1BACA-B241-47A7-A621-5BC8D2DCA87A}"/>
    <cellStyle name="3dp" xfId="24" xr:uid="{8A8356F5-5418-403B-BD8F-6CEC086D47BB}"/>
    <cellStyle name="3dp 2" xfId="25" xr:uid="{930CF76B-32AC-4FD8-B72F-168BEA0EC746}"/>
    <cellStyle name="3dp 2 2" xfId="1538" xr:uid="{E77F66C8-300A-4D38-8537-88E7A7EFB3BA}"/>
    <cellStyle name="3dp 3" xfId="1537" xr:uid="{7411A2A8-A2B9-4836-862F-95A067BE01F5}"/>
    <cellStyle name="40% - Accent1 10" xfId="1965" xr:uid="{0269DE0A-A92E-4084-810E-533BED901750}"/>
    <cellStyle name="40% - Accent1 11" xfId="2006" xr:uid="{9449E275-B368-42F0-9359-28EA6688993B}"/>
    <cellStyle name="40% - Accent1 12" xfId="2026" xr:uid="{7B7A096F-FE30-4892-8798-A321CF45486F}"/>
    <cellStyle name="40% - Accent1 13" xfId="2073" xr:uid="{62D11C55-13E7-4849-961F-B4F4096EB69F}"/>
    <cellStyle name="40% - Accent1 14" xfId="2174" xr:uid="{39F3BB5E-1DE3-49B1-B3B3-2D09A85DD97C}"/>
    <cellStyle name="40% - Accent1 15" xfId="2266" xr:uid="{D2B40FBE-4730-4906-9794-C3FDD7562B86}"/>
    <cellStyle name="40% - Accent1 16" xfId="2354" xr:uid="{3F2B3649-4102-4CB9-8B06-F7FF365650DC}"/>
    <cellStyle name="40% - Accent1 17" xfId="2424" xr:uid="{D1C85E3C-8AED-457C-82D9-E4EDAB2D5455}"/>
    <cellStyle name="40% - Accent1 18" xfId="2441" xr:uid="{59B0CE39-ACAA-4FED-AA1F-FA3259904A34}"/>
    <cellStyle name="40% - Accent1 19" xfId="2533" xr:uid="{D29CEE77-B7FF-482C-9034-14C593830DF7}"/>
    <cellStyle name="40% - Accent1 2" xfId="26" xr:uid="{B2B3C6D4-08EB-4B3D-BA79-2AE51AB0A9BC}"/>
    <cellStyle name="40% - Accent1 2 2" xfId="1917" xr:uid="{A7042377-ADE1-4DF0-A525-C4DE7A0D06C5}"/>
    <cellStyle name="40% - Accent1 2 2 2" xfId="2075" xr:uid="{D1A06185-CA83-4095-B76F-AB087F26D8FC}"/>
    <cellStyle name="40% - Accent1 2 2 3" xfId="2176" xr:uid="{CFB474C5-34A6-4639-990B-313D91610D73}"/>
    <cellStyle name="40% - Accent1 2 2 4" xfId="2268" xr:uid="{FA53F778-E1F9-473B-86D5-302233A32153}"/>
    <cellStyle name="40% - Accent1 2 2 5" xfId="2356" xr:uid="{3CDA7397-984D-4290-B7B0-C5AE11E09B48}"/>
    <cellStyle name="40% - Accent1 2 2 6" xfId="2496" xr:uid="{5FFBB2FD-3317-4003-B63F-478218E50733}"/>
    <cellStyle name="40% - Accent1 2 2 7" xfId="2587" xr:uid="{1E573E2A-5386-4BEC-A4FC-F5E68C964E51}"/>
    <cellStyle name="40% - Accent1 2 3" xfId="1966" xr:uid="{B6C4D9C2-F2CD-4F8B-8F2F-56A917A5E2AB}"/>
    <cellStyle name="40% - Accent1 2 4" xfId="2074" xr:uid="{7C3B2EFA-32EB-4A4A-BE9B-58EFA531D29D}"/>
    <cellStyle name="40% - Accent1 2 5" xfId="2175" xr:uid="{E8150015-FC67-427B-B3F1-80D42A44CF5B}"/>
    <cellStyle name="40% - Accent1 2 6" xfId="2267" xr:uid="{E1D84241-50FC-407B-B8F7-0855F0FFE67E}"/>
    <cellStyle name="40% - Accent1 2 7" xfId="2355" xr:uid="{5B1E75D4-5B01-4A15-9303-163B129E60E0}"/>
    <cellStyle name="40% - Accent1 2 8" xfId="2464" xr:uid="{B9CE647C-F184-498C-912C-7AC52964C92E}"/>
    <cellStyle name="40% - Accent1 2 9" xfId="2555" xr:uid="{75062925-1FF5-4192-8DFE-5EF42ED070DA}"/>
    <cellStyle name="40% - Accent1 3" xfId="911" xr:uid="{CF6389CC-4259-4850-A3CD-A8E86758A55D}"/>
    <cellStyle name="40% - Accent1 3 2" xfId="2076" xr:uid="{E165F29D-A880-4EA2-A5DF-341B9CBC914F}"/>
    <cellStyle name="40% - Accent1 3 3" xfId="2177" xr:uid="{4607CDF2-D371-48A0-9111-2025D0A9682F}"/>
    <cellStyle name="40% - Accent1 3 4" xfId="2269" xr:uid="{47305E07-5E29-4D54-9077-251001C2702C}"/>
    <cellStyle name="40% - Accent1 3 5" xfId="2357" xr:uid="{487FED05-E0D0-4160-A758-DA70B4C20AC5}"/>
    <cellStyle name="40% - Accent1 3 6" xfId="2495" xr:uid="{427CD81B-B7F0-4FA9-A107-9DDF85D22A19}"/>
    <cellStyle name="40% - Accent1 3 7" xfId="2586" xr:uid="{4F5EC119-F2BB-46B0-B4D7-DDB2178887EC}"/>
    <cellStyle name="40% - Accent1 4" xfId="1413" xr:uid="{1BB1F355-7B9C-43EC-8C6C-53228AF39583}"/>
    <cellStyle name="40% - Accent1 4 2" xfId="1693" xr:uid="{6FAD91F5-9FC6-4524-BA29-C2FA39ED075E}"/>
    <cellStyle name="40% - Accent1 5" xfId="1746" xr:uid="{4982BEBD-EB88-4363-AE04-0510F196E712}"/>
    <cellStyle name="40% - Accent1 6" xfId="1795" xr:uid="{E1EFDC9E-A2DF-4D98-9AAD-B020988FEFBB}"/>
    <cellStyle name="40% - Accent1 7" xfId="1824" xr:uid="{19BFB506-8C8F-47A3-A5B7-7697FE3E2A07}"/>
    <cellStyle name="40% - Accent1 8" xfId="1865" xr:uid="{7EFA78CD-B38B-4841-A270-E4DFA883571C}"/>
    <cellStyle name="40% - Accent1 9" xfId="1916" xr:uid="{6064E52F-82BC-4A39-A134-67E617C5B98D}"/>
    <cellStyle name="40% - Accent2 10" xfId="1967" xr:uid="{FB235200-F69C-4E3F-9236-1754AEA2B435}"/>
    <cellStyle name="40% - Accent2 11" xfId="2007" xr:uid="{DDDD3498-57FC-420D-9FA5-490165D633AB}"/>
    <cellStyle name="40% - Accent2 12" xfId="2027" xr:uid="{9DF0D1BA-90FC-401A-8228-D0558FD7526F}"/>
    <cellStyle name="40% - Accent2 13" xfId="2077" xr:uid="{5E05AE31-86AC-48B4-B51F-C2642FB34AAA}"/>
    <cellStyle name="40% - Accent2 14" xfId="2178" xr:uid="{7C799B66-4F44-4B0C-AC24-A866B4EF63D1}"/>
    <cellStyle name="40% - Accent2 15" xfId="2270" xr:uid="{B41FD2E3-5098-4B8F-9C72-D934953378DB}"/>
    <cellStyle name="40% - Accent2 16" xfId="2358" xr:uid="{DFE924FD-8CC3-4610-BEE4-8ECD1022EF9E}"/>
    <cellStyle name="40% - Accent2 17" xfId="2425" xr:uid="{D8D7C081-9899-4C78-8C30-F2AD10D20101}"/>
    <cellStyle name="40% - Accent2 18" xfId="2444" xr:uid="{5A277C78-F79C-4395-AA53-1C951C00D88A}"/>
    <cellStyle name="40% - Accent2 19" xfId="2536" xr:uid="{15D4A811-1202-4C12-AAD4-DFD8C2831584}"/>
    <cellStyle name="40% - Accent2 2" xfId="27" xr:uid="{50CFDDB9-91D0-47A6-B84C-7C7417F9A8AC}"/>
    <cellStyle name="40% - Accent2 2 2" xfId="1919" xr:uid="{B7AB175B-3D94-4246-901C-ED423C0D939B}"/>
    <cellStyle name="40% - Accent2 2 2 2" xfId="2079" xr:uid="{40955FEA-6914-4DF4-89FC-9DC9113257CA}"/>
    <cellStyle name="40% - Accent2 2 2 3" xfId="2180" xr:uid="{1051EA05-1686-47ED-8285-EA83651A1AF2}"/>
    <cellStyle name="40% - Accent2 2 2 4" xfId="2272" xr:uid="{A1CC9857-FF10-4A1F-BB3B-CED573C8ACF3}"/>
    <cellStyle name="40% - Accent2 2 2 5" xfId="2360" xr:uid="{B61EDB4B-182F-47A3-8B15-FD494428C609}"/>
    <cellStyle name="40% - Accent2 2 2 6" xfId="2498" xr:uid="{6E3C5C35-2754-45CC-BADD-D0E37F5227FD}"/>
    <cellStyle name="40% - Accent2 2 2 7" xfId="2589" xr:uid="{5F7BE388-6673-48C1-BEE1-D0F9AC857510}"/>
    <cellStyle name="40% - Accent2 2 3" xfId="1968" xr:uid="{882C6ADF-8242-4E06-A0DE-4AE43A0BA4A2}"/>
    <cellStyle name="40% - Accent2 2 4" xfId="2078" xr:uid="{DB55C0F1-DD4C-4A1C-9325-846A957CF171}"/>
    <cellStyle name="40% - Accent2 2 5" xfId="2179" xr:uid="{EB8C9378-32B7-48A3-B5AA-E65AB3E37734}"/>
    <cellStyle name="40% - Accent2 2 6" xfId="2271" xr:uid="{2E5CC3BA-353A-40E9-9563-74DA06AF1168}"/>
    <cellStyle name="40% - Accent2 2 7" xfId="2359" xr:uid="{16D0FD34-29B2-4C9D-9FF5-0DEB5FAAD12D}"/>
    <cellStyle name="40% - Accent2 2 8" xfId="2467" xr:uid="{CB663366-7536-4EAE-92D5-906F9913B334}"/>
    <cellStyle name="40% - Accent2 2 9" xfId="2558" xr:uid="{EFF02A43-2138-458C-A0A2-AA72632B5BAE}"/>
    <cellStyle name="40% - Accent2 3" xfId="912" xr:uid="{BDE13B58-5298-4CDD-8239-13AB53C4D1EB}"/>
    <cellStyle name="40% - Accent2 3 2" xfId="2080" xr:uid="{B639B9EF-08F8-4DE1-A644-B39F0B7EC3E0}"/>
    <cellStyle name="40% - Accent2 3 3" xfId="2181" xr:uid="{6A3C49E7-BF87-4D04-9CF1-92DA39F8BBC9}"/>
    <cellStyle name="40% - Accent2 3 4" xfId="2273" xr:uid="{ED512673-029B-4876-AEA3-959F822FE13E}"/>
    <cellStyle name="40% - Accent2 3 5" xfId="2361" xr:uid="{23CE8AA9-70CD-426E-B186-F39EA6626CBB}"/>
    <cellStyle name="40% - Accent2 3 6" xfId="2497" xr:uid="{5A6804B6-2372-40AB-9769-2B26EBBFB263}"/>
    <cellStyle name="40% - Accent2 3 7" xfId="2588" xr:uid="{3A774C3E-7B70-43CD-A60A-B0FA58D321D1}"/>
    <cellStyle name="40% - Accent2 4" xfId="1417" xr:uid="{75279BBF-1C70-41AD-AC76-565D4D8B8A89}"/>
    <cellStyle name="40% - Accent2 4 2" xfId="1694" xr:uid="{ABBC17C5-2D94-414F-9B72-61BC75B16419}"/>
    <cellStyle name="40% - Accent2 5" xfId="1747" xr:uid="{A5129E49-8374-4D34-A9F7-891B15812A4E}"/>
    <cellStyle name="40% - Accent2 6" xfId="1796" xr:uid="{01315494-8531-4722-BC8F-F390C6EEA00A}"/>
    <cellStyle name="40% - Accent2 7" xfId="1825" xr:uid="{AB7E9EE4-C2EC-4A2F-80C9-05089786C541}"/>
    <cellStyle name="40% - Accent2 8" xfId="1866" xr:uid="{49C48A6F-D31F-4A6A-AC26-9453BBAC4946}"/>
    <cellStyle name="40% - Accent2 9" xfId="1918" xr:uid="{B4039E5F-810E-4654-8BBF-544528ACF7C4}"/>
    <cellStyle name="40% - Accent3 10" xfId="1969" xr:uid="{C7ECB93F-F82F-4E13-B457-DB29848C78D7}"/>
    <cellStyle name="40% - Accent3 11" xfId="2008" xr:uid="{5A2ED384-0A9E-48FC-94D8-3088DCA7F56B}"/>
    <cellStyle name="40% - Accent3 12" xfId="2028" xr:uid="{679B5DC0-5F8B-4749-809D-333BFDD84D13}"/>
    <cellStyle name="40% - Accent3 13" xfId="2081" xr:uid="{ACCFE085-DDA5-414F-A323-330C77923B59}"/>
    <cellStyle name="40% - Accent3 14" xfId="2182" xr:uid="{25926D2E-53AA-4666-9ACA-0E98F9BD1B37}"/>
    <cellStyle name="40% - Accent3 15" xfId="2274" xr:uid="{F020AE40-B37E-4A4F-BAE7-19910739307D}"/>
    <cellStyle name="40% - Accent3 16" xfId="2362" xr:uid="{516DDF03-877B-44CC-945B-6669724248DF}"/>
    <cellStyle name="40% - Accent3 17" xfId="2426" xr:uid="{ABAD80FC-7114-45AB-ABD1-7EA3DE9CD40D}"/>
    <cellStyle name="40% - Accent3 18" xfId="2447" xr:uid="{F7553535-7AD4-446F-BB2C-A76D15C6C285}"/>
    <cellStyle name="40% - Accent3 19" xfId="2539" xr:uid="{D0951FAB-9534-436B-9CCE-2506A2798972}"/>
    <cellStyle name="40% - Accent3 2" xfId="28" xr:uid="{2A7B0F3A-7187-4D06-A8AF-2BBB3DF76A43}"/>
    <cellStyle name="40% - Accent3 2 2" xfId="1921" xr:uid="{E7650F54-388F-4694-A0F2-98F6CD776CB0}"/>
    <cellStyle name="40% - Accent3 2 2 2" xfId="2083" xr:uid="{72ADF3DB-E8EC-4D23-AF7B-E5DD1CDFD3D7}"/>
    <cellStyle name="40% - Accent3 2 2 3" xfId="2184" xr:uid="{72EC2A14-655F-40CC-8729-60E7B7A3E7A2}"/>
    <cellStyle name="40% - Accent3 2 2 4" xfId="2276" xr:uid="{C1D8BE36-0FA0-4C20-8331-E9DF0328DF84}"/>
    <cellStyle name="40% - Accent3 2 2 5" xfId="2364" xr:uid="{82DA1139-605B-4384-9603-C9DD69676FAF}"/>
    <cellStyle name="40% - Accent3 2 2 6" xfId="2500" xr:uid="{C0F7DA8D-972B-4CF6-8EF2-BD934025367C}"/>
    <cellStyle name="40% - Accent3 2 2 7" xfId="2591" xr:uid="{CA114B6B-B0F0-44C0-800B-C91680DA669B}"/>
    <cellStyle name="40% - Accent3 2 3" xfId="1970" xr:uid="{80286A01-8E37-420E-8A11-ADD8C2CA6B1C}"/>
    <cellStyle name="40% - Accent3 2 4" xfId="2082" xr:uid="{27636A8B-7E2E-4941-8774-B84714AF7258}"/>
    <cellStyle name="40% - Accent3 2 5" xfId="2183" xr:uid="{E5141368-4865-447C-A809-366D4DD5D7DD}"/>
    <cellStyle name="40% - Accent3 2 6" xfId="2275" xr:uid="{3CBAFAE5-EAFF-4D7A-8FE4-78EC676F2614}"/>
    <cellStyle name="40% - Accent3 2 7" xfId="2363" xr:uid="{E27D6B01-BF97-4D56-ADAA-02D3629E8198}"/>
    <cellStyle name="40% - Accent3 2 8" xfId="2470" xr:uid="{EBCC3F99-6E3E-40BE-97C4-D76D7E48D6A1}"/>
    <cellStyle name="40% - Accent3 2 9" xfId="2561" xr:uid="{11FD9CAA-2B6C-4924-BC1A-B535CE9F87C9}"/>
    <cellStyle name="40% - Accent3 3" xfId="913" xr:uid="{2604DDD2-32B8-441B-AD16-98533D273B2E}"/>
    <cellStyle name="40% - Accent3 3 2" xfId="2084" xr:uid="{9733F4D4-B23D-42FC-96DD-6FE166F104B9}"/>
    <cellStyle name="40% - Accent3 3 3" xfId="2185" xr:uid="{3A23C7C0-AA67-439B-98D4-9B32789FFFF9}"/>
    <cellStyle name="40% - Accent3 3 4" xfId="2277" xr:uid="{408D9944-C619-4A23-A69F-FB35F95384BD}"/>
    <cellStyle name="40% - Accent3 3 5" xfId="2365" xr:uid="{6962EC51-2769-4466-B210-72CD5D5BE164}"/>
    <cellStyle name="40% - Accent3 3 6" xfId="2499" xr:uid="{1BC59191-8F24-4DF8-A5B1-41D5FAA33B89}"/>
    <cellStyle name="40% - Accent3 3 7" xfId="2590" xr:uid="{CDF876F0-E36F-42E2-B23F-F3497825E410}"/>
    <cellStyle name="40% - Accent3 4" xfId="1421" xr:uid="{4C47009C-3815-4B7B-BDC8-6B816BAAE343}"/>
    <cellStyle name="40% - Accent3 4 2" xfId="1695" xr:uid="{2D08D7DC-6E42-42EC-82A4-1F98720D4452}"/>
    <cellStyle name="40% - Accent3 5" xfId="1748" xr:uid="{85192017-5F92-4844-B817-0D1B367C882A}"/>
    <cellStyle name="40% - Accent3 6" xfId="1797" xr:uid="{D85E446D-0A9A-4BD7-9D18-B9FC52332ABA}"/>
    <cellStyle name="40% - Accent3 7" xfId="1826" xr:uid="{57FA643A-72E8-4E4F-B22F-EFC5F921F15E}"/>
    <cellStyle name="40% - Accent3 8" xfId="1867" xr:uid="{48402E59-9B46-4BB3-808E-3A351855FE61}"/>
    <cellStyle name="40% - Accent3 9" xfId="1920" xr:uid="{C2CB9F2C-C3E5-468C-B3A0-99060FF1200C}"/>
    <cellStyle name="40% - Accent4 10" xfId="1971" xr:uid="{E020FD88-2758-4EE5-8A72-FD32DF74521B}"/>
    <cellStyle name="40% - Accent4 11" xfId="2009" xr:uid="{8FDE3C45-B8AD-4EFA-9D5A-6F8419794B38}"/>
    <cellStyle name="40% - Accent4 12" xfId="2029" xr:uid="{713BA882-3A64-4315-A445-2BB80C804C9B}"/>
    <cellStyle name="40% - Accent4 13" xfId="2085" xr:uid="{739434D1-4F38-44AF-9527-A7175C823232}"/>
    <cellStyle name="40% - Accent4 14" xfId="2186" xr:uid="{5DC23901-F54D-452B-82DF-455E7308E3D9}"/>
    <cellStyle name="40% - Accent4 15" xfId="2278" xr:uid="{CE37E762-C4CD-4905-A13A-0D336B907C8A}"/>
    <cellStyle name="40% - Accent4 16" xfId="2366" xr:uid="{4C94E330-7F5C-40E2-A584-3BF6D64C8CFC}"/>
    <cellStyle name="40% - Accent4 17" xfId="2427" xr:uid="{51BE1BD9-48F2-4F89-ABF3-E78381C244DE}"/>
    <cellStyle name="40% - Accent4 18" xfId="2451" xr:uid="{D7D30B61-FF30-4DEE-B15D-E6178ED195AD}"/>
    <cellStyle name="40% - Accent4 19" xfId="2542" xr:uid="{EDB265D4-6868-46F8-95F0-5EA50447A4C2}"/>
    <cellStyle name="40% - Accent4 2" xfId="29" xr:uid="{0E839C3E-AFBF-4C2C-A154-0793F4C63FE4}"/>
    <cellStyle name="40% - Accent4 2 2" xfId="1923" xr:uid="{E57D2F91-4616-4F0E-811B-97CE607891FC}"/>
    <cellStyle name="40% - Accent4 2 2 2" xfId="2087" xr:uid="{9827058B-223A-4B06-9E5C-A96DEF69326E}"/>
    <cellStyle name="40% - Accent4 2 2 3" xfId="2188" xr:uid="{68160987-076B-4B45-B758-A524FDAE8FDB}"/>
    <cellStyle name="40% - Accent4 2 2 4" xfId="2280" xr:uid="{CE32EF11-0754-463B-BF5C-64CEDAF1F2CA}"/>
    <cellStyle name="40% - Accent4 2 2 5" xfId="2368" xr:uid="{FE09C0E1-B814-4C18-B4D2-351E9B79D241}"/>
    <cellStyle name="40% - Accent4 2 2 6" xfId="2502" xr:uid="{A9E3AFB4-BCFB-4C44-BF90-6FDAC68AA9EA}"/>
    <cellStyle name="40% - Accent4 2 2 7" xfId="2593" xr:uid="{D1EF577D-3A11-4392-A466-43EE3C7D47FC}"/>
    <cellStyle name="40% - Accent4 2 3" xfId="1972" xr:uid="{00F3B8E3-FB7F-41B1-B5E5-CFF0FA8357B8}"/>
    <cellStyle name="40% - Accent4 2 4" xfId="2086" xr:uid="{3F6F57AA-A8BD-42EE-B54D-202AF4BF1DAD}"/>
    <cellStyle name="40% - Accent4 2 5" xfId="2187" xr:uid="{D46D3EE7-6D26-4B7A-AFA8-A157938A5C1F}"/>
    <cellStyle name="40% - Accent4 2 6" xfId="2279" xr:uid="{E692B753-5EC8-46F4-87CE-11477416FDDB}"/>
    <cellStyle name="40% - Accent4 2 7" xfId="2367" xr:uid="{9D3E19B8-9795-4A91-A9B6-221524663012}"/>
    <cellStyle name="40% - Accent4 2 8" xfId="2473" xr:uid="{12C51C48-D862-4861-B284-AAE070840616}"/>
    <cellStyle name="40% - Accent4 2 9" xfId="2564" xr:uid="{A9A1EF45-254F-4589-81FF-B923016AACD8}"/>
    <cellStyle name="40% - Accent4 3" xfId="914" xr:uid="{3CCC5429-F6E2-4D0D-9DAE-7D66CC1F7AA5}"/>
    <cellStyle name="40% - Accent4 3 2" xfId="2088" xr:uid="{E0A294B3-F6C0-4FBB-8EDE-C535CB835A25}"/>
    <cellStyle name="40% - Accent4 3 3" xfId="2189" xr:uid="{8A64849D-AC5F-49FA-9B28-E88B094BB6E8}"/>
    <cellStyle name="40% - Accent4 3 4" xfId="2281" xr:uid="{B29BFB8B-04CA-4FA5-9E6D-8BFC60174F23}"/>
    <cellStyle name="40% - Accent4 3 5" xfId="2369" xr:uid="{138A90B7-2C91-4C40-8484-8BD7FBB14A75}"/>
    <cellStyle name="40% - Accent4 3 6" xfId="2501" xr:uid="{CB611164-280B-427C-9748-426D4ABA8D90}"/>
    <cellStyle name="40% - Accent4 3 7" xfId="2592" xr:uid="{44FE4D3F-E8A4-4E16-82A2-2C704D008C41}"/>
    <cellStyle name="40% - Accent4 4" xfId="1425" xr:uid="{8FD1A260-467C-43DC-9D3D-1D37060418CC}"/>
    <cellStyle name="40% - Accent4 4 2" xfId="1696" xr:uid="{A8B50A4F-015E-47DB-ADB6-82972BB0AC40}"/>
    <cellStyle name="40% - Accent4 5" xfId="1749" xr:uid="{35B430C9-9955-40D1-8274-9C0C4F1AF3B2}"/>
    <cellStyle name="40% - Accent4 6" xfId="1798" xr:uid="{524640EE-2890-4092-A2DF-732B2CB8225B}"/>
    <cellStyle name="40% - Accent4 7" xfId="1827" xr:uid="{2CCB0C3A-E698-44C1-B2E6-8D8DABF0B8C2}"/>
    <cellStyle name="40% - Accent4 8" xfId="1868" xr:uid="{B4C92EC2-D5D5-4B56-A291-E334C1F35D58}"/>
    <cellStyle name="40% - Accent4 9" xfId="1922" xr:uid="{E525DC8D-8128-4127-9EC1-E7B481D4193D}"/>
    <cellStyle name="40% - Accent5 10" xfId="1973" xr:uid="{22DFB6A6-549F-4B47-B9C0-A97E3A9AA66D}"/>
    <cellStyle name="40% - Accent5 11" xfId="2010" xr:uid="{DEF07F80-3637-4E28-A9A5-9C71279BB3DC}"/>
    <cellStyle name="40% - Accent5 12" xfId="2030" xr:uid="{3DC48999-40B5-49AE-8D29-8F5B278F9F6C}"/>
    <cellStyle name="40% - Accent5 13" xfId="2089" xr:uid="{3711DC73-40CD-4AB1-AC42-7BF9861A7B00}"/>
    <cellStyle name="40% - Accent5 14" xfId="2190" xr:uid="{22EAD1C9-A5BD-4B20-812B-D85D21AB09A1}"/>
    <cellStyle name="40% - Accent5 15" xfId="2282" xr:uid="{1AFE6CD4-0C0F-4120-8368-F3D6F081C257}"/>
    <cellStyle name="40% - Accent5 16" xfId="2370" xr:uid="{B1FE0F01-6A07-42A7-804D-BDD216336461}"/>
    <cellStyle name="40% - Accent5 17" xfId="2428" xr:uid="{0A57D4BC-5655-4C8F-9390-E3AEACD1B3CD}"/>
    <cellStyle name="40% - Accent5 18" xfId="2454" xr:uid="{0A0FD581-0471-44AF-9E68-1B6AB46D8AB0}"/>
    <cellStyle name="40% - Accent5 19" xfId="2545" xr:uid="{973C7566-67DE-49AC-84DB-A4CDC1E0E230}"/>
    <cellStyle name="40% - Accent5 2" xfId="30" xr:uid="{13B7D420-5131-4E93-8C17-E4C6A0827D28}"/>
    <cellStyle name="40% - Accent5 2 2" xfId="1925" xr:uid="{3C1A9113-DB33-422F-8448-D9B129F9C8CD}"/>
    <cellStyle name="40% - Accent5 2 2 2" xfId="2091" xr:uid="{59375727-B7C9-48AD-A5B1-CA6458D08B87}"/>
    <cellStyle name="40% - Accent5 2 2 3" xfId="2192" xr:uid="{8DA4EBC4-3B21-4E36-94EC-CB948188D718}"/>
    <cellStyle name="40% - Accent5 2 2 4" xfId="2284" xr:uid="{3AC4295B-A560-4ACA-9E77-58C2298AA519}"/>
    <cellStyle name="40% - Accent5 2 2 5" xfId="2372" xr:uid="{6D3EB4B9-7E50-4929-9F06-6CA7B0FCC25C}"/>
    <cellStyle name="40% - Accent5 2 2 6" xfId="2504" xr:uid="{D2D3A2F9-CA5B-4514-BD2A-DD31189306A2}"/>
    <cellStyle name="40% - Accent5 2 2 7" xfId="2595" xr:uid="{ECFDB531-774D-4E55-9D2A-AE4CD017A129}"/>
    <cellStyle name="40% - Accent5 2 3" xfId="1974" xr:uid="{E19567EE-098F-4916-9C00-60481F1B5BE1}"/>
    <cellStyle name="40% - Accent5 2 4" xfId="2090" xr:uid="{38F346DC-2D5F-4697-ADD2-1513DB104E84}"/>
    <cellStyle name="40% - Accent5 2 5" xfId="2191" xr:uid="{0451013A-CF2E-4829-80DA-6006BD52B80F}"/>
    <cellStyle name="40% - Accent5 2 6" xfId="2283" xr:uid="{267DE305-E222-42B8-AEC6-EA464FD0388F}"/>
    <cellStyle name="40% - Accent5 2 7" xfId="2371" xr:uid="{09671B47-7F77-42D2-80F7-CF213EB7E3E4}"/>
    <cellStyle name="40% - Accent5 2 8" xfId="2476" xr:uid="{5F29F10B-EAC0-48AA-BBF9-13F5CCDCAAFF}"/>
    <cellStyle name="40% - Accent5 2 9" xfId="2567" xr:uid="{242AC8BE-AB05-4F79-B262-37F02F93A205}"/>
    <cellStyle name="40% - Accent5 3" xfId="915" xr:uid="{ABB0CF16-6EAF-44BF-8E70-E858C950E878}"/>
    <cellStyle name="40% - Accent5 3 2" xfId="2092" xr:uid="{FC652AF0-F7C1-4A76-A259-CEA152596BFD}"/>
    <cellStyle name="40% - Accent5 3 3" xfId="2193" xr:uid="{A117A8D6-9BFF-47F4-9963-B62B61196851}"/>
    <cellStyle name="40% - Accent5 3 4" xfId="2285" xr:uid="{0E88DD69-A680-41E3-B3E0-7B6BF4CE25F9}"/>
    <cellStyle name="40% - Accent5 3 5" xfId="2373" xr:uid="{9D029882-24D2-471E-97AA-F344B9CEA31E}"/>
    <cellStyle name="40% - Accent5 3 6" xfId="2503" xr:uid="{2078876C-AFF1-4D80-8BAF-2AD6BABD4E42}"/>
    <cellStyle name="40% - Accent5 3 7" xfId="2594" xr:uid="{ECD346D8-380A-4808-8836-719CDC2617A9}"/>
    <cellStyle name="40% - Accent5 4" xfId="1429" xr:uid="{B529E172-F700-4613-8451-681C63D2C1CC}"/>
    <cellStyle name="40% - Accent5 4 2" xfId="1697" xr:uid="{BBA81024-A50A-47B8-BC02-0099F5E68E5D}"/>
    <cellStyle name="40% - Accent5 5" xfId="1750" xr:uid="{4D743B18-4BFC-4962-BCCB-F156C1A275B5}"/>
    <cellStyle name="40% - Accent5 6" xfId="1799" xr:uid="{5A7EDABC-4CE3-4AE9-8984-682E3F5764D9}"/>
    <cellStyle name="40% - Accent5 7" xfId="1828" xr:uid="{6DE2F570-ABAE-4B11-961E-C57FDF64E477}"/>
    <cellStyle name="40% - Accent5 8" xfId="1869" xr:uid="{2E4F4B82-1ECB-45C1-86BA-8A29A073DD83}"/>
    <cellStyle name="40% - Accent5 9" xfId="1924" xr:uid="{00E00B2D-819D-49C9-927A-385B4224FC02}"/>
    <cellStyle name="40% - Accent6 10" xfId="1975" xr:uid="{F78B31CA-B8C7-4D69-B7EC-9CC285CF18F1}"/>
    <cellStyle name="40% - Accent6 11" xfId="2011" xr:uid="{69E4379D-E402-45F4-B6C0-359B1E773B38}"/>
    <cellStyle name="40% - Accent6 12" xfId="2031" xr:uid="{1F04E3B4-68CD-470C-838C-DB1A892A6121}"/>
    <cellStyle name="40% - Accent6 13" xfId="2093" xr:uid="{74ECC647-675C-4DDC-A561-9DF13ED37556}"/>
    <cellStyle name="40% - Accent6 14" xfId="2194" xr:uid="{06CB6811-9D73-40CF-98A2-FD522EAAB24D}"/>
    <cellStyle name="40% - Accent6 15" xfId="2286" xr:uid="{E49BEC1F-D949-4533-81E3-745AB7FF408A}"/>
    <cellStyle name="40% - Accent6 16" xfId="2374" xr:uid="{D1BBD5EE-9E1C-46ED-9DCE-0D82CF8C7D92}"/>
    <cellStyle name="40% - Accent6 17" xfId="2429" xr:uid="{70329FEE-2874-479B-9D75-1C8CBFD9075A}"/>
    <cellStyle name="40% - Accent6 18" xfId="2457" xr:uid="{2C84CB3F-DA54-418F-8558-5B2C3B10FAC3}"/>
    <cellStyle name="40% - Accent6 19" xfId="2548" xr:uid="{4156A15D-6A86-4F3D-87FF-ACAC5689C482}"/>
    <cellStyle name="40% - Accent6 2" xfId="31" xr:uid="{0BA779AF-61EC-44E6-A439-8C9FC1C960B4}"/>
    <cellStyle name="40% - Accent6 2 2" xfId="1927" xr:uid="{D2A74C71-DF16-4578-A43C-DBFC459F758A}"/>
    <cellStyle name="40% - Accent6 2 2 2" xfId="2095" xr:uid="{F2AB913F-3779-47B7-91AA-187437C7420C}"/>
    <cellStyle name="40% - Accent6 2 2 3" xfId="2196" xr:uid="{8B1DC0DD-FBA0-408D-83F3-78F79738F347}"/>
    <cellStyle name="40% - Accent6 2 2 4" xfId="2288" xr:uid="{228C18DC-ADB9-4AE9-B721-CCD0619A09E2}"/>
    <cellStyle name="40% - Accent6 2 2 5" xfId="2376" xr:uid="{C0C1C3D6-3043-4F62-BF63-C7891D2CF25B}"/>
    <cellStyle name="40% - Accent6 2 2 6" xfId="2506" xr:uid="{255C5153-E182-4CE7-899D-EEF1011A573E}"/>
    <cellStyle name="40% - Accent6 2 2 7" xfId="2597" xr:uid="{23E47B07-2D35-4458-AD8B-C49E1639E3DD}"/>
    <cellStyle name="40% - Accent6 2 3" xfId="1976" xr:uid="{C9352DEC-A73A-4991-8939-9BFF3FC5F5E7}"/>
    <cellStyle name="40% - Accent6 2 4" xfId="2094" xr:uid="{49AED3BB-9FFC-4DBC-A5B1-DB9ABA9CE6B7}"/>
    <cellStyle name="40% - Accent6 2 5" xfId="2195" xr:uid="{E91E0F3D-21FD-4763-9DAD-266CBF57B182}"/>
    <cellStyle name="40% - Accent6 2 6" xfId="2287" xr:uid="{899DA2C6-A06E-4218-AB52-498FEAFC1E60}"/>
    <cellStyle name="40% - Accent6 2 7" xfId="2375" xr:uid="{A91590D7-A75B-48F8-B3F8-22D66B3DDED4}"/>
    <cellStyle name="40% - Accent6 2 8" xfId="2479" xr:uid="{9BAD2223-850E-418B-9499-C29E6351C695}"/>
    <cellStyle name="40% - Accent6 2 9" xfId="2570" xr:uid="{6702F96B-E6C8-4AC3-941A-AB0B98D3BAAD}"/>
    <cellStyle name="40% - Accent6 3" xfId="916" xr:uid="{CF6C7411-BD0F-499D-A0ED-494C0E7749E0}"/>
    <cellStyle name="40% - Accent6 3 2" xfId="2096" xr:uid="{2A30E2A3-575D-4957-BFDE-48E9FBE1A1BA}"/>
    <cellStyle name="40% - Accent6 3 3" xfId="2197" xr:uid="{ACBC965B-E822-4CF4-AAC4-67BA7F593C4B}"/>
    <cellStyle name="40% - Accent6 3 4" xfId="2289" xr:uid="{B34324B0-C2D3-4E7D-90BA-541B308395A5}"/>
    <cellStyle name="40% - Accent6 3 5" xfId="2377" xr:uid="{DA1533C8-65BF-4C48-9416-BF2F5C015838}"/>
    <cellStyle name="40% - Accent6 3 6" xfId="2505" xr:uid="{4E8A53A6-F8B4-4D77-81C8-E7FB6726B2AC}"/>
    <cellStyle name="40% - Accent6 3 7" xfId="2596" xr:uid="{A14E1147-3A9F-4381-975E-170B7999CCA0}"/>
    <cellStyle name="40% - Accent6 4" xfId="1433" xr:uid="{AD48674B-4305-453C-96EB-558CA2200E2F}"/>
    <cellStyle name="40% - Accent6 4 2" xfId="1698" xr:uid="{46ABE103-D001-434D-A2D0-97B31AE52CCF}"/>
    <cellStyle name="40% - Accent6 5" xfId="1751" xr:uid="{491822C3-284F-475C-BD30-23F81E5ECF23}"/>
    <cellStyle name="40% - Accent6 6" xfId="1800" xr:uid="{8D6A06EA-EFC3-4D63-BB57-B6EFB3B0CE9B}"/>
    <cellStyle name="40% - Accent6 7" xfId="1829" xr:uid="{4990E869-A79C-4E0F-9553-2122C160FD15}"/>
    <cellStyle name="40% - Accent6 8" xfId="1870" xr:uid="{E9E9B0B7-EEE0-48DC-8243-CA39E4C390B3}"/>
    <cellStyle name="40% - Accent6 9" xfId="1926" xr:uid="{4EBD5D74-1F24-4291-B104-D9F0BA4F7B35}"/>
    <cellStyle name="4dp" xfId="32" xr:uid="{2257A4FC-390F-4F82-BD87-60F905D0AD43}"/>
    <cellStyle name="4dp 2" xfId="33" xr:uid="{F0E2BA28-D8EE-440B-83F6-080ED5C12247}"/>
    <cellStyle name="4dp 2 2" xfId="1540" xr:uid="{60815CCA-5E99-45B5-AE7D-B432CB5752A8}"/>
    <cellStyle name="4dp 3" xfId="1539" xr:uid="{4FD2D688-3B3B-4D81-B413-B44063D1FCF6}"/>
    <cellStyle name="60% - Accent1 10" xfId="2442" xr:uid="{D4491BF4-DEC7-4D29-985E-28C5E4EC18B9}"/>
    <cellStyle name="60% - Accent1 11" xfId="2534" xr:uid="{D454F04A-E0E6-462C-9FA0-58740829816A}"/>
    <cellStyle name="60% - Accent1 2" xfId="34" xr:uid="{AC6CC903-CFEE-4AB9-8E08-FFB8C6A538BD}"/>
    <cellStyle name="60% - Accent1 2 2" xfId="1929" xr:uid="{FF243B44-89E4-4329-AB7C-D34F851F3183}"/>
    <cellStyle name="60% - Accent1 2 2 2" xfId="2099" xr:uid="{73730ACB-63EE-4444-9D4D-619E4B32CB1C}"/>
    <cellStyle name="60% - Accent1 2 2 3" xfId="2200" xr:uid="{1395FE78-83C1-46A4-8A18-524E6D1DD54D}"/>
    <cellStyle name="60% - Accent1 2 2 4" xfId="2292" xr:uid="{AC049749-5095-4D02-B3FF-49062D1B5667}"/>
    <cellStyle name="60% - Accent1 2 2 5" xfId="2380" xr:uid="{948376CA-4042-46D8-BF9F-A48DC07636D8}"/>
    <cellStyle name="60% - Accent1 2 2 6" xfId="2508" xr:uid="{5B5F4A7F-6A75-42AF-A37C-5FE7258B8262}"/>
    <cellStyle name="60% - Accent1 2 2 7" xfId="2599" xr:uid="{1DE0A599-94B5-403D-A140-C9250AAD42FB}"/>
    <cellStyle name="60% - Accent1 2 3" xfId="1978" xr:uid="{7BBAE0D4-4597-4EA7-B060-07292282D29A}"/>
    <cellStyle name="60% - Accent1 2 4" xfId="2098" xr:uid="{BCB59396-F838-44F5-BD87-4858000225D8}"/>
    <cellStyle name="60% - Accent1 2 5" xfId="2199" xr:uid="{D2D24407-3088-4CDD-BD9B-7B9205C3E2EF}"/>
    <cellStyle name="60% - Accent1 2 6" xfId="2291" xr:uid="{BF11C30B-A343-4270-A57E-04F509114115}"/>
    <cellStyle name="60% - Accent1 2 7" xfId="2379" xr:uid="{15FB61E7-22FB-41F7-95AF-0FAE13F1DCCA}"/>
    <cellStyle name="60% - Accent1 2 8" xfId="2465" xr:uid="{3DBC9AE4-10F6-4EA8-AAC3-A4FC8618ABB5}"/>
    <cellStyle name="60% - Accent1 2 9" xfId="2556" xr:uid="{2F4A902C-EBFC-4894-ABCA-B49BD021AF01}"/>
    <cellStyle name="60% - Accent1 3" xfId="917" xr:uid="{BA01DB4A-2299-4706-B820-5E1F663A68A8}"/>
    <cellStyle name="60% - Accent1 3 2" xfId="2100" xr:uid="{82DC06A6-1014-4741-AF61-6CDC366FBDF5}"/>
    <cellStyle name="60% - Accent1 3 3" xfId="2201" xr:uid="{6DE1CD9C-2629-4BF9-9C9B-EED163B75C23}"/>
    <cellStyle name="60% - Accent1 3 4" xfId="2293" xr:uid="{72B1471A-EFC2-41ED-A7F0-9100920A3212}"/>
    <cellStyle name="60% - Accent1 3 5" xfId="2381" xr:uid="{2601D58A-4AFB-440A-A4A6-D80F2B840655}"/>
    <cellStyle name="60% - Accent1 3 6" xfId="2507" xr:uid="{D894B9B8-6A22-4FF9-89FE-686E030C8963}"/>
    <cellStyle name="60% - Accent1 3 7" xfId="2598" xr:uid="{8679C7E2-BD99-4EB7-AAA4-D30111433A9F}"/>
    <cellStyle name="60% - Accent1 4" xfId="1414" xr:uid="{8391255E-91BE-4051-B2CB-D9CC52579ADB}"/>
    <cellStyle name="60% - Accent1 4 2" xfId="1928" xr:uid="{1BADE97B-B50C-4A5A-9C3B-67A5B4D7177B}"/>
    <cellStyle name="60% - Accent1 5" xfId="1977" xr:uid="{79A3FF54-7579-4531-B85D-ECDA9D4AC207}"/>
    <cellStyle name="60% - Accent1 6" xfId="2097" xr:uid="{D49390ED-9C4E-424E-BDB2-8F70E06858F0}"/>
    <cellStyle name="60% - Accent1 7" xfId="2198" xr:uid="{ADB14580-C3B9-482B-BA3C-B994FDC82C6D}"/>
    <cellStyle name="60% - Accent1 8" xfId="2290" xr:uid="{CCC76BCD-9926-4F53-AFFD-2E837FD6FCA7}"/>
    <cellStyle name="60% - Accent1 9" xfId="2378" xr:uid="{FAA08621-DC96-4BEF-9188-8BA33BA831CA}"/>
    <cellStyle name="60% - Accent2 10" xfId="2445" xr:uid="{162CC28D-4554-40CF-A044-2D4C73773B4A}"/>
    <cellStyle name="60% - Accent2 11" xfId="2537" xr:uid="{5A9F261E-5C05-424B-8463-07E47DC78FF5}"/>
    <cellStyle name="60% - Accent2 2" xfId="35" xr:uid="{28251F48-741C-4E47-A02F-7572C4CA1DE8}"/>
    <cellStyle name="60% - Accent2 2 2" xfId="1931" xr:uid="{C1441765-F6B1-4C34-8B4C-D87AC695EA18}"/>
    <cellStyle name="60% - Accent2 2 2 2" xfId="2103" xr:uid="{60DCCA30-2B84-473F-8749-ED8B0E64F8AB}"/>
    <cellStyle name="60% - Accent2 2 2 3" xfId="2204" xr:uid="{C15C9CE7-669E-44EA-A1BA-F7C490112B61}"/>
    <cellStyle name="60% - Accent2 2 2 4" xfId="2296" xr:uid="{970B43BC-8242-4A69-8B1E-7BFE52B3403E}"/>
    <cellStyle name="60% - Accent2 2 2 5" xfId="2384" xr:uid="{05DCE18B-EE90-4071-9456-A968E9503113}"/>
    <cellStyle name="60% - Accent2 2 2 6" xfId="2510" xr:uid="{D0A5EADF-C3D7-4331-B439-F4990AD37C82}"/>
    <cellStyle name="60% - Accent2 2 2 7" xfId="2601" xr:uid="{158362C6-BA0A-438D-A4EB-5A4384C8249E}"/>
    <cellStyle name="60% - Accent2 2 3" xfId="1980" xr:uid="{CD902E03-54A3-496E-8841-8E452FE32D43}"/>
    <cellStyle name="60% - Accent2 2 4" xfId="2102" xr:uid="{565B8036-7688-4438-9724-CA915D2B5084}"/>
    <cellStyle name="60% - Accent2 2 5" xfId="2203" xr:uid="{6DA84034-77B1-4C48-A55E-63340398CB62}"/>
    <cellStyle name="60% - Accent2 2 6" xfId="2295" xr:uid="{74270A50-EF23-4D5A-A5FB-D65DA7AE7158}"/>
    <cellStyle name="60% - Accent2 2 7" xfId="2383" xr:uid="{A6900A3E-D90D-44DD-9C61-23217594C1BD}"/>
    <cellStyle name="60% - Accent2 2 8" xfId="2468" xr:uid="{084EEEAA-20A6-4E33-B2EE-CDC2A040BC14}"/>
    <cellStyle name="60% - Accent2 2 9" xfId="2559" xr:uid="{9FA2DB33-B67C-4631-8570-491BBC48ACCC}"/>
    <cellStyle name="60% - Accent2 3" xfId="918" xr:uid="{085221F4-99AC-408F-80E0-EEE80F882810}"/>
    <cellStyle name="60% - Accent2 3 2" xfId="2104" xr:uid="{EF317246-C8F9-4EE3-8CA7-63B832A5EF7B}"/>
    <cellStyle name="60% - Accent2 3 3" xfId="2205" xr:uid="{ECA5286D-8013-4BAA-8564-BA31E8F23178}"/>
    <cellStyle name="60% - Accent2 3 4" xfId="2297" xr:uid="{2D8D206D-6A47-45A1-AB3A-D0A8D0DAD82B}"/>
    <cellStyle name="60% - Accent2 3 5" xfId="2385" xr:uid="{D34009D1-4204-45EE-ABB5-6A119FD7C03A}"/>
    <cellStyle name="60% - Accent2 3 6" xfId="2509" xr:uid="{321D512E-2B22-46EE-B2AE-C912DEEEE8D3}"/>
    <cellStyle name="60% - Accent2 3 7" xfId="2600" xr:uid="{FB8CD932-46B9-4782-A003-7EB1F2D4DE66}"/>
    <cellStyle name="60% - Accent2 4" xfId="1418" xr:uid="{0CD5B601-9CB4-4C23-82CD-2F70F3039579}"/>
    <cellStyle name="60% - Accent2 4 2" xfId="1930" xr:uid="{3ABA7A84-B33C-432C-AC64-0CF076BEC2D4}"/>
    <cellStyle name="60% - Accent2 5" xfId="1979" xr:uid="{5DB82F93-F3E6-49C5-8FD1-20C8528C5E69}"/>
    <cellStyle name="60% - Accent2 6" xfId="2101" xr:uid="{2562A5FA-AA5A-4668-B681-761033953743}"/>
    <cellStyle name="60% - Accent2 7" xfId="2202" xr:uid="{97E1580C-EEEC-4B41-85E5-8F380BB906BA}"/>
    <cellStyle name="60% - Accent2 8" xfId="2294" xr:uid="{5CA362E2-1FFE-46A3-8D80-272CE555886A}"/>
    <cellStyle name="60% - Accent2 9" xfId="2382" xr:uid="{41D56874-D673-4312-89D3-11566A097EDB}"/>
    <cellStyle name="60% - Accent3 10" xfId="2448" xr:uid="{EA671826-A19A-4FC2-90EC-F5E28E0E6F7F}"/>
    <cellStyle name="60% - Accent3 11" xfId="2540" xr:uid="{6DB06654-C085-4F73-8E7C-7B545DA827C8}"/>
    <cellStyle name="60% - Accent3 2" xfId="36" xr:uid="{7BA49C20-9AE1-45F3-8D26-687F14A4A511}"/>
    <cellStyle name="60% - Accent3 2 2" xfId="1933" xr:uid="{FE40F536-1E93-417D-9888-9829003527D7}"/>
    <cellStyle name="60% - Accent3 2 2 2" xfId="2107" xr:uid="{185B0667-CD43-4957-A065-6616404BA323}"/>
    <cellStyle name="60% - Accent3 2 2 3" xfId="2208" xr:uid="{A7001B2A-E094-481C-8598-4D3B42A87465}"/>
    <cellStyle name="60% - Accent3 2 2 4" xfId="2300" xr:uid="{BBA67A68-2DEA-43C3-8FF3-DEE76B236B10}"/>
    <cellStyle name="60% - Accent3 2 2 5" xfId="2388" xr:uid="{96945ED4-3F53-4112-B7C4-804E0034F199}"/>
    <cellStyle name="60% - Accent3 2 2 6" xfId="2512" xr:uid="{9945D6C1-76CF-4D46-A649-0C0170EB8A9E}"/>
    <cellStyle name="60% - Accent3 2 2 7" xfId="2603" xr:uid="{DC0941F4-6552-47A2-BB0A-3D441E498AD7}"/>
    <cellStyle name="60% - Accent3 2 3" xfId="1982" xr:uid="{2B9DF3A5-CAE5-444F-85AB-F758FB4CB286}"/>
    <cellStyle name="60% - Accent3 2 4" xfId="2106" xr:uid="{8E845933-D54D-47CD-9F3C-FDDCDB9236DA}"/>
    <cellStyle name="60% - Accent3 2 5" xfId="2207" xr:uid="{3EE02781-520C-4885-BFF6-A03E136D5A4F}"/>
    <cellStyle name="60% - Accent3 2 6" xfId="2299" xr:uid="{B9AA2524-B15B-44C9-B716-BD0F526A152E}"/>
    <cellStyle name="60% - Accent3 2 7" xfId="2387" xr:uid="{4E555EE3-41C6-401F-9E44-9FCFAB3E026D}"/>
    <cellStyle name="60% - Accent3 2 8" xfId="2471" xr:uid="{6B62A2BA-166D-4F29-A8A1-CAB8A70D5483}"/>
    <cellStyle name="60% - Accent3 2 9" xfId="2562" xr:uid="{A01BD537-56DA-40A8-8C0B-AFA99946D237}"/>
    <cellStyle name="60% - Accent3 3" xfId="919" xr:uid="{16F13EE0-99B6-486C-8B57-D9D3313DEF90}"/>
    <cellStyle name="60% - Accent3 3 2" xfId="2108" xr:uid="{7F7326B8-1BE0-4D2B-B346-7C54622D7815}"/>
    <cellStyle name="60% - Accent3 3 3" xfId="2209" xr:uid="{70BFD208-528B-400E-863F-4BC0214DFB9B}"/>
    <cellStyle name="60% - Accent3 3 4" xfId="2301" xr:uid="{01676009-1F9A-4CE3-92A4-32D2AE4CB7C4}"/>
    <cellStyle name="60% - Accent3 3 5" xfId="2389" xr:uid="{6C46D12B-9F7C-4200-BD4A-D7A3F47B69FD}"/>
    <cellStyle name="60% - Accent3 3 6" xfId="2511" xr:uid="{B4A05173-6BE6-4BEA-B527-722ED6D73812}"/>
    <cellStyle name="60% - Accent3 3 7" xfId="2602" xr:uid="{8CA12D4E-BF6B-4BCB-BE83-F9DF1808F439}"/>
    <cellStyle name="60% - Accent3 4" xfId="1422" xr:uid="{78F2EF3B-8B05-4982-9614-E1BF9C264B68}"/>
    <cellStyle name="60% - Accent3 4 2" xfId="1932" xr:uid="{2A8F8E90-ABC2-4261-B468-BB8D6BE0DDCA}"/>
    <cellStyle name="60% - Accent3 5" xfId="1981" xr:uid="{5E96358D-8291-48AA-8601-01622C2F10AF}"/>
    <cellStyle name="60% - Accent3 6" xfId="2105" xr:uid="{D1031F2C-67FE-4EFA-807D-623432D43AFB}"/>
    <cellStyle name="60% - Accent3 7" xfId="2206" xr:uid="{17D273CF-A264-4704-A794-3121F9584A1B}"/>
    <cellStyle name="60% - Accent3 8" xfId="2298" xr:uid="{2A5EF07F-B8DA-4EE6-8650-727AB10FD054}"/>
    <cellStyle name="60% - Accent3 9" xfId="2386" xr:uid="{FC4405E1-B88E-4860-B7B5-B56810A237AA}"/>
    <cellStyle name="60% - Accent4 10" xfId="2452" xr:uid="{1FA80B95-2E38-4348-B366-8ED3ACB71D27}"/>
    <cellStyle name="60% - Accent4 11" xfId="2543" xr:uid="{832E0B27-7572-4FE8-800F-A35B420F682C}"/>
    <cellStyle name="60% - Accent4 2" xfId="37" xr:uid="{6BF46D68-66CE-4D94-AB7D-CE5CF4769C38}"/>
    <cellStyle name="60% - Accent4 2 2" xfId="1935" xr:uid="{9B74F687-EF0A-4448-A751-235B7B370BF5}"/>
    <cellStyle name="60% - Accent4 2 2 2" xfId="2111" xr:uid="{095BEDC4-5B8C-4A56-9A4E-0C247CFC695D}"/>
    <cellStyle name="60% - Accent4 2 2 3" xfId="2212" xr:uid="{1DF5B025-7B0D-4CC3-B115-3D6F63D19C3A}"/>
    <cellStyle name="60% - Accent4 2 2 4" xfId="2304" xr:uid="{D4B06278-04F7-470A-9FF2-20497DB01ECB}"/>
    <cellStyle name="60% - Accent4 2 2 5" xfId="2392" xr:uid="{38066E65-50C9-4319-990A-B7329CD7D7DD}"/>
    <cellStyle name="60% - Accent4 2 2 6" xfId="2514" xr:uid="{F5CB1709-56D1-4DB5-97DC-6AB61A8A7400}"/>
    <cellStyle name="60% - Accent4 2 2 7" xfId="2605" xr:uid="{B5CE92A3-3270-4BCB-A96C-BF11A9D6C29F}"/>
    <cellStyle name="60% - Accent4 2 3" xfId="1984" xr:uid="{B713B6A4-1201-4679-9043-A4A034D0D827}"/>
    <cellStyle name="60% - Accent4 2 4" xfId="2110" xr:uid="{663161D6-BC8E-4B77-8404-65CE12B0C85D}"/>
    <cellStyle name="60% - Accent4 2 5" xfId="2211" xr:uid="{A00D0CB3-949C-46D7-BB78-B5257027C3BD}"/>
    <cellStyle name="60% - Accent4 2 6" xfId="2303" xr:uid="{2EC597F4-0138-4577-825A-98C40A051C5A}"/>
    <cellStyle name="60% - Accent4 2 7" xfId="2391" xr:uid="{58A70AFE-4D4A-453F-A329-83C73EF4F6C9}"/>
    <cellStyle name="60% - Accent4 2 8" xfId="2474" xr:uid="{663BAF47-7FEB-4464-8A84-ACFC47B13D28}"/>
    <cellStyle name="60% - Accent4 2 9" xfId="2565" xr:uid="{05139EBF-21B7-4F55-831D-15889C5C4E60}"/>
    <cellStyle name="60% - Accent4 3" xfId="920" xr:uid="{E68FF04F-1AE5-4B6B-9FB7-25CAE30980D2}"/>
    <cellStyle name="60% - Accent4 3 2" xfId="2112" xr:uid="{C11F0FFB-C509-4058-AD49-1F49A47A4A10}"/>
    <cellStyle name="60% - Accent4 3 3" xfId="2213" xr:uid="{B5AE965D-1CBF-47A3-81E2-668A5AD28129}"/>
    <cellStyle name="60% - Accent4 3 4" xfId="2305" xr:uid="{1B3A11ED-3C03-48D6-9306-160047D8F285}"/>
    <cellStyle name="60% - Accent4 3 5" xfId="2393" xr:uid="{A8473FFE-1B3E-496C-A05B-A77A7A6BA902}"/>
    <cellStyle name="60% - Accent4 3 6" xfId="2513" xr:uid="{316CDB4C-90D3-40EF-9F0C-0316AC936549}"/>
    <cellStyle name="60% - Accent4 3 7" xfId="2604" xr:uid="{7EE66C79-4655-45DF-9C05-6EF77B68A81D}"/>
    <cellStyle name="60% - Accent4 4" xfId="1426" xr:uid="{C31F341C-3B96-479C-8E9F-DD23A5FBB6FB}"/>
    <cellStyle name="60% - Accent4 4 2" xfId="1934" xr:uid="{6166A03D-D255-49F4-BEB8-99313490F1A2}"/>
    <cellStyle name="60% - Accent4 5" xfId="1983" xr:uid="{6441FF14-4820-4EE5-A117-1B173060FDB8}"/>
    <cellStyle name="60% - Accent4 6" xfId="2109" xr:uid="{EBF3238D-7AA6-46EB-9B9F-66829B4F93ED}"/>
    <cellStyle name="60% - Accent4 7" xfId="2210" xr:uid="{7D228EB5-EB36-4B76-830A-FF797566E5D6}"/>
    <cellStyle name="60% - Accent4 8" xfId="2302" xr:uid="{A6A18A7C-BC1B-4AB4-BBA5-A569C4300813}"/>
    <cellStyle name="60% - Accent4 9" xfId="2390" xr:uid="{57C1FE32-C596-45CF-80C4-E0BA60317B7F}"/>
    <cellStyle name="60% - Accent5 10" xfId="2455" xr:uid="{270EE4C0-9192-4931-998B-A9470186AD1F}"/>
    <cellStyle name="60% - Accent5 11" xfId="2546" xr:uid="{2D6BFC86-7505-4C0E-84DC-AE35E6A41C6C}"/>
    <cellStyle name="60% - Accent5 2" xfId="38" xr:uid="{A47A0309-27EF-44F9-97ED-120CAB515424}"/>
    <cellStyle name="60% - Accent5 2 2" xfId="1937" xr:uid="{E784F2F2-C008-4562-A45E-CBD34425C0AC}"/>
    <cellStyle name="60% - Accent5 2 2 2" xfId="2115" xr:uid="{3CB05EF7-7769-4D6C-BBBA-3C50E3C00849}"/>
    <cellStyle name="60% - Accent5 2 2 3" xfId="2216" xr:uid="{5E290FE9-DB1F-458A-A4E9-71D5F8535177}"/>
    <cellStyle name="60% - Accent5 2 2 4" xfId="2308" xr:uid="{902BFFDC-9D8E-4039-A74A-E0454DCEB424}"/>
    <cellStyle name="60% - Accent5 2 2 5" xfId="2396" xr:uid="{500D3BDD-6AE6-4B67-B965-FA3D1E618DFF}"/>
    <cellStyle name="60% - Accent5 2 2 6" xfId="2516" xr:uid="{EF801BC8-9F30-41B8-8CB7-9D9CB78CD836}"/>
    <cellStyle name="60% - Accent5 2 2 7" xfId="2607" xr:uid="{D8C7E11F-153D-420C-90B4-8295C5876FEA}"/>
    <cellStyle name="60% - Accent5 2 3" xfId="1986" xr:uid="{5F28F3AC-4915-4F69-B809-3233A276C3B3}"/>
    <cellStyle name="60% - Accent5 2 4" xfId="2114" xr:uid="{2F41A29F-8FB4-4154-B968-6A3BC6695555}"/>
    <cellStyle name="60% - Accent5 2 5" xfId="2215" xr:uid="{F8C7751B-767C-442C-BE9B-ACED6436B00C}"/>
    <cellStyle name="60% - Accent5 2 6" xfId="2307" xr:uid="{0CB11EEA-A4BF-4E28-8EA8-83F4E54C4B68}"/>
    <cellStyle name="60% - Accent5 2 7" xfId="2395" xr:uid="{4A2DD84F-5F1E-47ED-B55F-C0D8A671D522}"/>
    <cellStyle name="60% - Accent5 2 8" xfId="2477" xr:uid="{A773B108-19E9-4B43-AEED-DBC2C4850E2D}"/>
    <cellStyle name="60% - Accent5 2 9" xfId="2568" xr:uid="{B94DC011-A6D8-4B10-9ECE-19EA5E168C90}"/>
    <cellStyle name="60% - Accent5 3" xfId="921" xr:uid="{DFA887D8-0AE2-4820-BECD-07492C6855E7}"/>
    <cellStyle name="60% - Accent5 3 2" xfId="2116" xr:uid="{5E75BAFB-052E-459B-9B27-DF533CC14D01}"/>
    <cellStyle name="60% - Accent5 3 3" xfId="2217" xr:uid="{43E87F87-F8B9-444E-AE5A-BC6E6CF809B5}"/>
    <cellStyle name="60% - Accent5 3 4" xfId="2309" xr:uid="{0323EE41-5F77-41AA-BE84-B07B3AAE231E}"/>
    <cellStyle name="60% - Accent5 3 5" xfId="2397" xr:uid="{E3AFFDA1-0AAC-4F11-A9DA-93BA7A162D07}"/>
    <cellStyle name="60% - Accent5 3 6" xfId="2515" xr:uid="{27C86D8D-2149-4228-9AA7-EB3C4125B0BE}"/>
    <cellStyle name="60% - Accent5 3 7" xfId="2606" xr:uid="{6DABAE38-B840-4A56-A47E-499D557860D9}"/>
    <cellStyle name="60% - Accent5 4" xfId="1430" xr:uid="{423132D3-BA97-4409-93EF-CCE2499CDDD8}"/>
    <cellStyle name="60% - Accent5 4 2" xfId="1936" xr:uid="{BF0C4E29-DD32-4A5A-A572-8509925946E2}"/>
    <cellStyle name="60% - Accent5 5" xfId="1985" xr:uid="{13087F8B-A60F-43BE-BB2F-C1DD6365D13B}"/>
    <cellStyle name="60% - Accent5 6" xfId="2113" xr:uid="{9A1680FD-6D90-457B-846D-5E32FBFABF85}"/>
    <cellStyle name="60% - Accent5 7" xfId="2214" xr:uid="{70E08C07-44BB-4174-9116-A33EE77A22CD}"/>
    <cellStyle name="60% - Accent5 8" xfId="2306" xr:uid="{F0163A3D-08A7-437C-BB90-E305D701F1D2}"/>
    <cellStyle name="60% - Accent5 9" xfId="2394" xr:uid="{177710DD-5311-42D2-84C2-2CD079577FE2}"/>
    <cellStyle name="60% - Accent6 10" xfId="2458" xr:uid="{7B07507C-AC76-4969-99FB-1598D510DD1C}"/>
    <cellStyle name="60% - Accent6 11" xfId="2549" xr:uid="{38EABE9A-38B5-47BE-953E-E3BDFD8D6460}"/>
    <cellStyle name="60% - Accent6 2" xfId="39" xr:uid="{F8B14519-949D-46B4-A18F-E9DB5DB747E0}"/>
    <cellStyle name="60% - Accent6 2 2" xfId="1939" xr:uid="{394981D2-24EE-49BA-9328-80A82D820E29}"/>
    <cellStyle name="60% - Accent6 2 2 2" xfId="2119" xr:uid="{05EBF0C7-0307-406B-8F4A-70F4B18DECEF}"/>
    <cellStyle name="60% - Accent6 2 2 3" xfId="2220" xr:uid="{9079EB94-4683-494D-9C7B-6877220F8E93}"/>
    <cellStyle name="60% - Accent6 2 2 4" xfId="2312" xr:uid="{577CA71C-83D3-4091-A311-3923E79BAF6C}"/>
    <cellStyle name="60% - Accent6 2 2 5" xfId="2400" xr:uid="{18AECFBF-5C60-4AFB-A65B-721526E96C58}"/>
    <cellStyle name="60% - Accent6 2 2 6" xfId="2518" xr:uid="{09B20A49-0AB4-4F61-8343-D07B0A715C6E}"/>
    <cellStyle name="60% - Accent6 2 2 7" xfId="2609" xr:uid="{2409E519-D589-43E2-8CB2-6229C2B7A33B}"/>
    <cellStyle name="60% - Accent6 2 3" xfId="1988" xr:uid="{15E5A6A0-847C-40C4-A6D7-9810A252A5D7}"/>
    <cellStyle name="60% - Accent6 2 4" xfId="2118" xr:uid="{9078DFE3-A1A3-4365-AE5D-1755048D5E09}"/>
    <cellStyle name="60% - Accent6 2 5" xfId="2219" xr:uid="{ADC1EE80-C747-4175-889C-6D495F9C29AC}"/>
    <cellStyle name="60% - Accent6 2 6" xfId="2311" xr:uid="{E7F3A039-9B5E-4C55-B30F-27B6B5860CC9}"/>
    <cellStyle name="60% - Accent6 2 7" xfId="2399" xr:uid="{B50C5968-84C7-45E2-938B-D125B2DC0317}"/>
    <cellStyle name="60% - Accent6 2 8" xfId="2480" xr:uid="{45480578-ACEF-4E05-98D2-018FBD641FEF}"/>
    <cellStyle name="60% - Accent6 2 9" xfId="2571" xr:uid="{3C28F795-1A55-4411-8F56-8F7B958481E5}"/>
    <cellStyle name="60% - Accent6 3" xfId="922" xr:uid="{1A5FCD30-3E08-4F6C-A4EF-B2EF5D60E7C1}"/>
    <cellStyle name="60% - Accent6 3 2" xfId="2120" xr:uid="{0D2F8AF0-3266-4F20-B23A-17CC99163783}"/>
    <cellStyle name="60% - Accent6 3 3" xfId="2221" xr:uid="{59C19139-65E7-4636-B254-B468878B5E44}"/>
    <cellStyle name="60% - Accent6 3 4" xfId="2313" xr:uid="{3DE82EF6-E4C2-4E8E-BC93-58D85A766B60}"/>
    <cellStyle name="60% - Accent6 3 5" xfId="2401" xr:uid="{89DE44D1-4F32-48B9-ABBF-4813EE0A9A79}"/>
    <cellStyle name="60% - Accent6 3 6" xfId="2517" xr:uid="{CEACC604-CE04-4046-A364-CA84B23B5681}"/>
    <cellStyle name="60% - Accent6 3 7" xfId="2608" xr:uid="{D3F7F99C-D71A-421E-B637-276A6C31721F}"/>
    <cellStyle name="60% - Accent6 4" xfId="1434" xr:uid="{822F12BE-4961-403E-AF17-5BD86632D98E}"/>
    <cellStyle name="60% - Accent6 4 2" xfId="1938" xr:uid="{C926D620-5DBB-4BDE-927C-014EF60D86F5}"/>
    <cellStyle name="60% - Accent6 5" xfId="1987" xr:uid="{95ACE89C-A737-4CB5-85D1-FC93C37E8428}"/>
    <cellStyle name="60% - Accent6 6" xfId="2117" xr:uid="{EFC7880C-684D-4601-963B-C285B8CF421C}"/>
    <cellStyle name="60% - Accent6 7" xfId="2218" xr:uid="{84C5E032-636C-4A15-927D-FA7B34740F8F}"/>
    <cellStyle name="60% - Accent6 8" xfId="2310" xr:uid="{6269174D-3994-4D48-A213-7FAD4749BAEC}"/>
    <cellStyle name="60% - Accent6 9" xfId="2398" xr:uid="{81419ED0-38B3-4CC8-8A98-7A85A627EE43}"/>
    <cellStyle name="Accent1 2" xfId="40" xr:uid="{D254B48E-1C57-4CD4-BEEC-F03E7CC088E8}"/>
    <cellStyle name="Accent1 3" xfId="923" xr:uid="{43BB6146-0224-4755-A15C-B28F7AAA6F21}"/>
    <cellStyle name="Accent1 4" xfId="1411" xr:uid="{04175997-F7EE-491D-911A-721D1EB69EF0}"/>
    <cellStyle name="Accent2 2" xfId="41" xr:uid="{20595AC5-0AFE-4F2F-B2BD-79FD4D39D1AD}"/>
    <cellStyle name="Accent2 3" xfId="924" xr:uid="{2AE76EF9-5516-4125-A16F-FFCA6B945AB5}"/>
    <cellStyle name="Accent2 4" xfId="1415" xr:uid="{4F794D70-C3AE-4173-BEF1-AD61DF2F65D6}"/>
    <cellStyle name="Accent3 2" xfId="42" xr:uid="{7EFF52D4-7B4D-4F82-A32C-AF78B2FF3255}"/>
    <cellStyle name="Accent3 3" xfId="925" xr:uid="{958357F7-20FE-4E32-9731-2E1F9E050109}"/>
    <cellStyle name="Accent3 4" xfId="1419" xr:uid="{15EDEBE2-E300-4EAF-9BE2-8EB0C96EBD5A}"/>
    <cellStyle name="Accent4 2" xfId="43" xr:uid="{9979DC4A-F567-41E1-A20F-58080DFEA0C6}"/>
    <cellStyle name="Accent4 3" xfId="926" xr:uid="{2738BFE0-7ED8-41A8-B5B9-3F63E0E7D693}"/>
    <cellStyle name="Accent4 4" xfId="1423" xr:uid="{AFBDCAF9-E784-4F58-A437-652BF98CE29C}"/>
    <cellStyle name="Accent5 2" xfId="44" xr:uid="{F4AC6F9A-F8F0-4F93-B3EC-524D0E678DD3}"/>
    <cellStyle name="Accent5 3" xfId="927" xr:uid="{B9A45F6E-025A-438B-8629-D766E37F767A}"/>
    <cellStyle name="Accent5 4" xfId="1427" xr:uid="{F21BD30E-A83E-4F4E-82E5-904544FB1999}"/>
    <cellStyle name="Accent6 2" xfId="45" xr:uid="{72320585-5C53-46C8-A774-C42BDA6C0A53}"/>
    <cellStyle name="Accent6 3" xfId="928" xr:uid="{ED7268AD-B799-40B8-B5FB-259F60E41D75}"/>
    <cellStyle name="Accent6 4" xfId="1431" xr:uid="{FDC01A16-E839-4DC8-B986-37C77C1402B0}"/>
    <cellStyle name="Adjustable" xfId="618" xr:uid="{D3C70740-3BB5-43AD-8A25-8D65D42952A4}"/>
    <cellStyle name="Bad 2" xfId="46" xr:uid="{C485F24B-62B8-4981-A75D-6CC84E18D656}"/>
    <cellStyle name="Bad 3" xfId="929" xr:uid="{1F58F8E5-72A1-462D-B96E-16EF57D2A199}"/>
    <cellStyle name="Bad 4" xfId="1400" xr:uid="{7E1F640B-8164-413E-80C6-9C2219EFF223}"/>
    <cellStyle name="Bid £m format" xfId="47" xr:uid="{7BBFD335-506B-45B6-B9C9-E43CF50A0EA9}"/>
    <cellStyle name="Bid £m format 2" xfId="1541" xr:uid="{A533FB74-FBE9-4835-8569-7C1DE8727BCC}"/>
    <cellStyle name="blue" xfId="619" xr:uid="{8E15AABC-4FAB-4D0A-8300-9D85F87C6595}"/>
    <cellStyle name="Border" xfId="620" xr:uid="{0285B063-C0C9-4C99-A321-634942716CA9}"/>
    <cellStyle name="Border 2" xfId="1025" xr:uid="{B6B2577A-42A4-4BCB-A24F-BB6404EC6218}"/>
    <cellStyle name="Border 3" xfId="1495" xr:uid="{8AF3A83B-3FC3-48C7-9AE7-8C67AA69EE61}"/>
    <cellStyle name="Border 4" xfId="1508" xr:uid="{8FFC8816-2686-4CEF-8286-259C7D646B83}"/>
    <cellStyle name="Brand Align Left Text" xfId="621" xr:uid="{DED42F30-D681-4E58-B9E9-75178C746606}"/>
    <cellStyle name="Brand Default" xfId="622" xr:uid="{3A729222-C6AB-4A63-BA78-8D1FD189C360}"/>
    <cellStyle name="Brand Percent" xfId="623" xr:uid="{88FF0493-A531-4533-8A08-B298715D3CDB}"/>
    <cellStyle name="Brand Source" xfId="624" xr:uid="{731EA3AA-3A2F-4422-A920-1569EE5E2639}"/>
    <cellStyle name="Brand Subtitle with Underline" xfId="625" xr:uid="{1FFD536A-59A4-4F78-923A-329038909128}"/>
    <cellStyle name="Brand Subtitle without Underline" xfId="626" xr:uid="{70D3DEF9-5380-49D8-96C8-FD9F8CBC67E0}"/>
    <cellStyle name="Brand Title" xfId="627" xr:uid="{5A850DA2-C4A1-424E-A493-E3D72E9CC396}"/>
    <cellStyle name="Calculation 2" xfId="48" xr:uid="{00FB4E44-B756-47DF-8066-0108ECF259AB}"/>
    <cellStyle name="Calculation 2 2" xfId="519" xr:uid="{48AE786A-B4A9-40C2-A854-34ADC6F7708A}"/>
    <cellStyle name="Calculation 2 3" xfId="1333" xr:uid="{9AA27BD2-ABE7-4CB1-B53F-90830D0FB5D5}"/>
    <cellStyle name="Calculation 2 4" xfId="1506" xr:uid="{B93A6B46-56D0-43FD-A18B-7586789B094E}"/>
    <cellStyle name="Calculation 2 5" xfId="2670" xr:uid="{7A201138-9AA5-4D24-9114-AB3CAD9918B3}"/>
    <cellStyle name="Calculation 3" xfId="930" xr:uid="{95551C1E-896A-4ED3-A5C3-CEC012DE9D7B}"/>
    <cellStyle name="Calculation 4" xfId="1309" xr:uid="{740B2C00-8AE8-4A76-8EBB-78A64BAE9707}"/>
    <cellStyle name="Calculation 5" xfId="1404" xr:uid="{7161EC3C-11ED-41AD-8D8C-08A3C5E8FE65}"/>
    <cellStyle name="Calculation 6" xfId="1507" xr:uid="{56659AB8-132F-4678-9C18-98B7555BDB7F}"/>
    <cellStyle name="cf1" xfId="421" xr:uid="{036A9F77-036E-436B-89A9-352318FB9177}"/>
    <cellStyle name="cf1 2" xfId="578" xr:uid="{65AB305A-BD4C-4136-8FB7-E2CF6492DA69}"/>
    <cellStyle name="cf2" xfId="422" xr:uid="{F6029187-F513-492F-961F-A45055C0CC77}"/>
    <cellStyle name="cf2 2" xfId="579" xr:uid="{9B4C9950-27D6-414A-A28B-813E21A2BBF6}"/>
    <cellStyle name="cf3" xfId="580" xr:uid="{AC793831-88AD-490D-B3DC-1D9B616261E2}"/>
    <cellStyle name="cf4" xfId="581" xr:uid="{977872A1-E71E-43AA-A11B-088B72AC2F48}"/>
    <cellStyle name="cf5" xfId="582" xr:uid="{BCCC43C6-EDE5-42D4-9423-4B6E6B4A8B16}"/>
    <cellStyle name="Characteristic" xfId="628" xr:uid="{18680FB9-0E0C-4552-A755-170ED1EA5E26}"/>
    <cellStyle name="Characteristic 2" xfId="1542" xr:uid="{E8A9B75D-7E58-4E9C-872A-1BC0917EDC41}"/>
    <cellStyle name="CharactGroup" xfId="629" xr:uid="{6DC2107F-E60A-43DC-BF95-86F1A07468D7}"/>
    <cellStyle name="CharactNote" xfId="630" xr:uid="{78ECD27F-6969-48E2-A1CE-B80ACA555767}"/>
    <cellStyle name="CharactNote 2" xfId="1543" xr:uid="{C6F95EB3-57E6-4101-B1F3-96C2355ABFE8}"/>
    <cellStyle name="CharactType" xfId="631" xr:uid="{1FEDC071-2C77-40B2-999E-46CBE676671C}"/>
    <cellStyle name="CharactType 2" xfId="1544" xr:uid="{0100C25E-7F43-474E-BD63-A75361921784}"/>
    <cellStyle name="CharactValue" xfId="632" xr:uid="{A43DA1A5-EDFF-4AB9-99F4-B9EB0E1AD3AF}"/>
    <cellStyle name="CharactValueNote" xfId="633" xr:uid="{64AA401F-4590-4E65-9E87-96DCAE5DA8AC}"/>
    <cellStyle name="CharactValueNote 2" xfId="1545" xr:uid="{842645E2-0D76-40AE-8531-F173B50A5279}"/>
    <cellStyle name="CharShortType" xfId="634" xr:uid="{85331AE1-F8F3-4878-B368-791F0A346C12}"/>
    <cellStyle name="Check Cell 2" xfId="49" xr:uid="{1AD10BF2-4B77-407F-8F77-C232CF67BFDE}"/>
    <cellStyle name="Check Cell 3" xfId="931" xr:uid="{E52EE69A-A22E-4A90-B67D-317EC0C11D57}"/>
    <cellStyle name="Check Cell 4" xfId="1406" xr:uid="{4060E666-E2F4-44FE-95A1-60C971D2B8CD}"/>
    <cellStyle name="CIL" xfId="50" xr:uid="{78301A64-D4EF-4A84-BDA8-AC84B6F14F9C}"/>
    <cellStyle name="CIL 2" xfId="1546" xr:uid="{9A86C529-E1F5-4411-BF33-3DE84CD60535}"/>
    <cellStyle name="CIU" xfId="51" xr:uid="{02EF7530-BD01-42C3-A228-8BB9BB02B3CA}"/>
    <cellStyle name="CIU 2" xfId="1547" xr:uid="{D45DA610-372E-4020-A07F-4976F2A8199C}"/>
    <cellStyle name="Comma" xfId="407" builtinId="3"/>
    <cellStyle name="Comma -" xfId="636" xr:uid="{ECC253F2-136A-418A-8F20-BFB4D43ADB56}"/>
    <cellStyle name="Comma  - Style1" xfId="637" xr:uid="{C896E6B0-E88E-49C8-8003-5D87CA7D3D37}"/>
    <cellStyle name="Comma  - Style2" xfId="638" xr:uid="{7B3B42B2-3761-467A-A58E-131EB74E57BC}"/>
    <cellStyle name="Comma  - Style3" xfId="639" xr:uid="{6667128A-3453-45AB-A795-705498E57DED}"/>
    <cellStyle name="Comma  - Style4" xfId="640" xr:uid="{E5E0E8E0-16CD-4422-8F58-16597B4BB2DB}"/>
    <cellStyle name="Comma  - Style5" xfId="641" xr:uid="{EC24CD09-60F1-4119-BB98-CE51A7B9F52E}"/>
    <cellStyle name="Comma  - Style6" xfId="642" xr:uid="{E2C2E5C1-BAD1-4F31-8253-1DEC4AE104D4}"/>
    <cellStyle name="Comma  - Style7" xfId="643" xr:uid="{603C192F-0E5F-4603-9E2A-7F214C2ABB1E}"/>
    <cellStyle name="Comma  - Style8" xfId="644" xr:uid="{4290028F-9381-4E0C-8B5A-744E26E97714}"/>
    <cellStyle name="Comma [0] 2" xfId="312" xr:uid="{B9462D52-7DCB-41A3-A7A8-D9A032BA2FDA}"/>
    <cellStyle name="Comma [0] 2 2" xfId="482" xr:uid="{D1F48A1F-02AA-48D5-88FA-339CBF733132}"/>
    <cellStyle name="Comma [0] 2 3" xfId="1452" xr:uid="{E1D47079-9791-4964-A2AA-B1EBA5242153}"/>
    <cellStyle name="Comma [0] 2 4" xfId="2621" xr:uid="{6EED2251-A104-4567-92F6-734F1760CE60}"/>
    <cellStyle name="Comma [0] 2 5" xfId="2672" xr:uid="{E1E5809E-BFE2-4491-9928-81E070723381}"/>
    <cellStyle name="Comma [0] 2 6" xfId="2705" xr:uid="{3DC3AFB0-EB16-4C14-8E79-2F64A424D312}"/>
    <cellStyle name="Comma [0] 2 7" xfId="2720" xr:uid="{13A2417B-4D22-4BF8-A6EB-F46E57502E61}"/>
    <cellStyle name="Comma [0] 2 8" xfId="2802" xr:uid="{0E8B6F97-7D14-4CF5-8177-E3D120A793A2}"/>
    <cellStyle name="Comma [0] 3" xfId="313" xr:uid="{9B7636D7-421C-44FE-9B4E-D8DCA49CAB02}"/>
    <cellStyle name="Comma [0] 3 2" xfId="483" xr:uid="{E2B900EB-A2BC-4C92-B7CA-1C1F28B00F5B}"/>
    <cellStyle name="Comma [0] 3 3" xfId="1450" xr:uid="{669671C8-F68B-4A63-889A-2A06C251668B}"/>
    <cellStyle name="Comma [0] 3 4" xfId="2622" xr:uid="{CA5659C8-5E95-4E31-AC28-31CD6AA76B88}"/>
    <cellStyle name="Comma [0] 3 5" xfId="2673" xr:uid="{949F69D6-C557-4FB2-9610-9FBE26E8597A}"/>
    <cellStyle name="Comma [0] 3 6" xfId="2706" xr:uid="{BFCB85A8-03E9-40D0-8F68-880AA15F2B27}"/>
    <cellStyle name="Comma [0] 3 7" xfId="2721" xr:uid="{083F21A5-2529-4521-B28F-F6CA76CA7A3B}"/>
    <cellStyle name="Comma [0] 3 8" xfId="2803" xr:uid="{3A6D4A9A-D53C-4197-A5AD-04966CA784CC}"/>
    <cellStyle name="Comma [0] 4" xfId="314" xr:uid="{C1EC12E2-8E58-47C5-8F9F-9881049B6C05}"/>
    <cellStyle name="Comma [0] 4 2" xfId="484" xr:uid="{7065E2A6-93FD-4FC3-9D5D-80EC4F347A1C}"/>
    <cellStyle name="Comma [0] 4 3" xfId="1448" xr:uid="{D0FE2967-AFC4-44CB-ADB0-207445B572CE}"/>
    <cellStyle name="Comma [0] 4 4" xfId="2623" xr:uid="{2C95240A-D449-44C3-BB32-A838C7954FED}"/>
    <cellStyle name="Comma [0] 4 5" xfId="2674" xr:uid="{5A4B0830-34FA-41CD-A014-C72CA0CCCF74}"/>
    <cellStyle name="Comma [0] 4 6" xfId="2707" xr:uid="{7483AD42-4A2C-498D-B00A-90874192932F}"/>
    <cellStyle name="Comma [0] 4 7" xfId="2722" xr:uid="{F6F5F2E0-FF6E-4526-A5EC-3B3D292E298B}"/>
    <cellStyle name="Comma [0] 4 8" xfId="2804" xr:uid="{F7A8E350-1696-4A0E-AB69-40C11D54F2EA}"/>
    <cellStyle name="Comma 0" xfId="645" xr:uid="{5B53BD34-F97B-46C0-958F-F0283518EB80}"/>
    <cellStyle name="Comma 0*" xfId="646" xr:uid="{438CC591-6111-43C1-9034-5AE512DE8965}"/>
    <cellStyle name="Comma 0__MasterJRComps" xfId="647" xr:uid="{F04207C3-5C2C-4CAA-9279-591ECFACE5D5}"/>
    <cellStyle name="Comma 10" xfId="411" xr:uid="{AA849915-AA26-43FC-9DAB-3B6C63E424AE}"/>
    <cellStyle name="Comma 10 2" xfId="992" xr:uid="{5A0AF5E5-1D51-4FEB-9101-AACB71C08870}"/>
    <cellStyle name="Comma 100" xfId="1267" xr:uid="{79D3276D-55E6-420E-9836-ED9A57B5E0BC}"/>
    <cellStyle name="Comma 101" xfId="1270" xr:uid="{C60919B2-3DD6-475B-BC10-35FF5DCE2846}"/>
    <cellStyle name="Comma 102" xfId="1273" xr:uid="{642305A6-771A-4BDF-AF37-D186BD60654C}"/>
    <cellStyle name="Comma 103" xfId="1454" xr:uid="{A2F65FF8-0575-4AC5-B152-2B56AAA342A3}"/>
    <cellStyle name="Comma 104" xfId="1516" xr:uid="{AB26B71C-630C-4D01-B5DA-1A9B2DD895F6}"/>
    <cellStyle name="Comma 105" xfId="1676" xr:uid="{9E1DCFC0-0422-4C4D-8C76-554019E136D1}"/>
    <cellStyle name="Comma 106" xfId="2620" xr:uid="{48CD8CA5-7C7A-4EB0-8AA3-46B598B135F3}"/>
    <cellStyle name="Comma 107" xfId="2671" xr:uid="{21A970F6-CC0E-451D-8449-BF78747616C3}"/>
    <cellStyle name="Comma 108" xfId="2708" xr:uid="{72AF3F76-3807-4B80-9404-3D7B39A8EF12}"/>
    <cellStyle name="Comma 109" xfId="2719" xr:uid="{03C32165-62B2-44CB-8533-A7D9BE54C7EF}"/>
    <cellStyle name="Comma 11" xfId="418" xr:uid="{28110BDE-666C-44FA-AE0C-75021D6AD477}"/>
    <cellStyle name="Comma 11 2" xfId="993" xr:uid="{43E797FB-79E5-4CF8-B0C4-6C58878B8687}"/>
    <cellStyle name="Comma 110" xfId="2733" xr:uid="{2A6C6907-29F6-4ECD-8715-6EB564F530C8}"/>
    <cellStyle name="Comma 111" xfId="2767" xr:uid="{B8D488CF-1150-488C-8C5B-2D0E6A8F7D0F}"/>
    <cellStyle name="Comma 112" xfId="2768" xr:uid="{F415754F-DB44-467A-BC8C-58F8759089C9}"/>
    <cellStyle name="Comma 113" xfId="2769" xr:uid="{28636A98-5588-459A-9E9F-E2C7A9C3D2AC}"/>
    <cellStyle name="Comma 114" xfId="2805" xr:uid="{E64A1442-0037-4525-8141-AF7E4569DDE6}"/>
    <cellStyle name="Comma 115" xfId="2809" xr:uid="{4E2FA1EE-DB96-4FFC-AAB8-A780966538D7}"/>
    <cellStyle name="Comma 12" xfId="481" xr:uid="{BFA943F9-38F4-4D49-AE7D-41ED47EB79DC}"/>
    <cellStyle name="Comma 12 2" xfId="994" xr:uid="{6EEEC73F-D772-4ED1-9FB4-B1F25CB0B954}"/>
    <cellStyle name="Comma 13" xfId="514" xr:uid="{42EBAE84-1E4C-462D-ADB4-718B0595F9DB}"/>
    <cellStyle name="Comma 13 2" xfId="995" xr:uid="{B9D02FE2-3996-4937-88DB-B602A63C7775}"/>
    <cellStyle name="Comma 14" xfId="1001" xr:uid="{0B974056-DCF5-48C5-9903-F7357AF61BAD}"/>
    <cellStyle name="Comma 15" xfId="1007" xr:uid="{83E2AF42-CA9D-4773-BF69-AC10296299A7}"/>
    <cellStyle name="Comma 16" xfId="1010" xr:uid="{14DB3B65-54B5-4185-8757-57CFDBDB101A}"/>
    <cellStyle name="Comma 17" xfId="1013" xr:uid="{AA0FAC53-E254-4C34-BA75-26238A947F38}"/>
    <cellStyle name="Comma 18" xfId="1014" xr:uid="{379F5442-30FD-4AB6-82C5-2B5D403CDD98}"/>
    <cellStyle name="Comma 19" xfId="635" xr:uid="{65C972B2-D75E-46D3-8984-96B3A54859B3}"/>
    <cellStyle name="Comma 2" xfId="8" xr:uid="{983D3B43-FA5D-4BFD-918C-2F24838A70EE}"/>
    <cellStyle name="Comma 2 10" xfId="520" xr:uid="{BCFE5C95-6A8E-47E4-8936-7F5EFC2023B0}"/>
    <cellStyle name="Comma 2 11" xfId="1031" xr:uid="{1D4DBCE8-28B6-4D54-A0E0-2873B572B0D2}"/>
    <cellStyle name="Comma 2 12" xfId="1282" xr:uid="{23AC87DA-4C0E-47E4-8ED0-FE1E0ADD1DB0}"/>
    <cellStyle name="Comma 2 13" xfId="1329" xr:uid="{358ADF09-170D-4496-A508-C9D06178C19A}"/>
    <cellStyle name="Comma 2 14" xfId="1459" xr:uid="{4301E559-2D07-48DF-BB9B-A047CCD8E910}"/>
    <cellStyle name="Comma 2 15" xfId="2624" xr:uid="{CBFC8BEB-5776-4EE1-8828-7550E8B4CCB2}"/>
    <cellStyle name="Comma 2 16" xfId="2637" xr:uid="{B6B0269B-F34D-405D-905A-E10E82FB3753}"/>
    <cellStyle name="Comma 2 17" xfId="2675" xr:uid="{1D62EAA8-390C-46E0-9E25-8F9D3FF1DBD5}"/>
    <cellStyle name="Comma 2 18" xfId="2709" xr:uid="{118FE870-690E-4882-B08D-467BD6223D3C}"/>
    <cellStyle name="Comma 2 19" xfId="2723" xr:uid="{82CC0C30-E51A-4BF8-9128-4F12A8D0B4A4}"/>
    <cellStyle name="Comma 2 2" xfId="2" xr:uid="{FC5DAAE3-7CBC-4F12-B43E-707AD412AAF2}"/>
    <cellStyle name="Comma 2 2 10" xfId="2734" xr:uid="{B6CF4B33-D843-4666-9AEA-4E1D52A5BB19}"/>
    <cellStyle name="Comma 2 2 11" xfId="2770" xr:uid="{763053FD-9265-4A45-A639-693963E98240}"/>
    <cellStyle name="Comma 2 2 2" xfId="53" xr:uid="{F99276E1-05A7-41D9-AEAE-3340F5B90D27}"/>
    <cellStyle name="Comma 2 2 2 2" xfId="576" xr:uid="{25E97CC0-2E5A-492D-B628-1E687C41051D}"/>
    <cellStyle name="Comma 2 2 2 3" xfId="1549" xr:uid="{9A3080FC-AA37-45E0-8F2F-3F63EC323F05}"/>
    <cellStyle name="Comma 2 2 2 4" xfId="2654" xr:uid="{8D049D50-2010-429C-9571-20C8E81BFAC7}"/>
    <cellStyle name="Comma 2 2 2 5" xfId="2735" xr:uid="{028C31BA-F38F-46C0-B2C0-CE9BC12341BF}"/>
    <cellStyle name="Comma 2 2 2 6" xfId="2771" xr:uid="{4C7184F2-668A-4171-AE3D-173FE513844A}"/>
    <cellStyle name="Comma 2 2 3" xfId="444" xr:uid="{48D73E4C-B20B-45C9-B575-B36213E95B77}"/>
    <cellStyle name="Comma 2 2 4" xfId="460" xr:uid="{926A10E3-8061-48A8-AA32-507BD01B1666}"/>
    <cellStyle name="Comma 2 2 5" xfId="511" xr:uid="{BF69ED47-E6EA-45EA-888F-C02621D8B155}"/>
    <cellStyle name="Comma 2 2 6" xfId="564" xr:uid="{25B9145A-C7A0-4E40-B1C7-9FB1115DD520}"/>
    <cellStyle name="Comma 2 2 7" xfId="1032" xr:uid="{C15F40C2-8589-44D5-9F84-AF01284A0560}"/>
    <cellStyle name="Comma 2 2 8" xfId="1283" xr:uid="{96E7576E-A589-4661-813C-2082E6959C7A}"/>
    <cellStyle name="Comma 2 2 9" xfId="2638" xr:uid="{FD863396-E817-4166-BFD9-7DC513E1AE49}"/>
    <cellStyle name="Comma 2 20" xfId="2736" xr:uid="{9BBAFBA2-DFA5-4E84-91F2-D566C0D4A676}"/>
    <cellStyle name="Comma 2 21" xfId="2772" xr:uid="{E3CB3B8A-9827-449D-B6FE-CD1B02E5E0D7}"/>
    <cellStyle name="Comma 2 3" xfId="304" xr:uid="{1DBAAA08-B6BD-4AC4-BBFD-9EB41ADB195E}"/>
    <cellStyle name="Comma 2 3 10" xfId="2737" xr:uid="{CED12007-8E28-4DFD-A04B-B6177470A0FA}"/>
    <cellStyle name="Comma 2 3 11" xfId="2773" xr:uid="{63D06CEC-6912-474F-B248-757AC93D9FF5}"/>
    <cellStyle name="Comma 2 3 2" xfId="454" xr:uid="{36B3FF49-B737-4C18-95F6-2BE18C433648}"/>
    <cellStyle name="Comma 2 3 2 2" xfId="904" xr:uid="{507F77DA-93BA-4E82-950E-292E5F88F1D7}"/>
    <cellStyle name="Comma 2 3 2 3" xfId="2664" xr:uid="{96527F01-9E03-4B42-AA41-38687DF4E7F3}"/>
    <cellStyle name="Comma 2 3 2 4" xfId="2738" xr:uid="{02AD027A-3858-426E-A144-F954DCBF69A3}"/>
    <cellStyle name="Comma 2 3 2 5" xfId="2774" xr:uid="{4E9CBE47-FA83-4540-92D8-C0B6C2BB9731}"/>
    <cellStyle name="Comma 2 3 3" xfId="470" xr:uid="{8EEED567-6419-4A65-8FF0-DADECCA4EC86}"/>
    <cellStyle name="Comma 2 3 4" xfId="480" xr:uid="{6642B8CD-757D-4742-8358-23B9DDE7C702}"/>
    <cellStyle name="Comma 2 3 5" xfId="567" xr:uid="{24CC8DFC-192A-44FE-B754-ECAE41675150}"/>
    <cellStyle name="Comma 2 3 6" xfId="1042" xr:uid="{ABCD3BB4-0353-4C5A-9826-79DFB326431C}"/>
    <cellStyle name="Comma 2 3 7" xfId="1293" xr:uid="{EEA63654-1412-4F5A-ABA7-942E1CB48A1D}"/>
    <cellStyle name="Comma 2 3 8" xfId="1548" xr:uid="{FF4AC5C6-6A85-4452-BA8F-155FA8FB45D1}"/>
    <cellStyle name="Comma 2 3 9" xfId="2648" xr:uid="{2923F161-059C-4906-9311-4673F3400418}"/>
    <cellStyle name="Comma 2 4" xfId="52" xr:uid="{DCE0BDCE-FC4B-422B-A170-422C53BF8DDE}"/>
    <cellStyle name="Comma 2 4 2" xfId="648" xr:uid="{675F9B59-2737-496E-8E79-B1F74DDE4D4C}"/>
    <cellStyle name="Comma 2 4 3" xfId="1898" xr:uid="{DFFFA936-A337-47CB-AC21-5E19C6FD597D}"/>
    <cellStyle name="Comma 2 4 4" xfId="2653" xr:uid="{EDF24822-9D70-4D25-935C-BF20E87FBA1E}"/>
    <cellStyle name="Comma 2 4 5" xfId="2739" xr:uid="{B7399473-6908-47D0-A34E-115F91679F84}"/>
    <cellStyle name="Comma 2 4 6" xfId="2775" xr:uid="{DB4AE7D8-9C22-483E-BDD8-F1DE85D61CA7}"/>
    <cellStyle name="Comma 2 5" xfId="315" xr:uid="{3F871EDD-6F99-417E-94E5-A3DA7E6663B5}"/>
    <cellStyle name="Comma 2 6" xfId="443" xr:uid="{2D85A9F3-8134-4A0B-83DA-D954D494233F}"/>
    <cellStyle name="Comma 2 7" xfId="459" xr:uid="{912D9D5A-3A7B-4478-9877-F253FA631F6D}"/>
    <cellStyle name="Comma 2 8" xfId="485" xr:uid="{54A59238-6867-4315-A758-8A721D2C757B}"/>
    <cellStyle name="Comma 2 9" xfId="512" xr:uid="{76FCA27B-A83A-43A2-A125-D6F2E7148C7A}"/>
    <cellStyle name="Comma 2*" xfId="649" xr:uid="{0E042889-3AA1-4EFE-9EDA-3C01EEC5D900}"/>
    <cellStyle name="Comma 2__MasterJRComps" xfId="650" xr:uid="{D1493836-C40E-4C74-960A-4FFEA697B8C2}"/>
    <cellStyle name="Comma 20" xfId="1020" xr:uid="{2C5F78F6-C763-432A-B160-5E626F0916DE}"/>
    <cellStyle name="Comma 21" xfId="1019" xr:uid="{0E518B56-0CFE-450B-8FD0-AD997FAE5B23}"/>
    <cellStyle name="Comma 22" xfId="515" xr:uid="{E02EFB24-2ED9-4398-9A2E-613D61639F85}"/>
    <cellStyle name="Comma 23" xfId="1021" xr:uid="{07ADBED0-C641-4C88-9479-6BEB302E5234}"/>
    <cellStyle name="Comma 24" xfId="1023" xr:uid="{6DC79A42-5FD0-408C-A51C-4E192161647D}"/>
    <cellStyle name="Comma 25" xfId="1024" xr:uid="{263A37A2-76F8-49D7-97CF-CE9D0CB1FA0E}"/>
    <cellStyle name="Comma 26" xfId="1022" xr:uid="{C7A13AC8-62BD-4B16-B2D5-8B14B4A4155B}"/>
    <cellStyle name="Comma 27" xfId="513" xr:uid="{C8FCB537-FCB8-41BA-97AC-353835A40258}"/>
    <cellStyle name="Comma 28" xfId="557" xr:uid="{FA0B41C5-A5B2-4F84-8A3D-5C418202640E}"/>
    <cellStyle name="Comma 29" xfId="1048" xr:uid="{E4434940-D263-4576-996D-BA6254AE5346}"/>
    <cellStyle name="Comma 3" xfId="4" xr:uid="{1E0258D5-D49B-441D-AD09-ECEFC18CEAEA}"/>
    <cellStyle name="Comma 3 10" xfId="562" xr:uid="{83B2392A-F379-4C58-90B5-B049D5C67DB5}"/>
    <cellStyle name="Comma 3 11" xfId="1033" xr:uid="{A4625202-56CD-490D-A8BE-C4A0547CD215}"/>
    <cellStyle name="Comma 3 12" xfId="1284" xr:uid="{A989D390-F92C-49EB-B70B-CA0B66FC4FBF}"/>
    <cellStyle name="Comma 3 13" xfId="1358" xr:uid="{4F96FA74-229F-482C-9EF6-ECFCFF6EA98A}"/>
    <cellStyle name="Comma 3 14" xfId="1457" xr:uid="{5385E6BB-EFF8-4A45-A4A9-5A580D403341}"/>
    <cellStyle name="Comma 3 15" xfId="2625" xr:uid="{408F7712-8ABC-41E4-9267-14F51760EFA0}"/>
    <cellStyle name="Comma 3 16" xfId="2639" xr:uid="{76A78000-F76B-4C0F-AF14-3186BB0E212B}"/>
    <cellStyle name="Comma 3 17" xfId="2676" xr:uid="{41A38CE1-ECD0-49A6-8856-41FF3AFB66C9}"/>
    <cellStyle name="Comma 3 18" xfId="2710" xr:uid="{4E6A32CB-2B7F-4580-88C7-2CE683265018}"/>
    <cellStyle name="Comma 3 19" xfId="2724" xr:uid="{10001971-DAFF-4FE2-8DB5-2DE2944A9376}"/>
    <cellStyle name="Comma 3 2" xfId="55" xr:uid="{42A73BC9-ED2A-491D-A36D-4B913FC13888}"/>
    <cellStyle name="Comma 3 2 10" xfId="1285" xr:uid="{CF0BEE8F-C92C-4A64-9951-900367AB0BE5}"/>
    <cellStyle name="Comma 3 2 11" xfId="1455" xr:uid="{37542E0E-584F-479D-8310-A1383518E713}"/>
    <cellStyle name="Comma 3 2 12" xfId="2626" xr:uid="{25908FE5-AE9A-4AAE-9B43-076FA6363FB9}"/>
    <cellStyle name="Comma 3 2 13" xfId="2640" xr:uid="{3C21D14F-0594-47B1-B85F-ACF255B0BC5B}"/>
    <cellStyle name="Comma 3 2 14" xfId="2677" xr:uid="{ABFBD96E-5F1F-41EA-BD9E-E9241ADC9B5F}"/>
    <cellStyle name="Comma 3 2 15" xfId="2711" xr:uid="{436F2CD9-B340-4159-845A-F9CF02C03D75}"/>
    <cellStyle name="Comma 3 2 16" xfId="2725" xr:uid="{7888F9BC-645B-4AED-ADCF-1AE7304D1878}"/>
    <cellStyle name="Comma 3 2 17" xfId="2740" xr:uid="{81B1627F-358B-4140-9839-CCCE8F847283}"/>
    <cellStyle name="Comma 3 2 18" xfId="2776" xr:uid="{4CAB448D-9E8F-4EF6-85EF-4F898B2FAD9B}"/>
    <cellStyle name="Comma 3 2 2" xfId="56" xr:uid="{8E64DAA0-60AD-424C-B43F-82A400F9B118}"/>
    <cellStyle name="Comma 3 2 2 10" xfId="2741" xr:uid="{94957FFA-A8EC-4F18-9BD8-B278430B1184}"/>
    <cellStyle name="Comma 3 2 2 11" xfId="2777" xr:uid="{6A43633C-3F71-4A82-8A31-D1DE3D3AE53B}"/>
    <cellStyle name="Comma 3 2 2 2" xfId="447" xr:uid="{8B4DD8E8-4B4C-4228-B430-E62CA2F09D2F}"/>
    <cellStyle name="Comma 3 2 2 2 2" xfId="2657" xr:uid="{C0A73374-71A5-40B8-9FCC-0D54C7C3EE14}"/>
    <cellStyle name="Comma 3 2 2 2 3" xfId="2742" xr:uid="{BA97391B-ED19-4DED-9563-86F0EABB17E7}"/>
    <cellStyle name="Comma 3 2 2 2 4" xfId="2778" xr:uid="{F0AE2342-EC2D-40D6-9280-058F3A00716D}"/>
    <cellStyle name="Comma 3 2 2 3" xfId="463" xr:uid="{75803BFA-23C4-4C92-8972-A6E1901F8BCB}"/>
    <cellStyle name="Comma 3 2 2 4" xfId="510" xr:uid="{81448D98-E227-491A-8216-F5F992260401}"/>
    <cellStyle name="Comma 3 2 2 5" xfId="652" xr:uid="{B83FFAC8-88E4-4B3E-B196-9BD361514D19}"/>
    <cellStyle name="Comma 3 2 2 6" xfId="1035" xr:uid="{AA05A80C-B11F-4F51-A21F-671FC2BA336C}"/>
    <cellStyle name="Comma 3 2 2 7" xfId="1286" xr:uid="{F80A9321-3F21-4D14-BDBB-55E8BECB3403}"/>
    <cellStyle name="Comma 3 2 2 8" xfId="1551" xr:uid="{5398EDDA-2805-4A7A-9800-BC37FDC7E3A2}"/>
    <cellStyle name="Comma 3 2 2 9" xfId="2641" xr:uid="{417F8E74-277F-4637-AE19-E9446AD8D521}"/>
    <cellStyle name="Comma 3 2 3" xfId="306" xr:uid="{272D9623-6D9E-4B0F-A13B-F9C3EB5DE8E2}"/>
    <cellStyle name="Comma 3 2 3 2" xfId="456" xr:uid="{B1CDC217-9D1D-47F6-B192-D339FD95FFA6}"/>
    <cellStyle name="Comma 3 2 3 2 2" xfId="2666" xr:uid="{A0A1FBD7-7A15-4D06-9AF4-C601554F2810}"/>
    <cellStyle name="Comma 3 2 3 2 3" xfId="2743" xr:uid="{F9469AFB-D12B-458C-8EAB-B96DFC4547DF}"/>
    <cellStyle name="Comma 3 2 3 2 4" xfId="2779" xr:uid="{F99EF04A-F3F5-47B9-98D2-18B3E84D34F1}"/>
    <cellStyle name="Comma 3 2 3 3" xfId="472" xr:uid="{4C861DBE-AFC5-4099-BED7-C01D97E4008C}"/>
    <cellStyle name="Comma 3 2 3 4" xfId="478" xr:uid="{B277A1B7-A203-466D-95E8-293A2484A055}"/>
    <cellStyle name="Comma 3 2 3 5" xfId="1044" xr:uid="{C236B6A4-2904-42FC-ABD1-717CDA563C21}"/>
    <cellStyle name="Comma 3 2 3 6" xfId="1295" xr:uid="{1F7F761B-F18C-47C8-8079-8E5304E6EEDC}"/>
    <cellStyle name="Comma 3 2 3 7" xfId="2650" xr:uid="{92E0C430-D8B9-4F13-9B35-70BAEA7782DD}"/>
    <cellStyle name="Comma 3 2 3 8" xfId="2744" xr:uid="{75FF9F1E-F63F-472B-80AB-686C839CE133}"/>
    <cellStyle name="Comma 3 2 3 9" xfId="2780" xr:uid="{0B7103CA-1003-4FCB-B514-604DDFD25823}"/>
    <cellStyle name="Comma 3 2 4" xfId="317" xr:uid="{D8C3D901-AEAF-4388-BF18-4581B31A2A0D}"/>
    <cellStyle name="Comma 3 2 4 2" xfId="2656" xr:uid="{281A6FD1-B239-4714-A946-27E1CABCAECB}"/>
    <cellStyle name="Comma 3 2 4 3" xfId="2745" xr:uid="{82B7FEFD-3625-4619-99B8-DC72A5F080C2}"/>
    <cellStyle name="Comma 3 2 4 4" xfId="2781" xr:uid="{33AECB17-D239-4E6A-AE4F-0334AC1ECD18}"/>
    <cellStyle name="Comma 3 2 5" xfId="446" xr:uid="{47B9E566-5792-4E98-890B-792D495D1AF7}"/>
    <cellStyle name="Comma 3 2 6" xfId="462" xr:uid="{E4BB361D-B514-47F1-B3F0-151FABBD013B}"/>
    <cellStyle name="Comma 3 2 7" xfId="487" xr:uid="{450F48A2-E72E-4BA0-9C47-920AACD2AA6C}"/>
    <cellStyle name="Comma 3 2 8" xfId="575" xr:uid="{467D33A9-41D1-4D69-85B1-5E26DF54ECC7}"/>
    <cellStyle name="Comma 3 2 9" xfId="1034" xr:uid="{DB472684-2101-46AB-898A-9DE684BE5302}"/>
    <cellStyle name="Comma 3 20" xfId="2746" xr:uid="{4D288DEB-8F8C-45CB-974C-D3053F595B4E}"/>
    <cellStyle name="Comma 3 21" xfId="2782" xr:uid="{CE25BD20-FAAC-4A63-878D-3005CE258640}"/>
    <cellStyle name="Comma 3 3" xfId="57" xr:uid="{20360216-0562-4F64-A404-4ACA7DF4C346}"/>
    <cellStyle name="Comma 3 3 10" xfId="2747" xr:uid="{C28E47CC-C2ED-4972-9A25-868A515CD6D6}"/>
    <cellStyle name="Comma 3 3 11" xfId="2783" xr:uid="{834CF43D-8EF2-4E2D-8698-D35B8BF80AF6}"/>
    <cellStyle name="Comma 3 3 2" xfId="448" xr:uid="{E4FBCC46-CE63-4F28-9CFB-955AB563617B}"/>
    <cellStyle name="Comma 3 3 2 2" xfId="1552" xr:uid="{851BD2CB-B088-4FEA-BFD8-20939E1F34F2}"/>
    <cellStyle name="Comma 3 3 2 3" xfId="2658" xr:uid="{94E4EE5D-C990-4606-B000-0D47A2A334C8}"/>
    <cellStyle name="Comma 3 3 2 4" xfId="2748" xr:uid="{B9CC548A-2053-48D1-8105-E9D1BD93114C}"/>
    <cellStyle name="Comma 3 3 2 5" xfId="2784" xr:uid="{9E2E9D47-42DC-4D9A-9C79-8E35FEA40707}"/>
    <cellStyle name="Comma 3 3 3" xfId="464" xr:uid="{A4013C4F-A956-49C9-9594-11622E14A5E3}"/>
    <cellStyle name="Comma 3 3 4" xfId="509" xr:uid="{7EE983B0-6CF7-4BA4-AA2C-D9DCD4F6C4E3}"/>
    <cellStyle name="Comma 3 3 5" xfId="653" xr:uid="{DF487901-947E-4968-BC9D-2CBCEBF34AF0}"/>
    <cellStyle name="Comma 3 3 6" xfId="1036" xr:uid="{F208D9BB-9D07-4F5D-A74D-E2EA779CE7E2}"/>
    <cellStyle name="Comma 3 3 7" xfId="1287" xr:uid="{6E5CEFCE-3350-4CCD-942D-4B4DDB8BB95F}"/>
    <cellStyle name="Comma 3 3 8" xfId="1494" xr:uid="{A2E483BB-FBC2-4E14-8AD0-37202F19BFE2}"/>
    <cellStyle name="Comma 3 3 9" xfId="2642" xr:uid="{8E010ECD-7662-4205-ADCA-9625BE02B19F}"/>
    <cellStyle name="Comma 3 4" xfId="305" xr:uid="{793F824B-F35E-4B72-A539-B265DE4400BC}"/>
    <cellStyle name="Comma 3 4 10" xfId="2749" xr:uid="{23C20DB0-4850-45C5-9096-E3EEF0DCE70F}"/>
    <cellStyle name="Comma 3 4 11" xfId="2785" xr:uid="{B063912C-5061-4212-A24C-5FE6334D619F}"/>
    <cellStyle name="Comma 3 4 2" xfId="455" xr:uid="{13A55F9F-3A0C-47D0-8DBA-BE9532408B4C}"/>
    <cellStyle name="Comma 3 4 2 2" xfId="2665" xr:uid="{C2B59F82-00C7-4DBC-AF0B-E795D0E8A66D}"/>
    <cellStyle name="Comma 3 4 2 3" xfId="2750" xr:uid="{33D6748C-5D86-4E44-9ED9-3DE8CA6F14EB}"/>
    <cellStyle name="Comma 3 4 2 4" xfId="2786" xr:uid="{84C30C46-14F2-4076-8BC7-AF9904F40F8D}"/>
    <cellStyle name="Comma 3 4 3" xfId="471" xr:uid="{76F67C12-7B69-47B2-97BB-A4B70C6ECCF2}"/>
    <cellStyle name="Comma 3 4 4" xfId="479" xr:uid="{1620FCA7-CC2E-4404-B980-93534E254FF6}"/>
    <cellStyle name="Comma 3 4 5" xfId="651" xr:uid="{56339331-7379-4F30-A82C-02F05C860615}"/>
    <cellStyle name="Comma 3 4 6" xfId="1043" xr:uid="{EDFE0171-9EAF-453B-84E0-479CF2C8D9CD}"/>
    <cellStyle name="Comma 3 4 7" xfId="1294" xr:uid="{5C549322-163E-4C7C-AF7F-605A2BC12DEB}"/>
    <cellStyle name="Comma 3 4 8" xfId="1550" xr:uid="{0EBCCF0D-058A-4C7D-86F5-890CB38ADA2E}"/>
    <cellStyle name="Comma 3 4 9" xfId="2649" xr:uid="{5F396076-A5A8-48F4-B117-E463A28A61E5}"/>
    <cellStyle name="Comma 3 5" xfId="54" xr:uid="{194DB083-26CC-4A9B-ADD1-21463C6D0E72}"/>
    <cellStyle name="Comma 3 5 2" xfId="2655" xr:uid="{94BB7880-12C0-4394-A7BB-6557778C2AF7}"/>
    <cellStyle name="Comma 3 5 3" xfId="2751" xr:uid="{31813ABB-ECC4-4535-8784-B560AEE59186}"/>
    <cellStyle name="Comma 3 5 4" xfId="2787" xr:uid="{A64C03E5-862E-41A6-9464-10CA13AECCED}"/>
    <cellStyle name="Comma 3 6" xfId="316" xr:uid="{2175E10E-2B6D-4659-92A9-D6DEE1898DB1}"/>
    <cellStyle name="Comma 3 7" xfId="445" xr:uid="{594E3C0D-6102-490A-B949-4B45CDB3CB23}"/>
    <cellStyle name="Comma 3 8" xfId="461" xr:uid="{853A20DA-D3E2-4A0F-B0C3-0A82FA772C6A}"/>
    <cellStyle name="Comma 3 9" xfId="486" xr:uid="{95C210E2-7087-4503-AA0A-95C528DA50DE}"/>
    <cellStyle name="Comma 3*" xfId="654" xr:uid="{9CD8DFA2-FE3F-4E64-A33E-52DFB8E39EFA}"/>
    <cellStyle name="Comma 30" xfId="1052" xr:uid="{5A61EC2C-6AB1-44C1-B21D-F2000E55CD04}"/>
    <cellStyle name="Comma 31" xfId="1054" xr:uid="{BE66ACAA-8EED-4913-AB8A-BBC7B67AEC81}"/>
    <cellStyle name="Comma 32" xfId="1057" xr:uid="{D8AC2C09-CAE9-4DB4-9749-3021F430046E}"/>
    <cellStyle name="Comma 33" xfId="1060" xr:uid="{EE42E1E8-66FC-44F1-B5E0-4E5F9BE1A5F4}"/>
    <cellStyle name="Comma 34" xfId="1063" xr:uid="{D7C1659E-5823-42AB-BA49-B8A16436A56B}"/>
    <cellStyle name="Comma 35" xfId="1066" xr:uid="{AC441241-10AE-46A8-918E-A35F6C5B3BD9}"/>
    <cellStyle name="Comma 36" xfId="1069" xr:uid="{3CB3F514-7839-4549-9C63-E30E93F1C5AF}"/>
    <cellStyle name="Comma 37" xfId="1072" xr:uid="{B57C29DC-9583-463D-BB95-D5B7BC404437}"/>
    <cellStyle name="Comma 38" xfId="1075" xr:uid="{4DCD39E7-1599-42E2-995F-8A2B86F6AE7C}"/>
    <cellStyle name="Comma 39" xfId="1078" xr:uid="{14E69B65-DA6F-4F0A-B95C-7DBDFEC3E9BC}"/>
    <cellStyle name="Comma 4" xfId="58" xr:uid="{0A74787A-C27E-45E0-ABBB-FC550766438F}"/>
    <cellStyle name="Comma 4 10" xfId="1288" xr:uid="{A6FE8274-4D20-444D-A6F5-6B16AADA4263}"/>
    <cellStyle name="Comma 4 11" xfId="1453" xr:uid="{A842F4C8-2051-4B72-88DD-C420C8A05B5B}"/>
    <cellStyle name="Comma 4 12" xfId="2627" xr:uid="{D5BFC6CB-51D2-4574-9199-8CF3DD355D9A}"/>
    <cellStyle name="Comma 4 13" xfId="2643" xr:uid="{DE6D9EFF-7BEF-4318-B194-91AB9428084E}"/>
    <cellStyle name="Comma 4 14" xfId="2678" xr:uid="{0D1B8B33-81BC-46F3-B9EB-4C21E74E5CD0}"/>
    <cellStyle name="Comma 4 15" xfId="2712" xr:uid="{72A916BF-DA68-4E95-886D-F958250285F6}"/>
    <cellStyle name="Comma 4 16" xfId="2726" xr:uid="{1554C8F5-4FD3-4EB8-A37C-61982AC13386}"/>
    <cellStyle name="Comma 4 17" xfId="2752" xr:uid="{C8589121-9C00-4D27-AC7D-C850E5F13A95}"/>
    <cellStyle name="Comma 4 18" xfId="2788" xr:uid="{7D01BD29-DA6E-45AE-9884-1936000568D4}"/>
    <cellStyle name="Comma 4 2" xfId="59" xr:uid="{A149E0F6-E5B5-4072-976E-8B27953A1AEF}"/>
    <cellStyle name="Comma 4 2 10" xfId="2753" xr:uid="{DC9697F5-0C49-4A71-B14D-9D3DF8E7EF24}"/>
    <cellStyle name="Comma 4 2 11" xfId="2789" xr:uid="{3163EA55-3C0C-4067-A5C4-D26F98C9F424}"/>
    <cellStyle name="Comma 4 2 2" xfId="450" xr:uid="{C0355BB8-1E38-42CD-8471-F1CF80BF72D9}"/>
    <cellStyle name="Comma 4 2 2 2" xfId="2660" xr:uid="{9A742038-D717-4FF9-8CDD-B6E508F2212F}"/>
    <cellStyle name="Comma 4 2 2 3" xfId="2754" xr:uid="{88BECDA6-8833-4FBA-AC0C-A02239241FFD}"/>
    <cellStyle name="Comma 4 2 2 4" xfId="2790" xr:uid="{1BCACFD3-26C0-486B-8B0F-A3CB790BE7E3}"/>
    <cellStyle name="Comma 4 2 3" xfId="466" xr:uid="{C820D3D2-B3E6-4A30-9124-7F85CC6382A5}"/>
    <cellStyle name="Comma 4 2 4" xfId="508" xr:uid="{1D073A15-6EAC-406D-975D-54F2B3FAE62B}"/>
    <cellStyle name="Comma 4 2 5" xfId="932" xr:uid="{F94E90D1-DC62-4847-BF85-B08548611920}"/>
    <cellStyle name="Comma 4 2 6" xfId="1038" xr:uid="{B56129C3-3459-4FC5-941C-96429C89E258}"/>
    <cellStyle name="Comma 4 2 7" xfId="1289" xr:uid="{BA9DD372-E039-4890-B367-962AC88B09C6}"/>
    <cellStyle name="Comma 4 2 8" xfId="1553" xr:uid="{71AB0DD9-2AA8-40AC-BB69-6F4D92B28F15}"/>
    <cellStyle name="Comma 4 2 9" xfId="2644" xr:uid="{6CC134FA-D549-4115-8101-48EA230C682D}"/>
    <cellStyle name="Comma 4 3" xfId="307" xr:uid="{79C82F6A-A4A2-425C-88D9-9049D5597CB2}"/>
    <cellStyle name="Comma 4 3 2" xfId="457" xr:uid="{F8F42309-2ED8-4AF5-817E-13FDE5C0CCB4}"/>
    <cellStyle name="Comma 4 3 2 2" xfId="2667" xr:uid="{8B926754-1EB8-4C42-BE7C-F94F2EEF8903}"/>
    <cellStyle name="Comma 4 3 2 3" xfId="2755" xr:uid="{71E0CFFF-E18A-4A76-9725-B6B6E0B221F6}"/>
    <cellStyle name="Comma 4 3 2 4" xfId="2791" xr:uid="{2B3988BC-FA9E-4D01-A1D8-3C0FA1FC9178}"/>
    <cellStyle name="Comma 4 3 3" xfId="473" xr:uid="{110EF09C-431B-410A-9DFF-AAE34BBB03C8}"/>
    <cellStyle name="Comma 4 3 4" xfId="477" xr:uid="{4A074DD5-DFE9-4959-90E9-5D084E5D9CE7}"/>
    <cellStyle name="Comma 4 3 5" xfId="1045" xr:uid="{3B518474-F6C2-4BDF-A468-738DF5C3A8F3}"/>
    <cellStyle name="Comma 4 3 6" xfId="1296" xr:uid="{A1BD0C1D-5477-43B1-BCC6-6841D939FB43}"/>
    <cellStyle name="Comma 4 3 7" xfId="2651" xr:uid="{387AA3AA-E258-48B6-AF6D-28186E82C3D3}"/>
    <cellStyle name="Comma 4 3 8" xfId="2756" xr:uid="{06C0F876-25C1-422E-BA2C-6C6267A8258B}"/>
    <cellStyle name="Comma 4 3 9" xfId="2792" xr:uid="{7F0B0025-6B75-4C9E-84FF-2119E369BDB5}"/>
    <cellStyle name="Comma 4 4" xfId="318" xr:uid="{930083B5-418C-4FC8-BF9D-BBBB1D699B9B}"/>
    <cellStyle name="Comma 4 4 2" xfId="2659" xr:uid="{92E0E73F-FC48-47F7-89CB-31C3EDFFFB23}"/>
    <cellStyle name="Comma 4 4 3" xfId="2757" xr:uid="{E217B146-6E1B-4BB5-A87D-013B9300CDBF}"/>
    <cellStyle name="Comma 4 4 4" xfId="2793" xr:uid="{B21CB1DB-A1C2-4313-935D-51D627DEAE80}"/>
    <cellStyle name="Comma 4 5" xfId="449" xr:uid="{7F66EB02-ADD7-4B85-A9DD-199F5BADDDAA}"/>
    <cellStyle name="Comma 4 6" xfId="465" xr:uid="{B8754890-149A-458C-AB24-89F35B67425E}"/>
    <cellStyle name="Comma 4 7" xfId="488" xr:uid="{95C151D5-3244-4485-A5EC-9FB0291BF51B}"/>
    <cellStyle name="Comma 4 8" xfId="655" xr:uid="{8D703E12-1E9E-40E3-B310-A22775950450}"/>
    <cellStyle name="Comma 4 9" xfId="1037" xr:uid="{CCD1C7D6-0814-4A67-A799-E916B9431A93}"/>
    <cellStyle name="Comma 40" xfId="1081" xr:uid="{ABF880CA-8B18-4048-83F8-6EC75B5AE29E}"/>
    <cellStyle name="Comma 41" xfId="1084" xr:uid="{F2E2E4EA-E120-4ABD-9726-88209B196FD3}"/>
    <cellStyle name="Comma 42" xfId="1087" xr:uid="{3726FA12-47E4-4F20-939F-AE488EF7B85F}"/>
    <cellStyle name="Comma 43" xfId="1090" xr:uid="{5A7F46C5-43E4-44A7-9F9B-9E2A6D7EE574}"/>
    <cellStyle name="Comma 44" xfId="1093" xr:uid="{82BD54DD-089F-42B7-A355-1848C3E23C24}"/>
    <cellStyle name="Comma 45" xfId="1096" xr:uid="{13431154-7B9E-4044-8299-9A183DD0F8D0}"/>
    <cellStyle name="Comma 46" xfId="1099" xr:uid="{6AD98669-FA98-4722-9DCA-EDC07C805740}"/>
    <cellStyle name="Comma 47" xfId="1102" xr:uid="{B802E7AE-D179-4DDD-B829-F3091162DF17}"/>
    <cellStyle name="Comma 48" xfId="1105" xr:uid="{CCB5DADB-A44B-4642-8CEF-7F06C1035C59}"/>
    <cellStyle name="Comma 49" xfId="1108" xr:uid="{5C3DC6B2-2ABE-4C05-B46B-75BA3879F063}"/>
    <cellStyle name="Comma 5" xfId="60" xr:uid="{645D2FD2-2084-4933-8003-081747D20251}"/>
    <cellStyle name="Comma 5 10" xfId="1493" xr:uid="{115E8E2B-17C5-4EEB-A273-50304A2B9DB5}"/>
    <cellStyle name="Comma 5 11" xfId="2628" xr:uid="{4245222C-2F06-4769-9993-7A883D6D0615}"/>
    <cellStyle name="Comma 5 12" xfId="2645" xr:uid="{A912022F-FB1F-4DC5-8CB4-16A22FEB5B8D}"/>
    <cellStyle name="Comma 5 13" xfId="2679" xr:uid="{E8839A1D-72AB-4056-948E-F33A9739EF74}"/>
    <cellStyle name="Comma 5 14" xfId="2713" xr:uid="{6BA39082-4CEF-438A-AF1A-AC62A5903471}"/>
    <cellStyle name="Comma 5 15" xfId="2727" xr:uid="{2D95EE97-E957-4D48-9177-6057112EF965}"/>
    <cellStyle name="Comma 5 16" xfId="2758" xr:uid="{A45A0B10-00D5-4B67-8990-FA360AB25022}"/>
    <cellStyle name="Comma 5 17" xfId="2794" xr:uid="{1E5714D3-DCEE-45FD-89EA-73ECDC1D5A7C}"/>
    <cellStyle name="Comma 5 2" xfId="319" xr:uid="{897FAF79-224F-40FE-9F6B-4FCBEED0CB9E}"/>
    <cellStyle name="Comma 5 2 2" xfId="1554" xr:uid="{22322922-0C89-4ED3-A830-BA9FAA223C43}"/>
    <cellStyle name="Comma 5 2 3" xfId="2661" xr:uid="{9061DB9E-62DE-4251-9CC7-071873414436}"/>
    <cellStyle name="Comma 5 2 4" xfId="2759" xr:uid="{ED420991-0CDB-480D-96B0-622A6E661747}"/>
    <cellStyle name="Comma 5 2 5" xfId="2795" xr:uid="{37167073-A416-41DB-8DD8-C9769C91342C}"/>
    <cellStyle name="Comma 5 3" xfId="451" xr:uid="{40584F21-72A3-4162-9D9F-3A2D7107C4D2}"/>
    <cellStyle name="Comma 5 4" xfId="467" xr:uid="{8855618E-6FAD-49C8-BC19-BFAA93B40D33}"/>
    <cellStyle name="Comma 5 5" xfId="489" xr:uid="{FDE1BFEE-99C0-4F94-8CA3-8016B28DBF49}"/>
    <cellStyle name="Comma 5 6" xfId="656" xr:uid="{3CE1ADBE-8F18-416B-A1D8-0BD875DCC9B5}"/>
    <cellStyle name="Comma 5 7" xfId="1039" xr:uid="{7EB31713-DD54-457C-9AD4-7FF2807D5A88}"/>
    <cellStyle name="Comma 5 8" xfId="1290" xr:uid="{555B889D-E8BB-4129-ACAD-F5A4AF22A6DA}"/>
    <cellStyle name="Comma 5 9" xfId="1451" xr:uid="{91A8940E-1493-490A-90F2-40DC8C4CDCF8}"/>
    <cellStyle name="Comma 50" xfId="1119" xr:uid="{2ED62701-A533-489A-A84C-E44CE215E6C7}"/>
    <cellStyle name="Comma 51" xfId="1120" xr:uid="{41EA5EDF-B6FA-4446-8FB2-1322EC79B1C4}"/>
    <cellStyle name="Comma 52" xfId="1123" xr:uid="{A822B15A-5F10-454F-8751-9FBEF98117BE}"/>
    <cellStyle name="Comma 53" xfId="1126" xr:uid="{DBFFB310-8F33-4D3C-800B-D90995D2400C}"/>
    <cellStyle name="Comma 54" xfId="1129" xr:uid="{A0C5BF6E-5D53-4E2D-822D-4D12AD976F1B}"/>
    <cellStyle name="Comma 55" xfId="1132" xr:uid="{69459942-B541-4ADE-9531-35D84C8A8C00}"/>
    <cellStyle name="Comma 56" xfId="1135" xr:uid="{56194DBA-DD1B-4787-A5E9-62E646A03EC1}"/>
    <cellStyle name="Comma 57" xfId="1138" xr:uid="{1DA13037-64EC-4B4C-BFC3-C2612D8E7122}"/>
    <cellStyle name="Comma 58" xfId="1141" xr:uid="{0C18D74C-37BB-40C6-98B0-8A705EBBF099}"/>
    <cellStyle name="Comma 59" xfId="1144" xr:uid="{1242F575-38E2-482B-BCF5-EE56BCB4C915}"/>
    <cellStyle name="Comma 6" xfId="320" xr:uid="{B9985D28-47AF-4573-9AC6-FD4010908018}"/>
    <cellStyle name="Comma 6 10" xfId="2806" xr:uid="{82139024-166A-454C-8CF5-34D6981311DC}"/>
    <cellStyle name="Comma 6 2" xfId="490" xr:uid="{60B742A4-19BF-4E47-88FE-16D6C9766916}"/>
    <cellStyle name="Comma 6 2 2" xfId="933" xr:uid="{AE060A68-4A46-4792-9AED-E002404FC4A1}"/>
    <cellStyle name="Comma 6 3" xfId="896" xr:uid="{12646F96-911C-4D77-97FF-5A391A67016E}"/>
    <cellStyle name="Comma 6 4" xfId="1449" xr:uid="{10FA4DDD-B870-44A7-A85A-17F9D3066CA9}"/>
    <cellStyle name="Comma 6 5" xfId="1899" xr:uid="{81E6A4BE-7234-4444-9776-8DABFC0B2E47}"/>
    <cellStyle name="Comma 6 6" xfId="2629" xr:uid="{93E79C48-C05E-4DB4-9D9D-2EFCA2B6A202}"/>
    <cellStyle name="Comma 6 7" xfId="2680" xr:uid="{CD72FC50-B5D7-4B28-A68C-2A2B80F10E30}"/>
    <cellStyle name="Comma 6 8" xfId="2714" xr:uid="{51C113C6-7AED-4544-BDF1-4197148B44E7}"/>
    <cellStyle name="Comma 6 9" xfId="2728" xr:uid="{365B3BB5-DAF6-42CE-905A-2BB1C4CF882D}"/>
    <cellStyle name="Comma 60" xfId="1147" xr:uid="{155E3047-48B5-4D63-9605-F30517A7E6BC}"/>
    <cellStyle name="Comma 61" xfId="1150" xr:uid="{ED7DDD30-7366-4F5F-B96D-7810DB0E8A18}"/>
    <cellStyle name="Comma 62" xfId="1153" xr:uid="{F0B95C68-177E-458C-AB55-3E41AB077328}"/>
    <cellStyle name="Comma 63" xfId="1156" xr:uid="{C7EA903C-99BB-4E8F-8B66-AE50F1A77AB0}"/>
    <cellStyle name="Comma 64" xfId="1159" xr:uid="{92560E0D-9504-4D72-A24C-D4DD851EEAD2}"/>
    <cellStyle name="Comma 65" xfId="1162" xr:uid="{4F5C4043-3C92-4672-8EDC-AEE44EC247E6}"/>
    <cellStyle name="Comma 66" xfId="1165" xr:uid="{1BF040D3-7BEE-4944-8212-B4437AFEEE23}"/>
    <cellStyle name="Comma 67" xfId="1168" xr:uid="{58A9BC0E-C5BD-4079-A390-10A5EF746367}"/>
    <cellStyle name="Comma 68" xfId="1171" xr:uid="{3BE13D4A-425F-4BD6-872F-59B75E6F7149}"/>
    <cellStyle name="Comma 69" xfId="1174" xr:uid="{8115454A-9B0C-49EC-8D89-FDA18DAB93CE}"/>
    <cellStyle name="Comma 7" xfId="321" xr:uid="{2E1ADAA8-7019-4A51-9044-7037CB4F0338}"/>
    <cellStyle name="Comma 7 2" xfId="491" xr:uid="{88C241D1-E9FD-43EF-8930-B7FC8982C400}"/>
    <cellStyle name="Comma 7 3" xfId="902" xr:uid="{F63EE198-E728-402E-9560-8F1ED88CAAF1}"/>
    <cellStyle name="Comma 7 4" xfId="1458" xr:uid="{5016E1CC-D5B3-481A-861A-D486BB3D4C2B}"/>
    <cellStyle name="Comma 7 5" xfId="2630" xr:uid="{944023B2-DCFC-4991-8682-677903009155}"/>
    <cellStyle name="Comma 7 6" xfId="2681" xr:uid="{7005AB7F-A5E6-4C7D-BD48-63A6290E764D}"/>
    <cellStyle name="Comma 7 7" xfId="2715" xr:uid="{3863E037-74D7-4ABC-BC5E-06C1122295D9}"/>
    <cellStyle name="Comma 7 8" xfId="2729" xr:uid="{2656D77F-7364-46F9-B511-7421A973B590}"/>
    <cellStyle name="Comma 7 9" xfId="2807" xr:uid="{FE8AB8CE-8FE0-44BD-98A5-803C90CF4584}"/>
    <cellStyle name="Comma 70" xfId="1177" xr:uid="{17A8AC5F-B04E-4BFB-A20F-42765FD0EC55}"/>
    <cellStyle name="Comma 71" xfId="1180" xr:uid="{201409E7-D91F-4495-A37B-C6BC9164D95C}"/>
    <cellStyle name="Comma 72" xfId="1183" xr:uid="{C687EE11-E2C7-42AB-9A1F-803624526F51}"/>
    <cellStyle name="Comma 73" xfId="1186" xr:uid="{949A3BFC-BF3F-4065-8C02-6E327B772453}"/>
    <cellStyle name="Comma 74" xfId="1189" xr:uid="{35010E3F-94FE-4381-9497-68CA4D4E7F53}"/>
    <cellStyle name="Comma 75" xfId="1192" xr:uid="{72E9D089-BD00-42ED-AEAF-A64DE3A969F3}"/>
    <cellStyle name="Comma 76" xfId="1195" xr:uid="{2645C61F-31A4-4B09-8C77-A42E6E90D9F1}"/>
    <cellStyle name="Comma 77" xfId="1198" xr:uid="{FD40FC34-BC32-442D-899D-0DBE872DED51}"/>
    <cellStyle name="Comma 78" xfId="1201" xr:uid="{1C2C6393-BFD0-4095-9DFE-8D500BA03EF7}"/>
    <cellStyle name="Comma 79" xfId="1204" xr:uid="{E2527CF4-7877-4E1F-8E98-90FD9A3F6796}"/>
    <cellStyle name="Comma 8" xfId="311" xr:uid="{14FA71DD-B7A6-4119-AB74-AA96D65BE049}"/>
    <cellStyle name="Comma 8 2" xfId="934" xr:uid="{2E303686-0589-4A2D-988D-3E10F9E3DC48}"/>
    <cellStyle name="Comma 80" xfId="1207" xr:uid="{C5D073F4-5816-4BC6-AE3E-F5127C6BB651}"/>
    <cellStyle name="Comma 81" xfId="1210" xr:uid="{E2A46DA5-57AC-4E25-88EA-038C9B6A6A8A}"/>
    <cellStyle name="Comma 82" xfId="1213" xr:uid="{40BE1ABF-B26D-4FFA-A816-C97F7D9EB0AC}"/>
    <cellStyle name="Comma 83" xfId="1216" xr:uid="{3090E03E-704D-4DBC-B948-72DAEB0FBB3D}"/>
    <cellStyle name="Comma 84" xfId="1219" xr:uid="{99598372-D628-42C2-BB59-F067ED3A701B}"/>
    <cellStyle name="Comma 85" xfId="1222" xr:uid="{554300B7-86A4-42B9-AED7-D47535A6CDDD}"/>
    <cellStyle name="Comma 86" xfId="1225" xr:uid="{232B5547-4101-4482-81E1-D4AB91A9C1A2}"/>
    <cellStyle name="Comma 87" xfId="1228" xr:uid="{EFBDA5B7-9077-4FF7-9AC5-FF2D484B2215}"/>
    <cellStyle name="Comma 88" xfId="1231" xr:uid="{99886368-54F9-46B5-B33E-8840C943C81C}"/>
    <cellStyle name="Comma 89" xfId="1234" xr:uid="{486B50E0-D021-4EC7-8BED-8852704B4C4A}"/>
    <cellStyle name="Comma 9" xfId="408" xr:uid="{9045F8E0-A97C-489A-9EFF-319B357D9751}"/>
    <cellStyle name="Comma 9 2" xfId="935" xr:uid="{19CD9FA1-D498-41AE-99A8-FDBB1BE6A900}"/>
    <cellStyle name="Comma 90" xfId="1237" xr:uid="{F3D3297F-AC2E-46BD-B624-48050EE17188}"/>
    <cellStyle name="Comma 91" xfId="1240" xr:uid="{A3C115F8-02EF-4D39-A9E7-97BFDCFF0F32}"/>
    <cellStyle name="Comma 92" xfId="1243" xr:uid="{F9C6DEC3-3195-4270-9FAC-428B62A50964}"/>
    <cellStyle name="Comma 93" xfId="1246" xr:uid="{60DC16BB-24A0-44FF-B65B-230B2A4A66FD}"/>
    <cellStyle name="Comma 94" xfId="1249" xr:uid="{EA78E028-35D4-436D-9E9F-0D6CBBC7C7FA}"/>
    <cellStyle name="Comma 95" xfId="1252" xr:uid="{1631FDC5-B924-44CA-B9C4-27F06603CEE4}"/>
    <cellStyle name="Comma 96" xfId="1255" xr:uid="{0DAD2EEE-2CA4-435A-98A1-A630F474F2CA}"/>
    <cellStyle name="Comma 97" xfId="1258" xr:uid="{1F414BD3-0AC1-413A-ACFD-D0ECD13FCD30}"/>
    <cellStyle name="Comma 98" xfId="1261" xr:uid="{46463A03-3173-471B-A7A4-5CD52DD3AE2C}"/>
    <cellStyle name="Comma 99" xfId="1264" xr:uid="{65516D30-873B-4E07-9938-EF0F902BF679}"/>
    <cellStyle name="Comma*" xfId="657" xr:uid="{A90E11A5-90C0-4D0E-9D1A-09E82DBCE2C4}"/>
    <cellStyle name="Comma0" xfId="658" xr:uid="{A1490A04-E8A1-4FE9-AB63-E25BCE8B18DD}"/>
    <cellStyle name="Comma0 - Modelo1" xfId="659" xr:uid="{2EDD992B-93FD-49EC-90EB-AF07634091A5}"/>
    <cellStyle name="Comma0 - Style1" xfId="660" xr:uid="{591DC56E-326E-407E-B46F-C9E304B538DC}"/>
    <cellStyle name="Comma1 - Modelo2" xfId="661" xr:uid="{5C61D94D-93F7-4C02-8519-61BCCC5A3676}"/>
    <cellStyle name="Comma1 - Style2" xfId="662" xr:uid="{6524C1FD-18AE-4932-9B59-7DDE77ECE605}"/>
    <cellStyle name="Condition" xfId="663" xr:uid="{C2997542-4BEF-4E6C-AFA0-2EA27B1589F7}"/>
    <cellStyle name="Condition 2" xfId="1555" xr:uid="{1069281B-6784-4743-81F8-863B13C7512A}"/>
    <cellStyle name="CondMandatory" xfId="664" xr:uid="{F9902FBC-FF18-423F-B116-DE16F59CB9D9}"/>
    <cellStyle name="CondMandatory 2" xfId="1556" xr:uid="{66FE74FA-A2C9-4EE9-982B-DC723434E2FD}"/>
    <cellStyle name="Content1" xfId="665" xr:uid="{24257EA6-0887-4880-B10C-CA0EBE929823}"/>
    <cellStyle name="Content1 2" xfId="1557" xr:uid="{E127FBFC-E7F3-4A83-BA36-150EF9DB5E97}"/>
    <cellStyle name="Content2" xfId="666" xr:uid="{197FD6E0-780D-47D4-988D-8B1D71757C32}"/>
    <cellStyle name="Content3" xfId="667" xr:uid="{94346C71-87E4-40DF-B049-27BA672CEDDD}"/>
    <cellStyle name="Cover Date" xfId="668" xr:uid="{A2FF26B8-205B-4D7B-9407-D9168071FF40}"/>
    <cellStyle name="Cover Date 2" xfId="1558" xr:uid="{679CD3B2-5F3A-4D49-BDBA-863B36CD8F1E}"/>
    <cellStyle name="Cover Subtitle" xfId="669" xr:uid="{61E36BEB-7AF9-40DC-9DF3-D0595D53D2F0}"/>
    <cellStyle name="Cover Subtitle 2" xfId="1559" xr:uid="{6D525F7A-5721-4A32-BF97-BCFE2FDBB366}"/>
    <cellStyle name="Cover Title" xfId="670" xr:uid="{6018A45A-85AB-4674-84E2-50D69222CD7A}"/>
    <cellStyle name="Cover Title 2" xfId="1560" xr:uid="{B48501C6-62A7-4470-8027-4563F7FB2330}"/>
    <cellStyle name="cstMainCRA_Info" xfId="1327" xr:uid="{A25D5D11-1618-4069-8A08-2B1079BF014C}"/>
    <cellStyle name="Currency" xfId="2633" builtinId="4"/>
    <cellStyle name="Currency 0" xfId="671" xr:uid="{3C3D1A0D-19B2-4084-A8DA-B5C04A9A9F10}"/>
    <cellStyle name="Currency 2" xfId="61" xr:uid="{A16D499D-CD0B-40BD-B108-09252EE536D0}"/>
    <cellStyle name="Currency 2 10" xfId="1291" xr:uid="{6F52C1FA-E649-4537-85FF-4DBAA5C9EF68}"/>
    <cellStyle name="Currency 2 11" xfId="1456" xr:uid="{266D16C9-8AEE-4747-8768-60D9D1BEEB72}"/>
    <cellStyle name="Currency 2 12" xfId="2631" xr:uid="{8BA2BA9F-8527-4776-B546-94A1EA82FF1C}"/>
    <cellStyle name="Currency 2 13" xfId="2646" xr:uid="{C3D1DAA8-0FA0-49D6-AF4B-5DF0F8D38F24}"/>
    <cellStyle name="Currency 2 14" xfId="2682" xr:uid="{D5B6F90C-736F-42BD-ADD6-97A934299DEF}"/>
    <cellStyle name="Currency 2 15" xfId="2716" xr:uid="{D24DDCF4-641B-4869-860F-C40147BD16ED}"/>
    <cellStyle name="Currency 2 16" xfId="2730" xr:uid="{D2F62EAC-B9C7-4E9D-AC1A-D9939359A71E}"/>
    <cellStyle name="Currency 2 17" xfId="2760" xr:uid="{7F5C49D9-0AF4-4915-919D-390D0410B763}"/>
    <cellStyle name="Currency 2 18" xfId="2796" xr:uid="{1872B8D4-0013-4A78-A31D-8E49D87A13EE}"/>
    <cellStyle name="Currency 2 2" xfId="62" xr:uid="{5F9AA4E6-1C4D-4F52-B246-9057435F3D98}"/>
    <cellStyle name="Currency 2 2 10" xfId="2797" xr:uid="{C62B449F-3332-4B7D-BE9A-1D9DCA765149}"/>
    <cellStyle name="Currency 2 2 2" xfId="453" xr:uid="{0B5599AE-2CD4-4877-BB19-C47AB87DAAE9}"/>
    <cellStyle name="Currency 2 2 2 2" xfId="1562" xr:uid="{1D392C32-42C8-47CA-88A8-F0D6C074B471}"/>
    <cellStyle name="Currency 2 2 2 3" xfId="2663" xr:uid="{E536F0CA-6351-4C23-8B3B-EE580306354F}"/>
    <cellStyle name="Currency 2 2 2 4" xfId="2761" xr:uid="{FA6142B0-9522-4C1E-8E55-C436D2559D61}"/>
    <cellStyle name="Currency 2 2 2 5" xfId="2798" xr:uid="{BFA3AB3F-8264-4F10-8C5C-503460522100}"/>
    <cellStyle name="Currency 2 2 3" xfId="469" xr:uid="{2C2006E7-2073-4AFB-B95E-043C7B349236}"/>
    <cellStyle name="Currency 2 2 4" xfId="507" xr:uid="{A6EB2951-AF7B-4912-9088-75B395117C06}"/>
    <cellStyle name="Currency 2 2 5" xfId="673" xr:uid="{76C8B3A8-C71E-4310-BDCE-E3DA563C44F6}"/>
    <cellStyle name="Currency 2 2 6" xfId="1041" xr:uid="{0873EF4E-639D-4BBB-904D-79F4C627022B}"/>
    <cellStyle name="Currency 2 2 7" xfId="1292" xr:uid="{F8D733D6-8F61-44BF-9442-88B5CB6CC324}"/>
    <cellStyle name="Currency 2 2 8" xfId="2647" xr:uid="{8D98949C-56A7-4F12-83FC-D4B7566D3414}"/>
    <cellStyle name="Currency 2 2 9" xfId="2762" xr:uid="{19519E67-E662-4E44-9904-7F8B7C9C2441}"/>
    <cellStyle name="Currency 2 3" xfId="308" xr:uid="{11D38841-422D-444D-B895-9BFCD4C77DDB}"/>
    <cellStyle name="Currency 2 3 10" xfId="2799" xr:uid="{A4501BF8-79F0-49D7-BCD6-AD5B3BF1A355}"/>
    <cellStyle name="Currency 2 3 2" xfId="458" xr:uid="{E12BBD2E-DB97-4473-A5D2-F8E176861333}"/>
    <cellStyle name="Currency 2 3 2 2" xfId="1563" xr:uid="{5F37CE05-A895-4827-ABFE-3330E0A3D3FF}"/>
    <cellStyle name="Currency 2 3 2 3" xfId="2668" xr:uid="{DCBE44FA-8FD9-413E-BE0F-87CA5CC3B617}"/>
    <cellStyle name="Currency 2 3 2 4" xfId="2763" xr:uid="{8AD743AA-32AC-4BCC-BB24-32123FB92C81}"/>
    <cellStyle name="Currency 2 3 2 5" xfId="2800" xr:uid="{7AF2A1C9-BE32-4192-BF0F-B5AF7F90BF5F}"/>
    <cellStyle name="Currency 2 3 3" xfId="474" xr:uid="{20CF09EB-6CEF-4819-AA8F-FD827DCF85CE}"/>
    <cellStyle name="Currency 2 3 4" xfId="476" xr:uid="{B86716FF-3178-489D-B074-A8AFAB3DB0F9}"/>
    <cellStyle name="Currency 2 3 5" xfId="674" xr:uid="{81E78788-BEC2-440A-B4CE-26B0EA14E191}"/>
    <cellStyle name="Currency 2 3 6" xfId="1046" xr:uid="{1F94A0AA-E6C1-4CDE-B3BB-01A8F2F46A38}"/>
    <cellStyle name="Currency 2 3 7" xfId="1297" xr:uid="{43CF015B-A6A5-4BA8-9526-911732DE8603}"/>
    <cellStyle name="Currency 2 3 8" xfId="2652" xr:uid="{DC65A855-37DE-4C53-A400-A81AA7809035}"/>
    <cellStyle name="Currency 2 3 9" xfId="2764" xr:uid="{737A779F-4EB0-4F0F-A6C2-88F092B08859}"/>
    <cellStyle name="Currency 2 4" xfId="322" xr:uid="{30AF2328-67E4-4470-B9C4-AE824BA95B37}"/>
    <cellStyle name="Currency 2 4 2" xfId="1561" xr:uid="{4A80DE14-966B-4D82-909E-9F2A471E517E}"/>
    <cellStyle name="Currency 2 4 3" xfId="2662" xr:uid="{B2636E40-0659-4F62-AF3F-17B3D7806443}"/>
    <cellStyle name="Currency 2 4 4" xfId="2765" xr:uid="{E2CB9BC7-932E-42DB-86CF-70E863D7224C}"/>
    <cellStyle name="Currency 2 4 5" xfId="2801" xr:uid="{62FAB63E-CBDC-475C-A939-8437E1FBD68E}"/>
    <cellStyle name="Currency 2 5" xfId="452" xr:uid="{91999E93-5646-4B7C-A9A7-D78A3AC2430F}"/>
    <cellStyle name="Currency 2 6" xfId="468" xr:uid="{F46042B2-D656-450A-942B-18542406F6A0}"/>
    <cellStyle name="Currency 2 7" xfId="492" xr:uid="{532BBBDA-0828-4CEE-BCBE-7F334E42E30A}"/>
    <cellStyle name="Currency 2 8" xfId="672" xr:uid="{5028958E-BD66-49C4-B820-BB2AB313C1DD}"/>
    <cellStyle name="Currency 2 9" xfId="1040" xr:uid="{AC82B079-942C-4023-986C-8E4029FA7DEF}"/>
    <cellStyle name="Currency 2*" xfId="675" xr:uid="{A24894C4-1E64-40C3-978E-610E5AA33AE2}"/>
    <cellStyle name="Currency 2_% Change" xfId="676" xr:uid="{0CBF9761-4A17-4C3A-9055-C8613E681D1A}"/>
    <cellStyle name="Currency 3" xfId="936" xr:uid="{4B8F396A-D9AD-49C3-A62A-AA0913E56823}"/>
    <cellStyle name="Currency 3*" xfId="677" xr:uid="{AD63DCE8-8860-4921-8F8C-89CF90ACE13F}"/>
    <cellStyle name="Currency 4" xfId="937" xr:uid="{0D5D5A1B-73D4-4EAA-BDB6-E9F2A910492C}"/>
    <cellStyle name="Currency*" xfId="678" xr:uid="{D3643811-B722-4EF6-86DE-2BE9178134E8}"/>
    <cellStyle name="Currency0" xfId="679" xr:uid="{5EBB39F3-FA97-4093-B529-DE879045B705}"/>
    <cellStyle name="Date" xfId="680" xr:uid="{7A2DD62D-4966-46FE-AB4C-1CBFC91D57D7}"/>
    <cellStyle name="Date Aligned" xfId="681" xr:uid="{BCDD1064-A5E7-4389-ADF3-69B4DA99DBAE}"/>
    <cellStyle name="Date Aligned*" xfId="682" xr:uid="{1B2FAFC6-5236-48FF-B5A0-F3E6464CA8BC}"/>
    <cellStyle name="Date Aligned__MasterJRComps" xfId="683" xr:uid="{C55E8023-7753-41C1-948D-679FF76C9C50}"/>
    <cellStyle name="Description" xfId="63" xr:uid="{ABA36878-6C91-4789-A89B-E713A547197C}"/>
    <cellStyle name="Dia" xfId="684" xr:uid="{67D43894-CA35-4594-9532-5989D4771130}"/>
    <cellStyle name="Dia 2" xfId="1564" xr:uid="{0C4F3020-8A6A-4DA8-84DE-E89CD3CA5D7D}"/>
    <cellStyle name="DistributionType" xfId="685" xr:uid="{5A385198-63C2-4667-BAA2-512776ADF9C0}"/>
    <cellStyle name="DistributionType 2" xfId="1565" xr:uid="{B63B5997-A012-4693-B243-37FD89B651AB}"/>
    <cellStyle name="Dotted Line" xfId="686" xr:uid="{C9F9DC0E-D78E-428F-9D4B-CA2A26DC2717}"/>
    <cellStyle name="Encabez1" xfId="687" xr:uid="{9A102BE6-4E41-42FE-93BD-0301903EE74B}"/>
    <cellStyle name="Encabez1 2" xfId="1566" xr:uid="{08C110B3-748F-4496-9808-231A8ABD43FE}"/>
    <cellStyle name="Encabez2" xfId="688" xr:uid="{E9E77B57-E0C6-4C8E-9052-8819DDE1876D}"/>
    <cellStyle name="Encabez2 2" xfId="1567" xr:uid="{B1EF343F-208C-49AF-940A-66D31DD42B7A}"/>
    <cellStyle name="Euro" xfId="64" xr:uid="{72EB80EB-F4AA-4340-A6FE-29274CF4C89C}"/>
    <cellStyle name="Euro 2" xfId="689" xr:uid="{B7C7F0E2-AC6F-471A-BEDF-5F1FE0C3908B}"/>
    <cellStyle name="Euro 3" xfId="1568" xr:uid="{DF29FAF5-D6EA-493A-B806-C5E1A9F3F4A8}"/>
    <cellStyle name="Explanatory Text 2" xfId="65" xr:uid="{3FD5CE02-F11D-4962-A65B-8FCD6AD6ED66}"/>
    <cellStyle name="Explanatory Text 3" xfId="938" xr:uid="{D825FED8-A53F-4DBD-8C3E-1F78EB729C70}"/>
    <cellStyle name="Explanatory Text 4" xfId="1409" xr:uid="{D3C81710-2A48-4344-BA9D-FE879802C6FA}"/>
    <cellStyle name="F2" xfId="690" xr:uid="{13867706-C131-4CB9-9F88-9C05BFEFBE94}"/>
    <cellStyle name="F2 2" xfId="1569" xr:uid="{44E68AC2-2801-4E8B-82E0-271ECDAE24D9}"/>
    <cellStyle name="F3" xfId="691" xr:uid="{56DE3660-F509-4F5E-8ECD-98A199F7FCDE}"/>
    <cellStyle name="F3 2" xfId="1570" xr:uid="{33B088CD-112A-4862-B053-03EC7097A777}"/>
    <cellStyle name="F4" xfId="692" xr:uid="{89BF1362-6C03-485F-B0ED-EFD2BD29F82E}"/>
    <cellStyle name="F4 2" xfId="1571" xr:uid="{0F339CDC-5BA6-4368-81B8-42DF0EABB3FA}"/>
    <cellStyle name="F5" xfId="693" xr:uid="{15DB9273-FE97-4CFA-8B22-129E8920E860}"/>
    <cellStyle name="F5 2" xfId="1572" xr:uid="{AE3E5D03-054D-4894-8EE1-7D07BED397F0}"/>
    <cellStyle name="F6" xfId="694" xr:uid="{EC8C97EF-B808-4C3B-B172-2D8FF7610B68}"/>
    <cellStyle name="F6 2" xfId="1573" xr:uid="{8D3DCE0C-BF6A-449E-9360-8F7B9C9A912D}"/>
    <cellStyle name="F7" xfId="695" xr:uid="{2BB41C0B-2778-424F-8130-145D00F147D8}"/>
    <cellStyle name="F7 2" xfId="1574" xr:uid="{931207B4-77AA-4745-89F5-88FB3C6566EC}"/>
    <cellStyle name="F8" xfId="696" xr:uid="{A253FBE4-960C-419A-9709-B1E9E008CF5C}"/>
    <cellStyle name="F8 2" xfId="1575" xr:uid="{142100D7-F086-4260-BCFD-A902DFB47C38}"/>
    <cellStyle name="Fijo" xfId="697" xr:uid="{574E7B2C-813C-4BBC-B2D2-8640A6A62E62}"/>
    <cellStyle name="Fijo 2" xfId="1576" xr:uid="{8D984E3E-BBEB-4D19-910C-EDE5C1F1BD09}"/>
    <cellStyle name="Financiero" xfId="698" xr:uid="{B8602326-1398-4B18-9ED0-695EB615DAFD}"/>
    <cellStyle name="Financiero 2" xfId="1577" xr:uid="{F215E455-B064-4C06-80A7-3238BD39ACDB}"/>
    <cellStyle name="Fixed" xfId="699" xr:uid="{D478BF37-9576-48FF-8181-73291569ECDB}"/>
    <cellStyle name="Flag" xfId="700" xr:uid="{5D5341D2-EA9D-478C-8A50-3A70B424676A}"/>
    <cellStyle name="Flash" xfId="66" xr:uid="{9FE870DC-ABDD-4A51-897D-B31CE533E915}"/>
    <cellStyle name="Fonts" xfId="701" xr:uid="{C79A776F-E6A7-4078-BF14-1353C5F4FE61}"/>
    <cellStyle name="Footer SBILogo1" xfId="702" xr:uid="{02A3E7FE-72FB-4F7F-808C-2416BE99160A}"/>
    <cellStyle name="Footer SBILogo1 2" xfId="1578" xr:uid="{DDF5442B-6E56-481F-9A1C-EFB4793517FC}"/>
    <cellStyle name="Footer SBILogo2" xfId="703" xr:uid="{36E27519-6ADE-406A-8DD5-F45BFB41B27C}"/>
    <cellStyle name="Footnote" xfId="704" xr:uid="{6DFA8B05-17FB-442C-87B7-69F6A1B0E611}"/>
    <cellStyle name="footnote ref" xfId="67" xr:uid="{5F4C31BE-675A-443D-AAF9-2EC5CFEDB9DA}"/>
    <cellStyle name="Footnote Reference" xfId="705" xr:uid="{7CF57AAF-45C1-41B8-A8A5-13780A2F8C9D}"/>
    <cellStyle name="footnote text" xfId="68" xr:uid="{D58FCE86-13BA-418C-8376-A527D5E2C3FA}"/>
    <cellStyle name="Footnote_% Change" xfId="706" xr:uid="{D2D8A210-AA33-44FD-B817-F609D517C85F}"/>
    <cellStyle name="General" xfId="69" xr:uid="{8178448A-37F6-438E-892F-5071C84D5605}"/>
    <cellStyle name="General 2" xfId="70" xr:uid="{A913563E-B8BD-4D86-96B3-69CAA441C790}"/>
    <cellStyle name="General 2 2" xfId="1580" xr:uid="{810FCF67-29E1-42A5-BC3F-BF37ECFA9178}"/>
    <cellStyle name="General 3" xfId="1579" xr:uid="{7ECDE158-AC1D-4E18-B47C-C0323252F581}"/>
    <cellStyle name="Good 2" xfId="71" xr:uid="{F9195747-F41A-4BAA-B546-5E1624D28AB5}"/>
    <cellStyle name="Good 3" xfId="939" xr:uid="{3B5A3A78-C713-430B-A7AD-A55C8CFD4F14}"/>
    <cellStyle name="Good 4" xfId="1399" xr:uid="{E6BB23DC-627A-4DAA-94A3-06F36780A0A4}"/>
    <cellStyle name="Grey" xfId="72" xr:uid="{502FEC57-AB13-4850-B3E4-EF01E70DC5F5}"/>
    <cellStyle name="Grey 2" xfId="1581" xr:uid="{35EBA9C6-E6CE-4A7F-9244-D8590E1F532C}"/>
    <cellStyle name="Group" xfId="707" xr:uid="{83095F65-8322-4A6B-8BF1-95138BD117ED}"/>
    <cellStyle name="Group 2" xfId="1582" xr:uid="{34B3DA53-0E0A-4514-B722-CB545B81D17C}"/>
    <cellStyle name="GroupNote" xfId="708" xr:uid="{A27EB978-DCB6-48BD-9A73-FEE35DBAFFDE}"/>
    <cellStyle name="Hard Percent" xfId="709" xr:uid="{E30E2CC0-82C6-427B-9973-B41CDC9B18AB}"/>
    <cellStyle name="Header" xfId="710" xr:uid="{9FB8B347-6BBA-46C3-A2FF-B23D7E47BAE4}"/>
    <cellStyle name="Header Draft Stamp" xfId="711" xr:uid="{E14A917E-D09E-4EF0-B52E-B58C04CCE8A3}"/>
    <cellStyle name="Header_% Change" xfId="712" xr:uid="{1937472F-D10F-4740-9B07-210BCD766381}"/>
    <cellStyle name="Header1" xfId="713" xr:uid="{FA52476B-6808-4A29-A527-DEC874E607C9}"/>
    <cellStyle name="Header2" xfId="714" xr:uid="{90853314-49EB-4529-8E8F-E97956F098B5}"/>
    <cellStyle name="Header2 2" xfId="1026" xr:uid="{E8748E35-18EF-4A0B-859D-A67EF0DF1453}"/>
    <cellStyle name="Header2 3" xfId="1490" xr:uid="{AD7E3CEB-DD2C-4E8D-BCAC-A5EF07C2E2BE}"/>
    <cellStyle name="HeaderLabel" xfId="73" xr:uid="{878CE3F8-829F-49C4-A8CB-2C82C29CFD1D}"/>
    <cellStyle name="HeaderText" xfId="74" xr:uid="{28AADE33-2DCE-4277-A187-5C172D6D549E}"/>
    <cellStyle name="Heading" xfId="715" xr:uid="{3343AE53-69CA-4E5B-8236-85D78D74DBB0}"/>
    <cellStyle name="Heading 1" xfId="2632" builtinId="16"/>
    <cellStyle name="Heading 1 10" xfId="1752" xr:uid="{3179EA55-1225-4849-A51A-55F4EEFE2562}"/>
    <cellStyle name="Heading 1 2" xfId="75" xr:uid="{8FE1BB7A-062D-474B-8226-5126EEF7C7C6}"/>
    <cellStyle name="Heading 1 2 2" xfId="76" xr:uid="{8252C1C7-FAAD-4FAD-97EA-69C6519223DC}"/>
    <cellStyle name="Heading 1 2 3" xfId="423" xr:uid="{FF2A4125-1547-46F7-A073-960E1C444801}"/>
    <cellStyle name="Heading 1 2 3 2" xfId="521" xr:uid="{B2C0F747-1F01-41E9-BBF4-5296A8FA5DC0}"/>
    <cellStyle name="Heading 1 2 4" xfId="717" xr:uid="{47433B4E-19A6-4778-86E9-ACD076835D6F}"/>
    <cellStyle name="Heading 1 2_asset sales" xfId="77" xr:uid="{49217E5B-3EC4-4ED4-89BC-90FA6D0A49CF}"/>
    <cellStyle name="Heading 1 3" xfId="78" xr:uid="{EB62B14D-7F50-4A3C-99CB-A52B75A2B9FF}"/>
    <cellStyle name="Heading 1 4" xfId="79" xr:uid="{AD522572-3E48-436A-9F6E-A4D6240FDB1A}"/>
    <cellStyle name="Heading 1 4 2" xfId="940" xr:uid="{6716BD90-879A-42D7-A5C8-4D436C7D281B}"/>
    <cellStyle name="Heading 1 5" xfId="424" xr:uid="{6461D3BB-24DD-49B1-9B96-95F9EB998B0A}"/>
    <cellStyle name="Heading 1 5 2" xfId="941" xr:uid="{EAC11415-6A5C-426F-9895-839B3A2E4E5D}"/>
    <cellStyle name="Heading 1 5 3" xfId="1679" xr:uid="{A027DD8A-D0A9-4D9F-A964-838EFF195DFB}"/>
    <cellStyle name="Heading 1 6" xfId="716" xr:uid="{526CE87F-64F4-425F-80AB-4406872E84F6}"/>
    <cellStyle name="Heading 1 6 2" xfId="1684" xr:uid="{A973E371-A26D-4037-95E6-B12967950312}"/>
    <cellStyle name="Heading 1 7" xfId="1311" xr:uid="{93091EAD-3192-4376-A4FF-6073D19E9805}"/>
    <cellStyle name="Heading 1 7 2" xfId="1699" xr:uid="{674A17E6-25A6-4E1E-9D9C-F898453A658D}"/>
    <cellStyle name="Heading 1 8" xfId="1307" xr:uid="{8EC22F74-7CEF-4776-8B1C-71EE11DC006A}"/>
    <cellStyle name="Heading 1 8 2" xfId="1753" xr:uid="{F1409059-730C-4A3B-9123-3A6C66F997B2}"/>
    <cellStyle name="Heading 1 9" xfId="1299" xr:uid="{C187F5B4-5AB6-40A1-9FB0-D9EA64EF4E33}"/>
    <cellStyle name="Heading 1 9 2" xfId="1739" xr:uid="{94F90275-6977-483D-9F62-41454D910F4C}"/>
    <cellStyle name="Heading 1 Above" xfId="718" xr:uid="{D68CA422-288D-4590-9E24-BF3A16501A85}"/>
    <cellStyle name="Heading 1+" xfId="719" xr:uid="{6E8AB486-38A1-40E3-9EAE-FFCEB1033C53}"/>
    <cellStyle name="Heading 1+ 2" xfId="1583" xr:uid="{1ED8B094-258B-4047-A4B8-E5D2447B8B4B}"/>
    <cellStyle name="Heading 2 2" xfId="80" xr:uid="{A9ACEF52-FE9D-45D2-A18D-6D07407D3E09}"/>
    <cellStyle name="Heading 2 3" xfId="81" xr:uid="{F4942426-2F8B-499B-A9FE-522F7DF023D2}"/>
    <cellStyle name="Heading 2 4" xfId="942" xr:uid="{8CA34456-D68C-4BB1-9938-6A935CD2A933}"/>
    <cellStyle name="Heading 2 4 2" xfId="943" xr:uid="{7E9B4FB8-614B-45B8-B29F-5A49B11B7275}"/>
    <cellStyle name="Heading 2 5" xfId="944" xr:uid="{68F43BD5-D9CE-48D6-B7AF-758B4BC60348}"/>
    <cellStyle name="Heading 2 6" xfId="1396" xr:uid="{056A2668-6583-4447-B998-19C1B843E9C2}"/>
    <cellStyle name="Heading 2 Below" xfId="720" xr:uid="{BD5CA03E-A2A0-49A8-8118-17D66C8B47A7}"/>
    <cellStyle name="Heading 2 Below 2" xfId="1489" xr:uid="{A4EA5A3A-252F-44B7-A0DE-BB05CE328A61}"/>
    <cellStyle name="Heading 2+" xfId="721" xr:uid="{F355AC50-183D-4E6B-8E63-A45D5C83A0F7}"/>
    <cellStyle name="Heading 2+ 2" xfId="1584" xr:uid="{3450908C-73CB-4710-8DB0-A624A17F1289}"/>
    <cellStyle name="Heading 3 2" xfId="82" xr:uid="{4CBAE8CF-92B0-4412-8EC2-FEB66DF24C57}"/>
    <cellStyle name="Heading 3 3" xfId="83" xr:uid="{593808D3-CE57-4AE3-AF4B-8BCC4EC497EF}"/>
    <cellStyle name="Heading 3 4" xfId="945" xr:uid="{EFC37AA8-6C9F-449A-A784-7CF7EAD79F02}"/>
    <cellStyle name="Heading 3 4 2" xfId="946" xr:uid="{5A8C6359-ACDE-437A-8D12-8F184F90BFF9}"/>
    <cellStyle name="Heading 3 5" xfId="947" xr:uid="{29F746CE-D145-4E40-937F-3A7C459EA39D}"/>
    <cellStyle name="Heading 3 6" xfId="1397" xr:uid="{9CFA6CDE-0E40-4CA1-9D4A-BE45126E012A}"/>
    <cellStyle name="Heading 3+" xfId="722" xr:uid="{12A0DED2-F2B1-41B1-A6C5-D89D79642814}"/>
    <cellStyle name="Heading 4 2" xfId="84" xr:uid="{4F2CA081-31DD-4061-876D-8098F3E8B9BB}"/>
    <cellStyle name="Heading 4 3" xfId="85" xr:uid="{3126A9BC-4377-41E9-8D2A-6D87569114BA}"/>
    <cellStyle name="Heading 4 4" xfId="948" xr:uid="{04676CC6-B154-43B4-8935-765F430D5806}"/>
    <cellStyle name="Heading 4 4 2" xfId="949" xr:uid="{F844B767-38FB-4826-A40C-A52407294BCA}"/>
    <cellStyle name="Heading 4 5" xfId="950" xr:uid="{49C31294-C1AF-4096-B2D1-67F7D8A8A11E}"/>
    <cellStyle name="Heading 4 6" xfId="1398" xr:uid="{CFCB214C-8757-4AEB-A264-EFAE041D0963}"/>
    <cellStyle name="Heading 5" xfId="86" xr:uid="{1EC4361F-2D90-41F1-940A-E40F76C8CDF5}"/>
    <cellStyle name="Heading 6" xfId="87" xr:uid="{E839AA6B-D206-4469-8998-80F95AAF244B}"/>
    <cellStyle name="Heading 7" xfId="88" xr:uid="{6C0E8E41-9B53-4D7E-8EB2-520E053819BC}"/>
    <cellStyle name="Heading 8" xfId="89" xr:uid="{1E342476-F6A8-4D74-AC10-40B126E1CA1E}"/>
    <cellStyle name="Heading1" xfId="724" xr:uid="{B3E7CD25-6182-4103-BC71-3FB404975BE6}"/>
    <cellStyle name="Heading2" xfId="725" xr:uid="{5716FBEF-BF34-4720-89FA-4A6A47E1DA66}"/>
    <cellStyle name="Heading3" xfId="726" xr:uid="{54DC9C78-B903-47FE-9607-D9F866F99549}"/>
    <cellStyle name="Heading4" xfId="727" xr:uid="{EA88E36D-65FF-4876-85EE-DAE4FD9F89CD}"/>
    <cellStyle name="Heading5" xfId="728" xr:uid="{7EA7EED7-3EE1-44B8-946A-518B5C3C99FD}"/>
    <cellStyle name="Horizontal" xfId="729" xr:uid="{D81AA254-83E3-4799-9C6C-278EE2A55E80}"/>
    <cellStyle name="Hyperlink" xfId="6" builtinId="8"/>
    <cellStyle name="Hyperlink 10" xfId="2811" xr:uid="{206F23B0-E5E0-480E-BFBD-E627ACCF3209}"/>
    <cellStyle name="Hyperlink 2" xfId="9" xr:uid="{37C4615F-9298-474E-AAF9-460B88FBCD0A}"/>
    <cellStyle name="Hyperlink 2 2" xfId="324" xr:uid="{11AD0917-2864-4F80-9078-2630DF94EE7A}"/>
    <cellStyle name="Hyperlink 2 2 2" xfId="730" xr:uid="{31BE9330-2F92-404F-B030-0A40FFC71D9F}"/>
    <cellStyle name="Hyperlink 2 2 2 2" xfId="1900" xr:uid="{32D493E8-2309-45A8-B9CC-E505602D3185}"/>
    <cellStyle name="Hyperlink 2 3" xfId="323" xr:uid="{C7E38763-88BE-491C-9154-5EDAF5268A78}"/>
    <cellStyle name="Hyperlink 2 3 2" xfId="1896" xr:uid="{70EE80DD-582C-4248-A899-4FBB92FC7F48}"/>
    <cellStyle name="Hyperlink 2 4" xfId="410" xr:uid="{29F55DA8-6CA4-4996-9AC2-F23BD0AF1C9C}"/>
    <cellStyle name="Hyperlink 2 5" xfId="425" xr:uid="{70A501F1-6070-4C7D-A07D-180866536B38}"/>
    <cellStyle name="Hyperlink 2 6" xfId="494" xr:uid="{13095EAF-E394-4C01-A8D1-D8F13272E031}"/>
    <cellStyle name="Hyperlink 2 7" xfId="2703" xr:uid="{BD9365A2-84A3-4363-9EF5-ECDB3E3B56F8}"/>
    <cellStyle name="Hyperlink 3" xfId="90" xr:uid="{46B77B0D-9E6B-4B96-9002-13F1BCA11FCA}"/>
    <cellStyle name="Hyperlink 3 2" xfId="897" xr:uid="{FC7325BF-C150-4686-B0A9-79702FAB1982}"/>
    <cellStyle name="Hyperlink 3 3" xfId="1512" xr:uid="{9745E410-A8FB-43A7-8EF2-EE9813E96BA9}"/>
    <cellStyle name="Hyperlink 3 4" xfId="2704" xr:uid="{BD4CD88E-3D90-418B-B7D8-7D07D7210454}"/>
    <cellStyle name="Hyperlink 4" xfId="325" xr:uid="{76A03514-94A5-4C2E-8D5E-466BCA84A00D}"/>
    <cellStyle name="Hyperlink 4 2" xfId="1667" xr:uid="{53C9697C-9C4C-4466-96C1-40C0CB8F6A2D}"/>
    <cellStyle name="Hyperlink 5" xfId="426" xr:uid="{95FA800C-E3F2-4869-905E-B36A57992D1C}"/>
    <cellStyle name="Hyperlink 6" xfId="416" xr:uid="{5C15AE5E-2F5D-4D6C-B467-F53F48A64B19}"/>
    <cellStyle name="Hyperlink 7" xfId="414" xr:uid="{A53B5CCC-4B3E-43F3-9967-023751C90EF6}"/>
    <cellStyle name="Hyperlink 8" xfId="506" xr:uid="{6C664D85-905F-4805-8369-ECFED8D50701}"/>
    <cellStyle name="Hyperlink 9" xfId="1364" xr:uid="{3C1A6E53-C85B-4E49-A266-D1BF97375DF0}"/>
    <cellStyle name="Information" xfId="91" xr:uid="{7502EDD1-E1AB-48A4-9D29-3FAC2792E47F}"/>
    <cellStyle name="Input [yellow]" xfId="92" xr:uid="{6A1BB320-3D9D-480D-ADD2-8A82EF579E36}"/>
    <cellStyle name="Input [yellow] 2" xfId="731" xr:uid="{B4FB912C-9DDF-47D7-8FC0-0A42851F83A6}"/>
    <cellStyle name="Input [yellow] 2 2" xfId="1585" xr:uid="{F74CDB3B-EFD2-4129-8834-2A191BE44FB8}"/>
    <cellStyle name="Input [yellow] 3" xfId="2731" xr:uid="{E38FFFEE-EEE7-4558-A4D0-F681D960C42B}"/>
    <cellStyle name="Input 10" xfId="93" xr:uid="{87F55BF7-F740-4053-A466-895BEB268753}"/>
    <cellStyle name="Input 10 2" xfId="732" xr:uid="{672150D1-0087-447D-8E0E-A3F79757B869}"/>
    <cellStyle name="Input 10 3" xfId="1470" xr:uid="{DCFBC6A6-C0D8-4134-B51A-0C8656102EFD}"/>
    <cellStyle name="Input 10 4" xfId="1596" xr:uid="{D1FF5C9F-C53E-46F0-8D42-BFD5A0ED4329}"/>
    <cellStyle name="Input 10 5" xfId="2683" xr:uid="{2246769B-DC8D-45BF-BBC8-3FC10136ACA1}"/>
    <cellStyle name="Input 11" xfId="94" xr:uid="{16EFCE98-F84E-40EF-AC15-D8DB04711984}"/>
    <cellStyle name="Input 11 2" xfId="733" xr:uid="{246F6170-6B89-4CB1-8D6A-525E00732127}"/>
    <cellStyle name="Input 11 3" xfId="1471" xr:uid="{137125F9-38B5-4AD3-9145-F4DA07F5798E}"/>
    <cellStyle name="Input 11 4" xfId="1467" xr:uid="{96DE6172-3CDB-4C74-93C9-329F1F7F4E4B}"/>
    <cellStyle name="Input 11 5" xfId="2684" xr:uid="{D3242A5C-A145-40F9-90CC-13DB0073AAFF}"/>
    <cellStyle name="Input 12" xfId="95" xr:uid="{EC1EE204-99B7-4042-B458-EE2C11FE06B6}"/>
    <cellStyle name="Input 12 2" xfId="734" xr:uid="{8A1E4A01-B364-47E4-B5CC-0D70A1123A1E}"/>
    <cellStyle name="Input 12 3" xfId="1472" xr:uid="{1C0DC9E3-231D-466C-A179-62D0A2BBC4BB}"/>
    <cellStyle name="Input 12 4" xfId="1595" xr:uid="{E49498D1-BB07-4994-A7D0-357F661FDB1E}"/>
    <cellStyle name="Input 12 5" xfId="2685" xr:uid="{044C9E4F-852D-4F1B-9F48-14E998F419D2}"/>
    <cellStyle name="Input 13" xfId="96" xr:uid="{07CAAFEC-10C3-40CA-9AD5-A6DAE42C67D3}"/>
    <cellStyle name="Input 13 2" xfId="735" xr:uid="{6D669C93-F01E-42B4-8381-2B0946E0DD52}"/>
    <cellStyle name="Input 13 3" xfId="1473" xr:uid="{B7E7BEFA-27DF-4BD5-92E0-1F7B126B1575}"/>
    <cellStyle name="Input 13 4" xfId="1466" xr:uid="{B5FC5F16-8D56-49E7-9D2E-E28DBF3FEE00}"/>
    <cellStyle name="Input 13 5" xfId="2686" xr:uid="{7ACB78D3-20DE-4D8E-B998-2ACFCEE282C3}"/>
    <cellStyle name="Input 14" xfId="97" xr:uid="{1A4EF50F-1235-4524-ABED-6908B2D59196}"/>
    <cellStyle name="Input 14 2" xfId="736" xr:uid="{76B1FFD9-66D0-44E9-A7DB-E5FE9725770F}"/>
    <cellStyle name="Input 14 3" xfId="1474" xr:uid="{0FDC0230-DC5D-4BA3-8B25-1F155714EB60}"/>
    <cellStyle name="Input 14 4" xfId="1880" xr:uid="{52BE690A-ED4C-4076-B7AF-DBDC7174E267}"/>
    <cellStyle name="Input 14 5" xfId="2687" xr:uid="{8A48EF9D-88F3-4C80-9392-EF65F78409BC}"/>
    <cellStyle name="Input 15" xfId="98" xr:uid="{084354E3-A271-401A-9A12-834A9DE9A935}"/>
    <cellStyle name="Input 15 2" xfId="737" xr:uid="{9C310AB0-5730-43BF-9F12-3FFDB973868E}"/>
    <cellStyle name="Input 15 3" xfId="1475" xr:uid="{6673E92E-937C-4D3A-BBD1-3CADBE65E790}"/>
    <cellStyle name="Input 15 4" xfId="1594" xr:uid="{08D3C4BC-A612-44D3-80A4-52057789AF7F}"/>
    <cellStyle name="Input 15 5" xfId="2688" xr:uid="{6234744B-5E7C-47FB-9077-8660ADF8BDA3}"/>
    <cellStyle name="Input 16" xfId="99" xr:uid="{E3483C7E-BC8E-4A83-A536-08E3EDBDD026}"/>
    <cellStyle name="Input 16 2" xfId="738" xr:uid="{D834FF1C-7B43-4BC0-B6CB-2E8BFC315585}"/>
    <cellStyle name="Input 16 3" xfId="1476" xr:uid="{54EACEE5-7852-4E2E-81F1-36B56A990E10}"/>
    <cellStyle name="Input 16 4" xfId="1465" xr:uid="{288C7BDF-F9AF-42B2-BAFD-9F7303653DE2}"/>
    <cellStyle name="Input 16 5" xfId="2689" xr:uid="{F3E4563B-43D2-453F-8A52-FDAF62B007B6}"/>
    <cellStyle name="Input 17" xfId="100" xr:uid="{53B1E468-2917-4727-99AA-109EA710428B}"/>
    <cellStyle name="Input 17 2" xfId="739" xr:uid="{E8B2310B-F866-429A-8D34-02FEC4582FE1}"/>
    <cellStyle name="Input 17 3" xfId="1477" xr:uid="{791DCB58-46DC-41D5-962A-57CF04EB984B}"/>
    <cellStyle name="Input 17 4" xfId="1593" xr:uid="{8E4A000D-AB8D-4419-9568-FA81B2E171EB}"/>
    <cellStyle name="Input 17 5" xfId="2690" xr:uid="{029F5638-19AA-41B0-8508-9AB9CD2C8F42}"/>
    <cellStyle name="Input 18" xfId="101" xr:uid="{3A105855-6610-46A0-9C7F-6D8119C743C0}"/>
    <cellStyle name="Input 18 2" xfId="740" xr:uid="{8BD9BA55-C9F5-4782-8CF1-A93A0D52C17B}"/>
    <cellStyle name="Input 18 3" xfId="1478" xr:uid="{835A3B1D-154C-43AC-B463-F7B9DB597368}"/>
    <cellStyle name="Input 18 4" xfId="1464" xr:uid="{8B07435E-FBC6-47C0-86DD-0649BA66A475}"/>
    <cellStyle name="Input 18 5" xfId="2691" xr:uid="{035A0E36-892E-4C93-A210-6F378EEF88B9}"/>
    <cellStyle name="Input 19" xfId="102" xr:uid="{DD0E4754-EAB2-4C47-85DC-E85CB1DDEAD5}"/>
    <cellStyle name="Input 19 2" xfId="741" xr:uid="{34531E57-B2D5-46B1-9981-35DA20824A46}"/>
    <cellStyle name="Input 19 3" xfId="1479" xr:uid="{042206B8-1262-4B4A-8F2E-8995DC081E98}"/>
    <cellStyle name="Input 19 4" xfId="1592" xr:uid="{78428384-2506-4E48-BEF5-CEB9FE92E22E}"/>
    <cellStyle name="Input 19 5" xfId="2692" xr:uid="{E84C9AB7-1D87-4BE8-82FB-F62E0C0B7DC3}"/>
    <cellStyle name="Input 2" xfId="103" xr:uid="{CC673B39-1800-4E1B-8904-F3B721AA73FF}"/>
    <cellStyle name="Input 2 2" xfId="522" xr:uid="{52BEC3B3-0E26-4876-B488-B993C4C9597C}"/>
    <cellStyle name="Input 2 3" xfId="1337" xr:uid="{F815042A-EA61-4DC2-BB42-31E51A4AB324}"/>
    <cellStyle name="Input 2 4" xfId="1463" xr:uid="{51BE1713-034C-4DE7-B353-C06AFCCC34D6}"/>
    <cellStyle name="Input 2 5" xfId="2693" xr:uid="{D9226F4C-CFFD-4013-BE3F-4235E999F535}"/>
    <cellStyle name="Input 20" xfId="951" xr:uid="{9EDD9AB2-1F75-4AE0-8B4E-64D66E73CFE4}"/>
    <cellStyle name="Input 21" xfId="1314" xr:uid="{BDD14F64-67A5-4535-8615-63B8CD6687E0}"/>
    <cellStyle name="Input 21 2" xfId="1685" xr:uid="{DA84CDAB-9973-47B1-87D7-A403159EB5EF}"/>
    <cellStyle name="Input 22" xfId="1318" xr:uid="{7ACDBA13-E5BD-4B7F-9A31-C338B9A12A71}"/>
    <cellStyle name="Input 22 2" xfId="1700" xr:uid="{35897DB0-4605-41F4-B100-0764A0D49A70}"/>
    <cellStyle name="Input 23" xfId="1328" xr:uid="{D539EF0A-6E3C-423D-8E77-4CE1D794955E}"/>
    <cellStyle name="Input 23 2" xfId="1755" xr:uid="{7E821FAA-6701-443E-A6E1-C6E8EF6F5A5D}"/>
    <cellStyle name="Input 24" xfId="1320" xr:uid="{19C78031-FD2A-48F4-A381-7C9025859449}"/>
    <cellStyle name="Input 24 2" xfId="1761" xr:uid="{7BEDBD12-A363-4EF6-92BF-6C7752E3F18C}"/>
    <cellStyle name="Input 25" xfId="1360" xr:uid="{7166783E-949A-4C1B-A37D-0F6FE14A681E}"/>
    <cellStyle name="Input 25 2" xfId="1754" xr:uid="{FE46A437-1DD9-403A-802E-72AE324B9ED4}"/>
    <cellStyle name="Input 26" xfId="1321" xr:uid="{281E8F80-092E-46A5-B0FE-DBF73E22987E}"/>
    <cellStyle name="Input 26 2" xfId="1762" xr:uid="{68545350-AB77-4BCC-9A8E-F0AC3C2CC071}"/>
    <cellStyle name="Input 27" xfId="1313" xr:uid="{05772B21-7874-42F4-BDFD-B22FD43CB698}"/>
    <cellStyle name="Input 27 2" xfId="1756" xr:uid="{899C9FB2-B3C4-43E0-9D35-28DAD5CB50A9}"/>
    <cellStyle name="Input 28" xfId="1341" xr:uid="{7A834A8B-2675-465B-931B-71653ABFBE63}"/>
    <cellStyle name="Input 28 2" xfId="1763" xr:uid="{C7A0C9D9-2CF0-42FE-A200-132746549D5F}"/>
    <cellStyle name="Input 29" xfId="1303" xr:uid="{0AE80CD6-3CE8-4AF0-9BD3-36A03BA02AE8}"/>
    <cellStyle name="Input 29 2" xfId="1757" xr:uid="{029AD6A1-590E-400E-B137-221F20715424}"/>
    <cellStyle name="Input 3" xfId="104" xr:uid="{A69E5B0E-4056-428E-BA4A-6259559ED2B8}"/>
    <cellStyle name="Input 3 2" xfId="742" xr:uid="{A5616E7F-D2E6-469E-B9B5-90F6BE6B6F2D}"/>
    <cellStyle name="Input 3 3" xfId="1480" xr:uid="{3A01F861-8E7E-47F3-B20B-E1E6B7EBD9A2}"/>
    <cellStyle name="Input 3 4" xfId="1462" xr:uid="{995D80F2-2C5C-4827-9271-6E390A113885}"/>
    <cellStyle name="Input 3 5" xfId="2694" xr:uid="{FE38D997-288E-490E-B862-E8F2226CD601}"/>
    <cellStyle name="Input 30" xfId="1301" xr:uid="{2DE0E132-48E2-49D2-8312-DBFF734FDF7A}"/>
    <cellStyle name="Input 30 2" xfId="1805" xr:uid="{AE8A1ED8-BAE2-475C-807C-0CE8403C3D1A}"/>
    <cellStyle name="Input 31" xfId="1346" xr:uid="{8E550663-87F4-4F53-8B89-6E6A0EB33A67}"/>
    <cellStyle name="Input 31 2" xfId="1809" xr:uid="{374F0079-E133-45D5-BC79-20E01F2F1FA3}"/>
    <cellStyle name="Input 32" xfId="1305" xr:uid="{66A7EC0D-1841-41EA-A323-933978FF935D}"/>
    <cellStyle name="Input 32 2" xfId="1833" xr:uid="{005A458D-E687-4C0A-8451-9B82B9B47E6C}"/>
    <cellStyle name="Input 33" xfId="1365" xr:uid="{13B9C333-51D9-4541-A085-C87A83CDC1A1}"/>
    <cellStyle name="Input 33 2" xfId="1838" xr:uid="{BF388AE4-F920-4570-ADF4-8C133D30012F}"/>
    <cellStyle name="Input 34" xfId="1344" xr:uid="{C5AC0866-9A17-41CF-BF29-34AB1B0C281F}"/>
    <cellStyle name="Input 34 2" xfId="1832" xr:uid="{EA931BAE-EA7F-49E5-84E8-160AA5ABD02E}"/>
    <cellStyle name="Input 35" xfId="1302" xr:uid="{99733BC0-3AC8-4846-AB94-978527E35750}"/>
    <cellStyle name="Input 35 2" xfId="1876" xr:uid="{C45C48FF-003D-47B8-8E25-B8AA23692588}"/>
    <cellStyle name="Input 36" xfId="1402" xr:uid="{7A6CEC25-CD92-4681-803E-7ABB13868053}"/>
    <cellStyle name="Input 36 2" xfId="1881" xr:uid="{25633E01-6E93-419B-99FF-7FEF98480240}"/>
    <cellStyle name="Input 37" xfId="1437" xr:uid="{6C6B33F5-C713-449C-A64B-C9DC547DF584}"/>
    <cellStyle name="Input 37 2" xfId="1877" xr:uid="{2DB55DC8-69C1-4D9D-80FE-4BE5419F7A5C}"/>
    <cellStyle name="Input 38" xfId="1871" xr:uid="{48BEE48B-45E5-4A8B-9B50-32C3B8BFBB48}"/>
    <cellStyle name="Input 39" xfId="1941" xr:uid="{C022DD07-986A-47BC-87A7-44B466436949}"/>
    <cellStyle name="Input 4" xfId="105" xr:uid="{03AEDD5F-22A1-4864-810D-B03C6AF0639A}"/>
    <cellStyle name="Input 4 2" xfId="743" xr:uid="{EA3FA92A-6C67-4CCD-86C6-E3B9457D8400}"/>
    <cellStyle name="Input 4 3" xfId="1481" xr:uid="{40A0B1E9-36CE-49D4-B26A-00A37159E641}"/>
    <cellStyle name="Input 4 4" xfId="1782" xr:uid="{84A800E5-84E0-436B-A0F7-D7812A61BDAC}"/>
    <cellStyle name="Input 4 5" xfId="2695" xr:uid="{A903C7C0-68D6-4F4E-88E1-C884BFF2CF27}"/>
    <cellStyle name="Input 40" xfId="1951" xr:uid="{895A9CC5-82EB-47DB-ADC7-982F36842039}"/>
    <cellStyle name="Input 41" xfId="1940" xr:uid="{624CA7C9-9DFC-4FAE-B857-FA7C492577A2}"/>
    <cellStyle name="Input 42" xfId="1989" xr:uid="{8CD215B8-63F6-4D23-85B5-4D6749376A4D}"/>
    <cellStyle name="Input 43" xfId="1997" xr:uid="{1706C2CB-917A-46FA-AA89-32E3E457B3DA}"/>
    <cellStyle name="Input 44" xfId="2012" xr:uid="{1EB8E785-B744-4995-8D3F-B99DD5156298}"/>
    <cellStyle name="Input 45" xfId="2034" xr:uid="{79227C86-B407-4591-98A4-D35550E20E23}"/>
    <cellStyle name="Input 46" xfId="2040" xr:uid="{084EA099-AED2-4B94-A6A4-96766CB39A44}"/>
    <cellStyle name="Input 47" xfId="2032" xr:uid="{B61E136B-2433-4177-B655-CD6704A40472}"/>
    <cellStyle name="Input 48" xfId="2041" xr:uid="{85955400-4465-47B6-A98F-6A86B3FA3773}"/>
    <cellStyle name="Input 49" xfId="2033" xr:uid="{97C5FB9B-A8E5-4CC2-A498-5ACF82022847}"/>
    <cellStyle name="Input 5" xfId="106" xr:uid="{29CB76FB-F721-4165-A4DA-F585AC269576}"/>
    <cellStyle name="Input 5 2" xfId="744" xr:uid="{709C0635-F47A-4524-A35E-9EC52C76BFBF}"/>
    <cellStyle name="Input 5 3" xfId="1482" xr:uid="{772BC0DF-7131-4335-BC9E-F0BAED0AAE9A}"/>
    <cellStyle name="Input 5 4" xfId="1590" xr:uid="{DB16615A-216E-4AC3-86CE-C1E4037772F1}"/>
    <cellStyle name="Input 5 5" xfId="2696" xr:uid="{DE7FFC84-7F92-49D4-9723-853AC177D5E8}"/>
    <cellStyle name="Input 50" xfId="2124" xr:uid="{A3B3CEE0-E2BC-4F85-8B77-CD8DC98A22D3}"/>
    <cellStyle name="Input 51" xfId="2142" xr:uid="{89EC05AF-5BA8-4101-9931-B6E9D438708D}"/>
    <cellStyle name="Input 52" xfId="2121" xr:uid="{77CD7F64-B3D9-4545-8364-D21C24B715FE}"/>
    <cellStyle name="Input 53" xfId="2143" xr:uid="{E597F6B8-F8E9-42CF-9199-F816FE362B8F}"/>
    <cellStyle name="Input 54" xfId="2122" xr:uid="{0233A4AB-79AD-4A31-B5AD-D0B809AD9986}"/>
    <cellStyle name="Input 55" xfId="2139" xr:uid="{A2D043F7-2FC2-4B5F-B0AD-AD267C7C6312}"/>
    <cellStyle name="Input 56" xfId="2123" xr:uid="{FB630276-614F-41C6-80E1-707DA52D8ED9}"/>
    <cellStyle name="Input 57" xfId="2140" xr:uid="{3E6B6061-6A01-4427-8065-9D010E6648E8}"/>
    <cellStyle name="Input 58" xfId="2223" xr:uid="{8F1C8372-A695-416E-96DC-3EED94873FED}"/>
    <cellStyle name="Input 59" xfId="2239" xr:uid="{B5368317-F282-4552-BE8E-859E42E172E2}"/>
    <cellStyle name="Input 6" xfId="107" xr:uid="{FF51DE81-9595-441E-812F-719A0F1D7C2F}"/>
    <cellStyle name="Input 6 2" xfId="745" xr:uid="{B3CB62C7-7AEC-47DF-9649-E1D9F9E936BC}"/>
    <cellStyle name="Input 6 3" xfId="1483" xr:uid="{DD0A5CDB-7A90-42CB-B22F-E7188A4BBF6A}"/>
    <cellStyle name="Input 6 4" xfId="1461" xr:uid="{B52C3FD5-77B1-4AA6-90A4-DD2E0E4FB39B}"/>
    <cellStyle name="Input 6 5" xfId="2697" xr:uid="{0A9B5F7B-A31C-44FA-878D-C5148874E14E}"/>
    <cellStyle name="Input 60" xfId="2222" xr:uid="{AF58DEA0-B6FB-453B-A1A9-1CF9D4FF6B64}"/>
    <cellStyle name="Input 61" xfId="2314" xr:uid="{D48D2BB9-F211-41B9-98D8-2D932E6BA75B}"/>
    <cellStyle name="Input 62" xfId="2402" xr:uid="{AD091970-F354-4675-AAA8-A4697E133980}"/>
    <cellStyle name="Input 63" xfId="2430" xr:uid="{93C3ED92-58FD-4DFA-A765-03BC5A83E63A}"/>
    <cellStyle name="Input 64" xfId="2435" xr:uid="{48EE83D0-2833-4727-9CE2-E833B89C040D}"/>
    <cellStyle name="Input 65" xfId="2437" xr:uid="{B0F85CD7-6F44-4037-B50A-6DD8564A80FA}"/>
    <cellStyle name="Input 66" xfId="2528" xr:uid="{926E5CD6-1498-4116-81ED-EBC9BD5E797D}"/>
    <cellStyle name="Input 67" xfId="2526" xr:uid="{36B2A7AA-6A73-467A-9C36-109FE17F83B8}"/>
    <cellStyle name="Input 68" xfId="2527" xr:uid="{DF075D8F-81A0-4432-9F02-E498F4BB1E7C}"/>
    <cellStyle name="Input 69" xfId="2531" xr:uid="{380D47CD-A2A2-4B1D-860F-2364433603C6}"/>
    <cellStyle name="Input 7" xfId="108" xr:uid="{F91DAFF7-8D00-4D59-BF02-EDE0D56ACB4F}"/>
    <cellStyle name="Input 7 2" xfId="746" xr:uid="{71C2A4B0-8CEC-4E3D-AA5A-01D62AAA7F93}"/>
    <cellStyle name="Input 7 3" xfId="1484" xr:uid="{6E1394FC-65EF-4FA8-BE5F-8B0CA56C3F22}"/>
    <cellStyle name="Input 7 4" xfId="1436" xr:uid="{868A6ADB-6CC1-4A95-9DB0-2DB5C9DFA036}"/>
    <cellStyle name="Input 7 5" xfId="2698" xr:uid="{D7C22A39-CF61-42DD-AB26-31243DD1AF36}"/>
    <cellStyle name="Input 70" xfId="1469" xr:uid="{07557E57-0C28-4D39-AB3C-96B9A634C02B}"/>
    <cellStyle name="Input 71" xfId="1892" xr:uid="{4B1235AC-DA61-42F5-8104-7AEA90186597}"/>
    <cellStyle name="Input 8" xfId="109" xr:uid="{AB867A39-1803-4BAE-A319-B06EB3413E03}"/>
    <cellStyle name="Input 8 2" xfId="747" xr:uid="{7AE1E43C-0EBE-4D26-9F89-6E07E5458200}"/>
    <cellStyle name="Input 8 3" xfId="1485" xr:uid="{94F2E96A-A319-450E-9ACF-0879181BF971}"/>
    <cellStyle name="Input 8 4" xfId="1395" xr:uid="{9EBC1CE2-7A55-4A13-BA90-4ED123415E3C}"/>
    <cellStyle name="Input 8 5" xfId="2699" xr:uid="{692C5D03-6D3A-43CB-B2B2-3EE485020EDF}"/>
    <cellStyle name="Input 9" xfId="110" xr:uid="{C412A6E2-CC03-4BC2-B8D1-E70C8666ECF6}"/>
    <cellStyle name="Input 9 2" xfId="748" xr:uid="{2D57B49D-B2F4-46CA-8D80-424BEBBDAC66}"/>
    <cellStyle name="Input 9 3" xfId="1486" xr:uid="{998C19CB-FA15-461B-8E09-56327EC92D50}"/>
    <cellStyle name="Input 9 4" xfId="1460" xr:uid="{403CB657-FB34-4BDA-8EC2-BE5651F6773F}"/>
    <cellStyle name="Input 9 5" xfId="2700" xr:uid="{2DE38BB1-D269-44A4-91D3-E5ED7AA1311A}"/>
    <cellStyle name="Input Currency" xfId="749" xr:uid="{7E2FC7FF-CDFF-40F1-8F45-53ADB674A3B3}"/>
    <cellStyle name="Input Currency 2" xfId="750" xr:uid="{D17D8A9C-4006-4ADD-B98F-0E9C36016328}"/>
    <cellStyle name="Input Multiple" xfId="751" xr:uid="{3DA761F9-B525-43FF-BD41-6A53174D126B}"/>
    <cellStyle name="Input Percent" xfId="752" xr:uid="{27211D00-1782-4E2C-B715-0541ED18FEBA}"/>
    <cellStyle name="LabelIntersect" xfId="111" xr:uid="{EAD07E43-D772-4393-91F2-592DB975C2B9}"/>
    <cellStyle name="LabelLeft" xfId="112" xr:uid="{0025D75F-DBB1-4657-B2B1-2198AC29DD99}"/>
    <cellStyle name="LabelTop" xfId="113" xr:uid="{CE15BAB8-AB82-4802-9E85-A31104679578}"/>
    <cellStyle name="Level" xfId="753" xr:uid="{1D531B54-3F01-46BC-9B31-C8FC7F71209B}"/>
    <cellStyle name="Level 2" xfId="1586" xr:uid="{9A76E0E6-628C-449E-A19B-90714A586958}"/>
    <cellStyle name="Linked Cell 2" xfId="114" xr:uid="{AD1E036A-3736-4FD8-8138-41AE6B4D2412}"/>
    <cellStyle name="Linked Cell 3" xfId="952" xr:uid="{BF0E9DD7-148F-46C8-8A1F-6E5761BD890D}"/>
    <cellStyle name="Linked Cell 4" xfId="1405" xr:uid="{8CDFAB5F-B335-4D47-AFCF-A51D5983B915}"/>
    <cellStyle name="Mik" xfId="115" xr:uid="{2FE508AF-CE52-4170-A192-02811AAA3671}"/>
    <cellStyle name="Mik 2" xfId="116" xr:uid="{ABEE600F-2B55-40C8-8B10-04521A6D7470}"/>
    <cellStyle name="Mik 2 2" xfId="953" xr:uid="{6C617C66-5CD4-4ADC-AB4C-42C1FCB2AA87}"/>
    <cellStyle name="Mik 3" xfId="1343" xr:uid="{74C55A9D-F0CF-4848-BBC8-EC5C6A02B5C5}"/>
    <cellStyle name="Mik 3 2" xfId="1587" xr:uid="{3E1897C0-18F7-4099-8A68-E55997D0FD5F}"/>
    <cellStyle name="Mik 4" xfId="1435" xr:uid="{B3C69088-C5C1-4B9B-8DE3-EC6BF42EE86C}"/>
    <cellStyle name="Mik_Fiscal Tables" xfId="754" xr:uid="{87F4FB20-ACEF-4002-85C8-9720C3C77B45}"/>
    <cellStyle name="Millares [0]_10 AVERIAS MASIVAS + ANT" xfId="755" xr:uid="{01CAFCB9-F5AA-4381-91FA-5C062538462B}"/>
    <cellStyle name="Millares_10 AVERIAS MASIVAS + ANT" xfId="756" xr:uid="{ED52DD6B-93E6-4C6A-825D-F051ECE94191}"/>
    <cellStyle name="Moneda [0]_Clasif por Diferencial" xfId="757" xr:uid="{BA34FCEA-053F-4D5F-8D30-C0B3DE42BE21}"/>
    <cellStyle name="Moneda_Clasif por Diferencial" xfId="758" xr:uid="{BC26369B-23B8-457D-80B4-95B05587572E}"/>
    <cellStyle name="MS_English" xfId="759" xr:uid="{E1B6281A-FE8A-406F-B7AF-9A7EC1E1711C}"/>
    <cellStyle name="Multiple" xfId="760" xr:uid="{A5FEFD76-C5D3-443E-B42F-201F4B2A38CA}"/>
    <cellStyle name="MultipleBelow" xfId="761" xr:uid="{0579E3A6-7AB1-4B5D-BC7C-4C4AFD99DD2B}"/>
    <cellStyle name="N" xfId="117" xr:uid="{D02BA34E-6F97-498A-8F6F-72400AE05856}"/>
    <cellStyle name="N 2" xfId="118" xr:uid="{EFF71E7E-0B2F-4BB2-A88E-B9793F528463}"/>
    <cellStyle name="N 2 2" xfId="1589" xr:uid="{CE6640C9-045B-4A54-9947-8D9818FEFD4C}"/>
    <cellStyle name="N 3" xfId="1588" xr:uid="{B6F35DBB-6B4F-4596-83B8-06238FE78E1C}"/>
    <cellStyle name="Neutral 2" xfId="119" xr:uid="{96CBC571-AD2A-4005-A626-2878AF011384}"/>
    <cellStyle name="Neutral 3" xfId="954" xr:uid="{83C9E479-72AE-4A86-B36E-F773D0671302}"/>
    <cellStyle name="Neutral 4" xfId="1401" xr:uid="{ED1D65A8-9AE1-43A4-9398-0CABB704F6C6}"/>
    <cellStyle name="Neutral 4 2" xfId="1942" xr:uid="{4D9CB477-B4E0-4BB4-B675-0BFDF7D779BF}"/>
    <cellStyle name="no dec" xfId="762" xr:uid="{82CC5002-4F94-44B6-ACB5-772040EEC5AE}"/>
    <cellStyle name="Normal" xfId="0" builtinId="0"/>
    <cellStyle name="Normal - Style1" xfId="120" xr:uid="{3EA51CEF-8638-4FAE-BCC4-3DB32FA6EE8C}"/>
    <cellStyle name="Normal - Style1 2" xfId="763" xr:uid="{579EDC73-CC1C-4C93-8132-53D04C67C873}"/>
    <cellStyle name="Normal - Style2" xfId="121" xr:uid="{02B86355-66E9-4FCA-8CE6-59E0C3AFA6DD}"/>
    <cellStyle name="Normal - Style3" xfId="122" xr:uid="{F75E1B08-7DE3-42FB-9E18-E0D12C67AE43}"/>
    <cellStyle name="Normal - Style4" xfId="123" xr:uid="{924D474F-389F-4C5F-A990-F4864FD0C782}"/>
    <cellStyle name="Normal - Style5" xfId="124" xr:uid="{BA4E6C0E-B7B9-4B56-8636-429973D06F49}"/>
    <cellStyle name="Normal 0" xfId="764" xr:uid="{9588A707-086C-4B8D-AD57-9638DAA611CA}"/>
    <cellStyle name="Normal 10" xfId="125" xr:uid="{BC9CB262-89FF-4DFC-8761-57099CCD22E5}"/>
    <cellStyle name="Normal 10 2" xfId="327" xr:uid="{93E40EC2-2F9C-44CC-AE76-097592484D41}"/>
    <cellStyle name="Normal 10 3" xfId="326" xr:uid="{540A259A-0947-438E-AA5C-998077B816FF}"/>
    <cellStyle name="Normal 10 4" xfId="309" xr:uid="{2B537ED1-12FA-4E23-B675-EC17B121C3E2}"/>
    <cellStyle name="Normal 100" xfId="1154" xr:uid="{B326B764-39EB-40E9-B313-8EDF0CED87DD}"/>
    <cellStyle name="Normal 100 2" xfId="1780" xr:uid="{AC738478-E1D4-4353-8E45-02BBB496902C}"/>
    <cellStyle name="Normal 101" xfId="1157" xr:uid="{CCDE8C3F-474E-4AAB-B096-12820C66C535}"/>
    <cellStyle name="Normal 101 2" xfId="1781" xr:uid="{F880C53D-1470-4796-A285-8F9206FAB614}"/>
    <cellStyle name="Normal 102" xfId="765" xr:uid="{F8E8D6EA-2FE1-4C4B-BD68-57DF6E4E47A9}"/>
    <cellStyle name="Normal 102 2" xfId="505" xr:uid="{C611F656-E960-481B-88E5-1E6615FDF4EF}"/>
    <cellStyle name="Normal 103" xfId="1160" xr:uid="{5BA2F05E-DCDA-41FB-9A53-08ED1006446B}"/>
    <cellStyle name="Normal 103 2" xfId="1784" xr:uid="{2090C228-A75F-40F0-BC6F-E9DB370754C1}"/>
    <cellStyle name="Normal 104" xfId="1163" xr:uid="{84DA2B9D-7A56-486D-B765-3D5145181ED2}"/>
    <cellStyle name="Normal 104 2" xfId="1785" xr:uid="{BFD8C5C3-EDF0-4411-9C8F-8BE28F43414A}"/>
    <cellStyle name="Normal 105" xfId="1166" xr:uid="{1BD9498A-36E9-42AA-9235-0B42CAE59CD6}"/>
    <cellStyle name="Normal 105 2" xfId="1790" xr:uid="{25C56F36-CE17-474F-B6B0-3E555873F249}"/>
    <cellStyle name="Normal 106" xfId="1169" xr:uid="{20F1F967-A029-4D91-A4B1-FF74436EF918}"/>
    <cellStyle name="Normal 106 2" xfId="1808" xr:uid="{6B7A9044-B396-480B-9FCC-B00D3C2184F1}"/>
    <cellStyle name="Normal 107" xfId="1172" xr:uid="{0A62E04E-305A-4C90-BF51-FD39DF29446E}"/>
    <cellStyle name="Normal 107 2" xfId="1789" xr:uid="{CA168144-E8D0-4299-AAB6-CA18EB1D6349}"/>
    <cellStyle name="Normal 108" xfId="1175" xr:uid="{326C9454-4428-40BA-86CD-6D83D033D03C}"/>
    <cellStyle name="Normal 108 2" xfId="1801" xr:uid="{FB0CB935-C532-461F-AEE0-23691EC1173D}"/>
    <cellStyle name="Normal 109" xfId="1178" xr:uid="{08797EA2-F255-4035-AFF5-F8F22EB9ACF2}"/>
    <cellStyle name="Normal 109 2" xfId="1802" xr:uid="{8CC207A4-185B-4983-BA18-69C0FDE7BAEA}"/>
    <cellStyle name="Normal 11" xfId="126" xr:uid="{5506BF73-ED66-4462-B5BF-22335AD74593}"/>
    <cellStyle name="Normal 11 10" xfId="329" xr:uid="{2D41F424-31CC-4E3D-A971-53AA0CFA6698}"/>
    <cellStyle name="Normal 11 10 2" xfId="330" xr:uid="{CFD2010B-D59A-4642-991C-6FC9BE4C4755}"/>
    <cellStyle name="Normal 11 10 3" xfId="331" xr:uid="{DB4A1179-C5E3-4118-AF60-D13486487290}"/>
    <cellStyle name="Normal 11 11" xfId="332" xr:uid="{60EF2ACB-681C-4DF2-A432-5F621DCD99CE}"/>
    <cellStyle name="Normal 11 12" xfId="328" xr:uid="{029943AE-BD23-46BF-99D1-FFEB224F1003}"/>
    <cellStyle name="Normal 11 2" xfId="333" xr:uid="{A6B719B5-9E76-4C9F-82AF-92D5E26F80A7}"/>
    <cellStyle name="Normal 11 2 2" xfId="1591" xr:uid="{E06396CA-BA16-4D87-899C-B3724B1872B2}"/>
    <cellStyle name="Normal 11 3" xfId="334" xr:uid="{754899BF-327C-4A66-B686-E06F77893FC9}"/>
    <cellStyle name="Normal 11 4" xfId="335" xr:uid="{58333466-1DF7-4D06-BB92-71CCE803DB36}"/>
    <cellStyle name="Normal 11 5" xfId="336" xr:uid="{9F76FC1D-CAE7-41F8-9F80-387C2B9F31E4}"/>
    <cellStyle name="Normal 11 6" xfId="337" xr:uid="{13119DBC-E1E5-4437-97C7-6205E86858E0}"/>
    <cellStyle name="Normal 11 7" xfId="338" xr:uid="{101F7938-0EE7-4730-89DF-F8C428FE789A}"/>
    <cellStyle name="Normal 11 8" xfId="339" xr:uid="{1CFAD764-D87F-4C3E-921B-49787849A3AF}"/>
    <cellStyle name="Normal 11 9" xfId="340" xr:uid="{8DB21A8F-A4E8-4417-82BF-55DDB5D882F6}"/>
    <cellStyle name="Normal 110" xfId="1181" xr:uid="{D46067BE-E972-40CE-A68E-6F1549632856}"/>
    <cellStyle name="Normal 110 2" xfId="1803" xr:uid="{9E2CB28D-9982-4BDF-A31B-77FA19C8D227}"/>
    <cellStyle name="Normal 111" xfId="1184" xr:uid="{7147F50D-A708-4308-A821-08C8BD72B01A}"/>
    <cellStyle name="Normal 111 2" xfId="1804" xr:uid="{321A644C-B4D6-4BF8-A7C5-D3A8A40F04FA}"/>
    <cellStyle name="Normal 112" xfId="1187" xr:uid="{E626DB62-4350-4982-96E6-450AB770AB1E}"/>
    <cellStyle name="Normal 112 2" xfId="1806" xr:uid="{336F4D9C-26A4-426B-B470-301C917D9867}"/>
    <cellStyle name="Normal 113" xfId="1190" xr:uid="{37E659D8-D856-4959-84C1-4411A550C8A8}"/>
    <cellStyle name="Normal 113 2" xfId="1810" xr:uid="{A077F26A-6F28-4287-A8BC-640B3E7BDE91}"/>
    <cellStyle name="Normal 114" xfId="1193" xr:uid="{F1C30A55-4DCE-42DF-A1CE-1627634C90C1}"/>
    <cellStyle name="Normal 114 2" xfId="1811" xr:uid="{BA2CB60B-237C-4C53-AD9C-5B3FA671A0E6}"/>
    <cellStyle name="Normal 115" xfId="1196" xr:uid="{8FA7DBF7-7489-4694-84ED-0A6086069B73}"/>
    <cellStyle name="Normal 115 2" xfId="1812" xr:uid="{4DD283CF-39ED-42D0-A065-F6364B1CDD30}"/>
    <cellStyle name="Normal 116" xfId="1199" xr:uid="{0C380FF2-A831-405B-B66F-20BA1CFCB5BF}"/>
    <cellStyle name="Normal 116 2" xfId="1813" xr:uid="{FEE3B70B-27B1-463D-AD31-46AD9EDCF471}"/>
    <cellStyle name="Normal 117" xfId="1202" xr:uid="{0DA44BC8-3B92-4AB2-BA84-C59BC4C8FF47}"/>
    <cellStyle name="Normal 117 2" xfId="1814" xr:uid="{2AC00D30-93BF-49CC-8A99-1AD1DF87325E}"/>
    <cellStyle name="Normal 118" xfId="1205" xr:uid="{F9302FEF-71C4-404E-AC0D-F71F9B883702}"/>
    <cellStyle name="Normal 118 2" xfId="1815" xr:uid="{260597E8-A7A3-4D06-9F1F-255BA46CD961}"/>
    <cellStyle name="Normal 119" xfId="1208" xr:uid="{D89C88EC-0A42-4F9F-A300-4D1806E5AC4F}"/>
    <cellStyle name="Normal 119 2" xfId="1819" xr:uid="{E1CD430E-DB2A-467F-835A-580334767989}"/>
    <cellStyle name="Normal 12" xfId="127" xr:uid="{EBB1984D-5E87-404A-B9CA-928E0C105B0A}"/>
    <cellStyle name="Normal 12 2" xfId="342" xr:uid="{4BB4ABCB-03EF-4189-81F8-AE71A6BAA282}"/>
    <cellStyle name="Normal 12 3" xfId="341" xr:uid="{8E69CAC7-DA88-4CCC-AA20-D5ED466C62A2}"/>
    <cellStyle name="Normal 120" xfId="1211" xr:uid="{90EF36E4-B73B-46A2-A1C1-B70F90381168}"/>
    <cellStyle name="Normal 120 2" xfId="1837" xr:uid="{84C56921-7737-46A8-9CDA-0A8E964D60E3}"/>
    <cellStyle name="Normal 121" xfId="1214" xr:uid="{FCF8439C-6BCA-4DF5-8D98-AADE10F93033}"/>
    <cellStyle name="Normal 121 2" xfId="1839" xr:uid="{6B745012-50C0-4FFD-BAF4-E0E7F86ABD33}"/>
    <cellStyle name="Normal 122" xfId="1217" xr:uid="{0D244933-B237-4486-AF21-3E2103674647}"/>
    <cellStyle name="Normal 122 2" xfId="1840" xr:uid="{B9426573-1B49-4A85-ADEB-18D0D2450401}"/>
    <cellStyle name="Normal 123" xfId="1220" xr:uid="{715C2868-BD3D-492F-9F65-264848141C3C}"/>
    <cellStyle name="Normal 123 2" xfId="1835" xr:uid="{64E55A40-2F61-43D8-B6C0-2BD52D71C786}"/>
    <cellStyle name="Normal 124" xfId="1223" xr:uid="{9522241A-2DF6-4CC1-849D-85DFBAEAFEBA}"/>
    <cellStyle name="Normal 124 2" xfId="1834" xr:uid="{A5B18441-A2E1-4702-AE21-C7DADB0D31E3}"/>
    <cellStyle name="Normal 125" xfId="1226" xr:uid="{6FE977F5-8AC1-491A-AF68-BB924E288435}"/>
    <cellStyle name="Normal 125 2" xfId="1831" xr:uid="{4A616D2D-C4D9-4C11-B9FD-50C971C3465F}"/>
    <cellStyle name="Normal 126" xfId="1229" xr:uid="{D7C40495-E950-4BDC-B79B-AA71A6A1A75F}"/>
    <cellStyle name="Normal 126 2" xfId="1830" xr:uid="{1D40C63C-760F-42B7-900D-A872C13AD4CA}"/>
    <cellStyle name="Normal 127" xfId="1232" xr:uid="{148F41DD-2E98-4CC0-BFE8-4C992471FF44}"/>
    <cellStyle name="Normal 127 2" xfId="1841" xr:uid="{B4AFACA6-4714-4592-A9B0-6F0FF4B851B1}"/>
    <cellStyle name="Normal 128" xfId="1235" xr:uid="{9C53CE76-3AAF-4A4C-9A42-1D5F27706401}"/>
    <cellStyle name="Normal 128 2" xfId="1842" xr:uid="{13618259-2DC1-4F29-852C-81D7EBCA9BD7}"/>
    <cellStyle name="Normal 129" xfId="1238" xr:uid="{BB3AC726-2318-4030-96A9-72464B84F83A}"/>
    <cellStyle name="Normal 129 2" xfId="1843" xr:uid="{EA0B09A7-D9FF-4B5F-8D62-DE853E4D2D27}"/>
    <cellStyle name="Normal 13" xfId="128" xr:uid="{250125CA-0B06-4963-81DF-ACF1EAAB1120}"/>
    <cellStyle name="Normal 13 2" xfId="344" xr:uid="{E540C7B4-9A2C-4E48-A53C-D629AE38158D}"/>
    <cellStyle name="Normal 13 3" xfId="343" xr:uid="{C99C8B19-65BC-4DF2-92FF-AB2144A332A7}"/>
    <cellStyle name="Normal 130" xfId="1241" xr:uid="{5834FC74-7CCD-49FD-9DE9-A03A1ABF75FB}"/>
    <cellStyle name="Normal 130 2" xfId="1845" xr:uid="{FF93F207-8F89-4704-80B9-14D536DA74FB}"/>
    <cellStyle name="Normal 131" xfId="1244" xr:uid="{13AB3303-BD91-42CA-ACB6-63E82E8C7491}"/>
    <cellStyle name="Normal 131 2" xfId="1847" xr:uid="{02BE8920-E7FA-4DB0-9E6D-EE663B54A94C}"/>
    <cellStyle name="Normal 132" xfId="1247" xr:uid="{290DCBDA-3E54-40A5-BF1D-B964B788CE0D}"/>
    <cellStyle name="Normal 132 2" xfId="1848" xr:uid="{565BB0E4-FE51-4AB5-9425-40C2DF616CA2}"/>
    <cellStyle name="Normal 133" xfId="1250" xr:uid="{4BA48397-C9A8-45F4-A6F9-9BB21A4D046D}"/>
    <cellStyle name="Normal 133 2" xfId="1844" xr:uid="{0311804D-005F-4CD1-8B77-A8525A0A63F9}"/>
    <cellStyle name="Normal 134" xfId="1253" xr:uid="{B9A80961-0F82-4E1A-A2A1-1A6E0E0EA04B}"/>
    <cellStyle name="Normal 134 2" xfId="1849" xr:uid="{3D195B4D-ED64-4360-8EBC-A47C6428E0C3}"/>
    <cellStyle name="Normal 135" xfId="1256" xr:uid="{7A2CE095-EF44-40ED-8D21-892833B06AC7}"/>
    <cellStyle name="Normal 135 2" xfId="1850" xr:uid="{62C10B37-0EFF-427A-9965-FA3F41A0CBF0}"/>
    <cellStyle name="Normal 136" xfId="1259" xr:uid="{611CE361-166E-4A4A-A9B7-2B5719AF5ED5}"/>
    <cellStyle name="Normal 136 2" xfId="1851" xr:uid="{A9C61C52-1F5C-430A-AF6A-E7CE0A533B93}"/>
    <cellStyle name="Normal 137" xfId="1262" xr:uid="{D35559AD-A9FD-4A5C-BC11-C8A847123DAB}"/>
    <cellStyle name="Normal 137 2" xfId="1852" xr:uid="{9AD448C9-0D73-4508-ABF6-580B04E5BAA4}"/>
    <cellStyle name="Normal 138" xfId="1265" xr:uid="{A47DB608-21B0-4ED3-BB90-C01A87AD7262}"/>
    <cellStyle name="Normal 138 2" xfId="1854" xr:uid="{B90ADC27-02B9-4FBF-BDBB-B18B3579A85D}"/>
    <cellStyle name="Normal 139" xfId="1268" xr:uid="{78E343FE-CBBB-4D1B-A611-D765304C03CB}"/>
    <cellStyle name="Normal 139 2" xfId="1859" xr:uid="{FDAB485B-B56B-4A6F-AD71-A23266A554A1}"/>
    <cellStyle name="Normal 14" xfId="129" xr:uid="{7A03F4A2-F239-4D67-B74B-4429949F0EB5}"/>
    <cellStyle name="Normal 14 2" xfId="346" xr:uid="{A804FA1C-6AD9-447F-8AAD-198BAC03F26D}"/>
    <cellStyle name="Normal 14 3" xfId="345" xr:uid="{1BBB4871-CBB2-49C9-963F-3FA344F62E59}"/>
    <cellStyle name="Normal 14 4" xfId="413" xr:uid="{80276B1E-C541-4935-86CE-40DEF2810B9A}"/>
    <cellStyle name="Normal 140" xfId="1271" xr:uid="{75718B5F-00B8-4436-9579-2AE3E2A15B0D}"/>
    <cellStyle name="Normal 140 2" xfId="1861" xr:uid="{A41C6755-27C8-440B-9B52-FB74B6F74876}"/>
    <cellStyle name="Normal 141" xfId="1274" xr:uid="{4A8CEB25-BD70-499E-A015-FFC311C1ED69}"/>
    <cellStyle name="Normal 141 2" xfId="1862" xr:uid="{A5399CAC-B0CB-490E-ABA4-38DE8F7B5EE7}"/>
    <cellStyle name="Normal 142" xfId="1298" xr:uid="{A9F2DFEF-F143-408D-AF4A-B2A503D28EAC}"/>
    <cellStyle name="Normal 142 2" xfId="1860" xr:uid="{5099A2E0-05EC-4B1B-9C78-B16B74FE3683}"/>
    <cellStyle name="Normal 143" xfId="1353" xr:uid="{1ABF81BA-1681-430C-B344-4489B8E2DE08}"/>
    <cellStyle name="Normal 143 2" xfId="1879" xr:uid="{329E28B5-79B6-4112-986C-CD06C5F42F11}"/>
    <cellStyle name="Normal 144" xfId="1334" xr:uid="{5FBDDFF9-C560-4843-8DA4-C95DF3B6B170}"/>
    <cellStyle name="Normal 144 2" xfId="1883" xr:uid="{53EC5C4E-CA54-4C68-8D2E-04FE7F91D491}"/>
    <cellStyle name="Normal 145" xfId="1351" xr:uid="{2F77352E-EED7-45E4-AEB4-3C9D29F8C663}"/>
    <cellStyle name="Normal 145 2" xfId="1884" xr:uid="{A34E108F-9FBB-45BB-9D28-BCAB1167CC41}"/>
    <cellStyle name="Normal 146" xfId="1312" xr:uid="{AEA79D81-9287-42CA-B930-548C63FDFC13}"/>
    <cellStyle name="Normal 146 2" xfId="1885" xr:uid="{52F89FE0-C40B-4019-B637-68701B9D7C3E}"/>
    <cellStyle name="Normal 147" xfId="1310" xr:uid="{4E4AEF54-3E25-433F-9626-B5B3AF1129AB}"/>
    <cellStyle name="Normal 147 2" xfId="1882" xr:uid="{4BC6E77A-C21C-4CB5-959D-852295DE3826}"/>
    <cellStyle name="Normal 148" xfId="561" xr:uid="{77BFC296-AD8F-4BFB-A942-B00A1F75B6BB}"/>
    <cellStyle name="Normal 149" xfId="1300" xr:uid="{B91EB0A1-0547-4EE7-8A20-98773AED5A7D}"/>
    <cellStyle name="Normal 149 2" xfId="1872" xr:uid="{7A4A8BF4-0DEC-4036-9002-540C028E7A66}"/>
    <cellStyle name="Normal 15" xfId="130" xr:uid="{492E4595-5D6F-480A-B163-E718B0D9A8D4}"/>
    <cellStyle name="Normal 15 2" xfId="348" xr:uid="{E9B39FAC-E752-45AC-B38E-31F79648A47F}"/>
    <cellStyle name="Normal 15 3" xfId="347" xr:uid="{20BA7A8D-73C2-47D0-AC8F-E8DC1AFF6064}"/>
    <cellStyle name="Normal 15 3 2" xfId="767" xr:uid="{A37B60A2-F6D3-4828-8299-C204DA120927}"/>
    <cellStyle name="Normal 150" xfId="1319" xr:uid="{CD6D1D3B-DC99-47DE-BE66-6D4174BC643C}"/>
    <cellStyle name="Normal 150 2" xfId="1873" xr:uid="{4844A309-FAD0-46B2-85C3-723AA1AD410A}"/>
    <cellStyle name="Normal 151" xfId="1342" xr:uid="{6F80F695-85DB-4A79-87DF-4427CE0D5DEA}"/>
    <cellStyle name="Normal 151 2" xfId="1874" xr:uid="{D0A729D4-CD16-4F07-893D-2015C8FBB6AF}"/>
    <cellStyle name="Normal 152" xfId="1362" xr:uid="{0E50822A-C7E0-44C3-BA52-8B1B7ADDC27A}"/>
    <cellStyle name="Normal 152 2" xfId="1875" xr:uid="{957C012B-B509-41B0-94AA-D44209CFC56C}"/>
    <cellStyle name="Normal 153" xfId="1363" xr:uid="{A292B5E0-DDCA-4B88-9C20-675959218522}"/>
    <cellStyle name="Normal 153 2" xfId="1886" xr:uid="{1443BE44-8DFB-46AA-9549-FA65D6ED8861}"/>
    <cellStyle name="Normal 154" xfId="1371" xr:uid="{87530B55-737A-4E9D-9499-57D1D5102DCA}"/>
    <cellStyle name="Normal 154 2" xfId="1888" xr:uid="{10E32261-05C5-45DD-8A83-AFC19ECC9654}"/>
    <cellStyle name="Normal 155" xfId="1373" xr:uid="{91E2457A-97D8-4708-9824-87D871F14C24}"/>
    <cellStyle name="Normal 155 2" xfId="1889" xr:uid="{65A19537-0428-4AE7-9D0C-FF75D0BBC78C}"/>
    <cellStyle name="Normal 156" xfId="1352" xr:uid="{CC5174F4-D26A-4AE6-92AE-D4613AEB2640}"/>
    <cellStyle name="Normal 156 2" xfId="1890" xr:uid="{5E66636E-841B-4B4E-91FD-48BBB63E3C9B}"/>
    <cellStyle name="Normal 157" xfId="1377" xr:uid="{1237F685-3665-434E-AD65-B59A329F7987}"/>
    <cellStyle name="Normal 157 2" xfId="1891" xr:uid="{CD68A8D8-AA6B-4D21-8921-C11C755FADA5}"/>
    <cellStyle name="Normal 158" xfId="1378" xr:uid="{2FD55E10-BE9E-4CFA-97EE-37B21E72118A}"/>
    <cellStyle name="Normal 159" xfId="1336" xr:uid="{9181EE88-1D34-4540-ADCD-35BB9816DF76}"/>
    <cellStyle name="Normal 16" xfId="131" xr:uid="{706182AE-46D5-433A-BF12-5FB97AA1A55D}"/>
    <cellStyle name="Normal 16 2" xfId="350" xr:uid="{5089AC8A-5A4E-4AA5-9B8D-597BBA7F9C51}"/>
    <cellStyle name="Normal 16 2 2" xfId="1597" xr:uid="{F8298DAD-4D50-48AC-9331-D59C13379A8C}"/>
    <cellStyle name="Normal 16 3" xfId="351" xr:uid="{64271299-D169-4BFE-8B1B-4F971039401E}"/>
    <cellStyle name="Normal 16 4" xfId="349" xr:uid="{DFED5FDB-B3A2-419C-97D2-A1A9D47F177F}"/>
    <cellStyle name="Normal 160" xfId="1366" xr:uid="{BAF69C9E-0C14-46B0-B24E-F68E7B2672A2}"/>
    <cellStyle name="Normal 160 2" xfId="1894" xr:uid="{D5D4DBB8-7058-45BB-82C4-3E5C3502C9E3}"/>
    <cellStyle name="Normal 161" xfId="1359" xr:uid="{A803E9EC-1D54-4D19-8AE5-D63467BFB44C}"/>
    <cellStyle name="Normal 162" xfId="1374" xr:uid="{8751EBC4-B242-4D5B-A71C-58F413B2D897}"/>
    <cellStyle name="Normal 162 2" xfId="1901" xr:uid="{8E71F069-220E-4664-909B-3352610C4E62}"/>
    <cellStyle name="Normal 163" xfId="1376" xr:uid="{591E86C0-7F26-4BB9-A3AD-3F95009A245E}"/>
    <cellStyle name="Normal 163 2" xfId="1903" xr:uid="{D9C10709-F24F-4FF8-AB38-EB7F05479052}"/>
    <cellStyle name="Normal 164" xfId="1379" xr:uid="{B7DBE9A1-0D28-45BD-9951-180E2EFCD7FD}"/>
    <cellStyle name="Normal 164 2" xfId="1385" xr:uid="{AF2639D0-F790-4814-873D-826640820197}"/>
    <cellStyle name="Normal 165" xfId="1380" xr:uid="{9CC4ECC2-C614-4566-B26C-A15DAB9580A2}"/>
    <cellStyle name="Normal 166" xfId="1381" xr:uid="{F28E3CCB-CE08-4010-8CFB-5C3436C6269A}"/>
    <cellStyle name="Normal 167" xfId="1382" xr:uid="{5003ED62-62EB-49FB-9FE4-56A8416D3D45}"/>
    <cellStyle name="Normal 168" xfId="1383" xr:uid="{F967C956-16EC-4016-AE74-8E3AB7C61ECF}"/>
    <cellStyle name="Normal 168 2" xfId="1952" xr:uid="{5529B2E5-212A-4398-A409-207B6BADB16A}"/>
    <cellStyle name="Normal 169" xfId="1384" xr:uid="{3AA27394-EA6A-4B76-A877-2D8DF1DBC3B1}"/>
    <cellStyle name="Normal 17" xfId="132" xr:uid="{F7937AAE-8A58-4118-9A7F-1C9DD3A5E57D}"/>
    <cellStyle name="Normal 17 2" xfId="353" xr:uid="{57D42335-E4F4-4C2A-85F4-154399DE2486}"/>
    <cellStyle name="Normal 17 3" xfId="352" xr:uid="{17807D8B-06E6-43F4-A702-98333F8C32CE}"/>
    <cellStyle name="Normal 170" xfId="1393" xr:uid="{6AFC2C3A-FDBA-4D8E-8D27-C9A1682DC200}"/>
    <cellStyle name="Normal 170 2" xfId="1996" xr:uid="{7F33ACCB-B231-44AE-9F1F-D16A2CB20D9A}"/>
    <cellStyle name="Normal 171" xfId="1446" xr:uid="{1C5A53E3-3D8A-4A29-ACFB-7A492EFE9632}"/>
    <cellStyle name="Normal 171 2" xfId="1998" xr:uid="{CD68DB24-ED24-4A31-BD9B-3A55754BA7BA}"/>
    <cellStyle name="Normal 172" xfId="1447" xr:uid="{994CA48E-4714-4AE1-A3EA-C76882121778}"/>
    <cellStyle name="Normal 172 2" xfId="1999" xr:uid="{07EB02F7-4ED0-45DB-B954-15A8924CD18C}"/>
    <cellStyle name="Normal 173" xfId="2017" xr:uid="{7753308E-8AF3-4BE9-85F3-5A14742F4038}"/>
    <cellStyle name="Normal 174" xfId="2018" xr:uid="{3578C8BE-F0FA-42E9-BCD4-0C6A54B2E221}"/>
    <cellStyle name="Normal 175" xfId="2019" xr:uid="{16F2B8A2-FF6C-4866-AB13-574F9C86E548}"/>
    <cellStyle name="Normal 176" xfId="2039" xr:uid="{259620D7-3B8A-42AC-82D5-78757208DA5B}"/>
    <cellStyle name="Normal 177" xfId="2042" xr:uid="{39739D31-D2EB-4383-A1AC-EE779EDB4C09}"/>
    <cellStyle name="Normal 178" xfId="2044" xr:uid="{761E8713-2378-4070-A674-F08B3A9B98AD}"/>
    <cellStyle name="Normal 179" xfId="2045" xr:uid="{F65F3C6A-4F1D-47D1-99C5-ADDC776A79BA}"/>
    <cellStyle name="Normal 18" xfId="133" xr:uid="{2B1C7C60-F724-46EB-9C76-88FA0767E377}"/>
    <cellStyle name="Normal 18 10 4" xfId="884" xr:uid="{48486F5C-2496-4B4A-8BA5-98153B3787DA}"/>
    <cellStyle name="Normal 18 2" xfId="355" xr:uid="{271B5843-E54C-4962-813B-5F3BA143E644}"/>
    <cellStyle name="Normal 18 2 2" xfId="1598" xr:uid="{A29173F1-CE77-40C9-8086-1E86023C8323}"/>
    <cellStyle name="Normal 18 3" xfId="356" xr:uid="{ECEDAA77-B3FE-4FFB-85C2-6583D11D1403}"/>
    <cellStyle name="Normal 18 4" xfId="354" xr:uid="{38034E02-1448-451D-8E36-574095256CDE}"/>
    <cellStyle name="Normal 180" xfId="2046" xr:uid="{8B217836-C626-47E8-8946-7AE4538A70A4}"/>
    <cellStyle name="Normal 181" xfId="2043" xr:uid="{B993FD8B-41E1-4322-8996-81E838DDC1A6}"/>
    <cellStyle name="Normal 182" xfId="2038" xr:uid="{1D486184-4EC5-471E-87B6-B3EAE5219E76}"/>
    <cellStyle name="Normal 183" xfId="2047" xr:uid="{D0BC0459-774D-41A5-9703-B03AF600C08F}"/>
    <cellStyle name="Normal 184" xfId="2048" xr:uid="{212D4A2B-DFA6-4B3E-9112-A2D449472899}"/>
    <cellStyle name="Normal 185" xfId="2138" xr:uid="{8A749D27-124E-4581-ABD3-A40BA3949C5F}"/>
    <cellStyle name="Normal 186" xfId="2144" xr:uid="{F33C8D01-40DB-49A0-8294-5567B9AB859D}"/>
    <cellStyle name="Normal 187" xfId="2145" xr:uid="{5DE065BF-284E-4EF7-A0A6-7603A0A69F17}"/>
    <cellStyle name="Normal 188" xfId="2146" xr:uid="{02F49B94-DBC0-428F-B864-60BDFC7A8704}"/>
    <cellStyle name="Normal 189" xfId="2147" xr:uid="{FE3540F4-915D-4689-A85B-49A73FD987AF}"/>
    <cellStyle name="Normal 19" xfId="134" xr:uid="{A90F1813-FD7F-4EE8-8C0A-3FF7917A6766}"/>
    <cellStyle name="Normal 19 2" xfId="358" xr:uid="{5C3F63B5-FF06-4F62-B50B-A50450AE9845}"/>
    <cellStyle name="Normal 19 2 2" xfId="1599" xr:uid="{C8DC955D-480B-4F00-9236-ADBAF3BE3D4A}"/>
    <cellStyle name="Normal 19 3" xfId="359" xr:uid="{E277F4D0-45CE-414F-BC6E-AD77299A4CA1}"/>
    <cellStyle name="Normal 19 4" xfId="357" xr:uid="{FC512EBE-43FD-46A5-9DF4-C0965B9C96A7}"/>
    <cellStyle name="Normal 190" xfId="2141" xr:uid="{8166E55F-A07A-4B04-BCD7-C92E87F1E2F3}"/>
    <cellStyle name="Normal 191" xfId="2148" xr:uid="{058F9754-4643-4B84-A8A9-B87092CBBD30}"/>
    <cellStyle name="Normal 192" xfId="2149" xr:uid="{FBAC82E2-B85A-4F96-86A7-CD93DCE1A109}"/>
    <cellStyle name="Normal 193" xfId="2238" xr:uid="{6F6D4B7A-B06C-4E93-B0A9-11F4049F0105}"/>
    <cellStyle name="Normal 194" xfId="2240" xr:uid="{DF656C6E-DF8B-4919-B88B-1B6152264755}"/>
    <cellStyle name="Normal 195" xfId="2241" xr:uid="{BF319C5C-9BF0-4A3F-A69F-7E347DFDD8E1}"/>
    <cellStyle name="Normal 196" xfId="2329" xr:uid="{321CBFCE-9065-4FDF-893E-2F3BEDAC4936}"/>
    <cellStyle name="Normal 197" xfId="2417" xr:uid="{1E9F8A7E-71B9-49DB-8C00-3BA74970B0CB}"/>
    <cellStyle name="Normal 198" xfId="2433" xr:uid="{25E6914D-EC4B-4B4F-9505-8C4F7747926F}"/>
    <cellStyle name="Normal 199" xfId="2438" xr:uid="{273F3F23-EFC3-4325-AC29-D885D78AEDB9}"/>
    <cellStyle name="Normal 2" xfId="135" xr:uid="{42305B6B-81D8-44E9-B8A3-BE6C4D415420}"/>
    <cellStyle name="Normal 2 2" xfId="1" xr:uid="{5F38C6ED-3311-4129-90E0-4E4C3BE8D399}"/>
    <cellStyle name="Normal 2 2 2" xfId="136" xr:uid="{4646229D-25CC-4581-B1E5-2C2BE5A0F85B}"/>
    <cellStyle name="Normal 2 2 2 2" xfId="415" xr:uid="{6F279BC1-9928-4A33-A9FB-198EE3FC3C40}"/>
    <cellStyle name="Normal 2 2 2 3" xfId="504" xr:uid="{38D5BCB6-F2D6-43B5-B86A-9C438D0E18F7}"/>
    <cellStyle name="Normal 2 2 3" xfId="360" xr:uid="{202C684C-F7FE-4A78-98F8-90F02B5D405F}"/>
    <cellStyle name="Normal 2 2 3 2" xfId="768" xr:uid="{A4D7A3BC-CEBC-464E-A0F3-B077845E33A0}"/>
    <cellStyle name="Normal 2 2 4" xfId="427" xr:uid="{63B78BE0-4FFB-4CD3-AAB3-DC1196E269A8}"/>
    <cellStyle name="Normal 2 2 5" xfId="524" xr:uid="{CFC32FD3-6AA0-4569-ACBA-16DF46AD85EB}"/>
    <cellStyle name="Normal 2 3" xfId="361" xr:uid="{507309ED-6AC1-426C-9464-C6088562EBE3}"/>
    <cellStyle name="Normal 2 3 2" xfId="876" xr:uid="{8C954C84-8E16-40E2-B63F-45C2E1F9A81A}"/>
    <cellStyle name="Normal 2 3 2 2" xfId="2013" xr:uid="{C6A344CA-3CB9-48A4-BCAD-E36CCD0980A6}"/>
    <cellStyle name="Normal 2 3 3" xfId="560" xr:uid="{1D136E39-5CDC-4966-BB9B-1E0823B76313}"/>
    <cellStyle name="Normal 2 3 4" xfId="2766" xr:uid="{D810CF87-5BFB-4292-9872-7DBF2EF181A2}"/>
    <cellStyle name="Normal 2 4" xfId="409" xr:uid="{FE7A46E5-79CE-4A84-B545-F982C1DFA2D8}"/>
    <cellStyle name="Normal 2 4 2" xfId="2014" xr:uid="{E9477200-806B-42DA-87C0-9DDD29B50B4D}"/>
    <cellStyle name="Normal 2 4 3" xfId="1897" xr:uid="{93B40A5F-5F43-4712-A209-5EFCAB489FCE}"/>
    <cellStyle name="Normal 2 5" xfId="428" xr:uid="{B1C37018-EB6C-4D4D-BF14-82B45E103219}"/>
    <cellStyle name="Normal 2 5 2" xfId="1902" xr:uid="{D58A5CA4-C6D4-4448-827C-71635D73B2CB}"/>
    <cellStyle name="Normal 2 6" xfId="523" xr:uid="{04EDFA95-AA96-4FEC-95E1-F9AB030F097A}"/>
    <cellStyle name="Normal 2 7" xfId="412" xr:uid="{18B7DBBB-E4EC-47CA-A052-459791342AE1}"/>
    <cellStyle name="Normal 2 7 2" xfId="417" xr:uid="{82E4B1FE-1FBF-447F-A0B5-93CB2EBFD181}"/>
    <cellStyle name="Normal 2_charts tables TP" xfId="885" xr:uid="{5884D15B-99AD-4457-BD31-EDD4099CFF57}"/>
    <cellStyle name="Normal 20" xfId="137" xr:uid="{D97A9D6F-8A36-4BE8-AC80-E33FEBC41C23}"/>
    <cellStyle name="Normal 20 2" xfId="363" xr:uid="{4B3AFA71-488C-4630-BA0E-1BE583D9C832}"/>
    <cellStyle name="Normal 20 3" xfId="362" xr:uid="{D486E814-12D5-4EC2-8CFE-C716E074B2B5}"/>
    <cellStyle name="Normal 200" xfId="2449" xr:uid="{FC6BB144-8E9A-442D-9F4A-8250769B4487}"/>
    <cellStyle name="Normal 201" xfId="2436" xr:uid="{0B45C73B-193F-43C1-87A9-224A673939CB}"/>
    <cellStyle name="Normal 202" xfId="2439" xr:uid="{40E7EB2A-D4B1-4D33-88A3-B8244C682455}"/>
    <cellStyle name="Normal 203" xfId="2529" xr:uid="{39E6E9E6-21D4-45C8-B08F-A38422AD4427}"/>
    <cellStyle name="Normal 204" xfId="1502" xr:uid="{363D0BE6-B22E-46B5-9F22-C004236D5711}"/>
    <cellStyle name="Normal 205" xfId="1660" xr:uid="{A3306B19-4A9F-425D-9796-C8B9BE86BB18}"/>
    <cellStyle name="Normal 206" xfId="2618" xr:uid="{D78D6A67-746D-4400-9021-B29CB38D56B5}"/>
    <cellStyle name="Normal 207" xfId="2619" xr:uid="{A3168768-9760-40FA-8427-15431B87BCAF}"/>
    <cellStyle name="Normal 208" xfId="2669" xr:uid="{7A896EA0-A302-4274-BD5B-6EA0447D7C93}"/>
    <cellStyle name="Normal 209" xfId="2717" xr:uid="{2F0FFE8B-DD7E-42CF-8869-E8B7ECF107A8}"/>
    <cellStyle name="Normal 21" xfId="138" xr:uid="{CCA5EE70-5A85-4968-9FB0-2AD56A9AFE3A}"/>
    <cellStyle name="Normal 21 2" xfId="139" xr:uid="{480F855A-CBEC-49C0-A238-CE66782CE1CA}"/>
    <cellStyle name="Normal 21 2 2" xfId="955" xr:uid="{0EA149CE-01EA-4C9F-B4BA-DFE631236F18}"/>
    <cellStyle name="Normal 21 2 2 2" xfId="1600" xr:uid="{148A0D7C-F637-4DD4-A490-67A0F4D1206D}"/>
    <cellStyle name="Normal 21 3" xfId="365" xr:uid="{8E54ADE8-C132-427E-8A30-C643B503B340}"/>
    <cellStyle name="Normal 21 3 2" xfId="956" xr:uid="{22E00799-3261-4FE0-BE61-624BE96779B1}"/>
    <cellStyle name="Normal 21 4" xfId="364" xr:uid="{05BEDF17-0D59-409D-8E68-1F75FDFAB388}"/>
    <cellStyle name="Normal 21 4 2" xfId="957" xr:uid="{26089AE3-8BC2-4EC1-9AE0-4B0AD1674D8A}"/>
    <cellStyle name="Normal 21_Book1" xfId="769" xr:uid="{F1EB0324-E379-4760-8E11-ABCA0A47497B}"/>
    <cellStyle name="Normal 210" xfId="2718" xr:uid="{549A9409-B27F-4016-A09C-922A56D83CC2}"/>
    <cellStyle name="Normal 211" xfId="2808" xr:uid="{363BEFA2-72EA-4F48-84BC-B915FD5D546F}"/>
    <cellStyle name="Normal 212" xfId="2810" xr:uid="{6ABD48DA-EB32-4D08-B67B-6CD79F0E624D}"/>
    <cellStyle name="Normal 22" xfId="140" xr:uid="{F76C06F1-BC0C-4A65-9FA9-5F2B89EA2752}"/>
    <cellStyle name="Normal 22 2" xfId="141" xr:uid="{6C3EED58-E047-49DF-BCBA-7F13C820AD77}"/>
    <cellStyle name="Normal 22 2 2" xfId="958" xr:uid="{D5E4020C-7E7F-4C2E-958F-F329586DDD3A}"/>
    <cellStyle name="Normal 22 2 2 2" xfId="1601" xr:uid="{F0A46106-D0EB-4F3B-BA0D-6541F3E31709}"/>
    <cellStyle name="Normal 22 3" xfId="367" xr:uid="{3F201C0A-7167-4674-BFF9-FEDE847163A0}"/>
    <cellStyle name="Normal 22 3 2" xfId="959" xr:uid="{EB83ACB4-0E17-441A-978B-1C221A3576ED}"/>
    <cellStyle name="Normal 22 4" xfId="366" xr:uid="{652B3AE8-DB4D-44FF-A2CA-10DBF2AB7CD1}"/>
    <cellStyle name="Normal 22 4 2" xfId="960" xr:uid="{87D9E2AF-6DC8-48AC-9472-94F7AFA76632}"/>
    <cellStyle name="Normal 22_Book1" xfId="770" xr:uid="{59AD186A-7588-4500-94AA-78FCD9BD1014}"/>
    <cellStyle name="Normal 23" xfId="142" xr:uid="{855EEB18-0FD0-4A8E-9AC4-81D2FAB6192D}"/>
    <cellStyle name="Normal 23 2" xfId="368" xr:uid="{21BEB128-9BC0-4FD4-8B78-B7A5A2EE9808}"/>
    <cellStyle name="Normal 23 2 2" xfId="1602" xr:uid="{98E28F25-5489-4256-AF13-C4DD3E45B138}"/>
    <cellStyle name="Normal 24" xfId="143" xr:uid="{3F681264-FD48-4C03-B7FC-CAFF7F1EA73A}"/>
    <cellStyle name="Normal 24 2" xfId="144" xr:uid="{6293B14E-D680-4F57-BE75-B05EAB241B2B}"/>
    <cellStyle name="Normal 24 2 2" xfId="369" xr:uid="{A577B503-43E6-45A7-A8BC-197C84D16528}"/>
    <cellStyle name="Normal 24 2 2 2" xfId="502" xr:uid="{7142254D-C291-464C-A5A7-AB6F1A331E6D}"/>
    <cellStyle name="Normal 24 2 3" xfId="500" xr:uid="{ED4DEFFC-5B8C-45FA-964F-8635F30203CC}"/>
    <cellStyle name="Normal 24 3" xfId="961" xr:uid="{EA1C93A8-7E7C-460C-9579-3C747E77418F}"/>
    <cellStyle name="Normal 24 4" xfId="771" xr:uid="{1B9436F3-EE83-4764-A483-B87CAF48ACEB}"/>
    <cellStyle name="Normal 25" xfId="145" xr:uid="{B6D6F7F1-DEEB-46DA-B75C-4A95A1FD29D2}"/>
    <cellStyle name="Normal 25 2" xfId="146" xr:uid="{AA20354F-3016-422C-9657-33351E5B884B}"/>
    <cellStyle name="Normal 25 2 2" xfId="370" xr:uid="{46348249-E2A7-42BC-8A7A-81052B1A8EFA}"/>
    <cellStyle name="Normal 25 3" xfId="772" xr:uid="{4093D18A-D59B-4183-A096-5398D76BAF78}"/>
    <cellStyle name="Normal 26" xfId="147" xr:uid="{6828FB03-A5DC-47DC-B55C-44DD929608D0}"/>
    <cellStyle name="Normal 26 2" xfId="148" xr:uid="{5141BC6F-8793-42A0-87EE-7B90278C3AD7}"/>
    <cellStyle name="Normal 26 2 2" xfId="371" xr:uid="{D4350E81-CF28-4BF7-8C30-003AD00E3298}"/>
    <cellStyle name="Normal 26 2 3" xfId="962" xr:uid="{DE655943-3BE9-467D-BDDE-2AC861270590}"/>
    <cellStyle name="Normal 26 3" xfId="963" xr:uid="{C543A51F-698B-45EB-A229-3A0DCD8EBC48}"/>
    <cellStyle name="Normal 26 4" xfId="773" xr:uid="{A7419E82-3C1F-4BEF-93E1-01463B3739A3}"/>
    <cellStyle name="Normal 27" xfId="149" xr:uid="{215AD080-10AF-4789-ADF7-B2B18123F71E}"/>
    <cellStyle name="Normal 27 2" xfId="150" xr:uid="{8D592521-F6B7-4F07-9E6A-CCCF87E23941}"/>
    <cellStyle name="Normal 27 2 2" xfId="372" xr:uid="{AB158C57-224C-4DA5-95D6-E1D9DB7FDC41}"/>
    <cellStyle name="Normal 27 2 3" xfId="964" xr:uid="{CA51197D-75D2-40CE-995A-85CA6B53F803}"/>
    <cellStyle name="Normal 27 3" xfId="965" xr:uid="{44EEDCC4-55B2-4190-AB2C-F08E2099477D}"/>
    <cellStyle name="Normal 27 4" xfId="774" xr:uid="{8DBB31F4-F07B-4A78-908E-2514DE35B0A1}"/>
    <cellStyle name="Normal 28" xfId="151" xr:uid="{68D66BB5-577B-47CF-A740-5F971A80695C}"/>
    <cellStyle name="Normal 28 2" xfId="152" xr:uid="{2092D12D-98FB-4C09-8E31-1574B585EF78}"/>
    <cellStyle name="Normal 28 2 2" xfId="373" xr:uid="{3B7CB426-873F-4FB2-834F-CDEFCDA3976B}"/>
    <cellStyle name="Normal 28 2 2 2" xfId="893" xr:uid="{54A14206-4323-463A-8CB7-D861EF31787E}"/>
    <cellStyle name="Normal 28 3" xfId="775" xr:uid="{BB51F2FD-D95D-4E9F-BEEC-8505147CD9F4}"/>
    <cellStyle name="Normal 29" xfId="153" xr:uid="{70DFA7F6-6D11-46DF-BAB9-FA30C94EA130}"/>
    <cellStyle name="Normal 29 2" xfId="154" xr:uid="{40E11DD6-12CE-4C31-90D9-1B2497D26648}"/>
    <cellStyle name="Normal 29 3" xfId="776" xr:uid="{DC5665FF-FA8F-4A26-A446-430724A0E534}"/>
    <cellStyle name="Normal 3" xfId="7" xr:uid="{89CABD37-288B-49BD-BF88-924C0D729346}"/>
    <cellStyle name="Normal 3 10" xfId="374" xr:uid="{F9FB03D4-3E9D-40BF-89D1-A4E8B46AE6C8}"/>
    <cellStyle name="Normal 3 11" xfId="375" xr:uid="{BDED16AD-84AD-47BF-BBAB-8B8825F38AFE}"/>
    <cellStyle name="Normal 3 12" xfId="376" xr:uid="{E3366EAE-B70F-424D-A7A4-AE0DD20F8031}"/>
    <cellStyle name="Normal 3 13" xfId="429" xr:uid="{1A44366C-9F57-4F0C-A834-0515F4E0DF2F}"/>
    <cellStyle name="Normal 3 2" xfId="156" xr:uid="{A558F261-2201-4AFB-BC77-FC1BD63D555D}"/>
    <cellStyle name="Normal 3 2 2" xfId="378" xr:uid="{08A5CD95-17AE-4FFF-B181-D78A71409F26}"/>
    <cellStyle name="Normal 3 2 2 2" xfId="493" xr:uid="{84EE1A96-03D8-4522-BE7C-9B9B569D78E4}"/>
    <cellStyle name="Normal 3 2 2 3" xfId="778" xr:uid="{41EBCAA5-82B2-446D-BB65-F19EA05CD9A8}"/>
    <cellStyle name="Normal 3 2 2 4" xfId="1722" xr:uid="{3D961510-B558-44FE-901A-B192F44923A3}"/>
    <cellStyle name="Normal 3 2 3" xfId="377" xr:uid="{FB73DE60-1F90-4065-8A95-19330A8AD021}"/>
    <cellStyle name="Normal 3 2 4" xfId="496" xr:uid="{9FEDF272-9334-4F93-A65E-0E3B5F49DBCA}"/>
    <cellStyle name="Normal 3 2 5" xfId="563" xr:uid="{1FC88C64-0063-474E-B84D-0E31EDA0C439}"/>
    <cellStyle name="Normal 3 2_Copy of Linked Fiscal Supplementary Tables jr" xfId="779" xr:uid="{20AED1E6-6669-4412-89E3-24659AD3C5E1}"/>
    <cellStyle name="Normal 3 3" xfId="155" xr:uid="{B585214B-3C1A-4336-A471-52416795A72D}"/>
    <cellStyle name="Normal 3 3 2" xfId="379" xr:uid="{31FE8D30-3129-4CD4-92AB-3DC88D884A6E}"/>
    <cellStyle name="Normal 3 3 2 2" xfId="1776" xr:uid="{F1A96149-0E99-4C8F-93DA-B82EF70205C2}"/>
    <cellStyle name="Normal 3 3 3" xfId="966" xr:uid="{7C1F21D1-00B3-4498-8EF1-6F4EC8558A22}"/>
    <cellStyle name="Normal 3 4" xfId="380" xr:uid="{1F852281-4A50-4538-99DD-CD94EA913E9E}"/>
    <cellStyle name="Normal 3 4 2" xfId="967" xr:uid="{49BFA7F7-10B7-4AB2-86E3-AFF63B73AB72}"/>
    <cellStyle name="Normal 3 4 3" xfId="1668" xr:uid="{CD0EB635-4038-4219-BD23-184BA357FDC9}"/>
    <cellStyle name="Normal 3 5" xfId="381" xr:uid="{087B968B-AB47-4458-8705-003A95ED6B41}"/>
    <cellStyle name="Normal 3 5 2" xfId="777" xr:uid="{34B1DF95-6438-40FE-AD73-85EEAD0225D0}"/>
    <cellStyle name="Normal 3 5 3" xfId="1680" xr:uid="{4DF536BE-D412-4313-8C3F-40711398F6E8}"/>
    <cellStyle name="Normal 3 6" xfId="382" xr:uid="{AFF8866A-9210-45E4-801E-1D682732002A}"/>
    <cellStyle name="Normal 3 6 2" xfId="1895" xr:uid="{40EBACF7-570E-48AF-A4D9-8DF0032C6C3C}"/>
    <cellStyle name="Normal 3 7" xfId="383" xr:uid="{158B9892-9586-4AFD-88B2-76B54DC916F7}"/>
    <cellStyle name="Normal 3 8" xfId="384" xr:uid="{94374ED7-827B-4ED0-A19F-787D8663A87C}"/>
    <cellStyle name="Normal 3 9" xfId="385" xr:uid="{73C6F554-8E0E-45FA-9A42-6D743EFEFCC3}"/>
    <cellStyle name="Normal 3_asset sales" xfId="157" xr:uid="{7F19E3C9-5267-4422-AA04-9451FA33C9B4}"/>
    <cellStyle name="Normal 30" xfId="158" xr:uid="{8DFCE0CB-6617-4033-8272-B72634AFBC1F}"/>
    <cellStyle name="Normal 30 2" xfId="159" xr:uid="{78DBC5BB-A9F6-42AF-965E-10E6E5CA2D5C}"/>
    <cellStyle name="Normal 30 2 2" xfId="1661" xr:uid="{317D9288-344C-40FC-8CDD-A11184CA533F}"/>
    <cellStyle name="Normal 30 3" xfId="1513" xr:uid="{FDF13BA0-8941-4247-B5D5-87C8AC5A5A6D}"/>
    <cellStyle name="Normal 31" xfId="160" xr:uid="{58554949-8749-4ABE-82A5-93FD69FEFA33}"/>
    <cellStyle name="Normal 31 2" xfId="161" xr:uid="{3DC9D9B9-A4AA-42E7-81E5-95E9A01D8C1F}"/>
    <cellStyle name="Normal 31 2 2" xfId="1662" xr:uid="{60BE0152-E612-4271-9801-9A51D0D69A24}"/>
    <cellStyle name="Normal 31 3" xfId="1515" xr:uid="{ED88FA38-5645-4B9D-B5A1-3F93F2C42318}"/>
    <cellStyle name="Normal 32" xfId="162" xr:uid="{386D2130-709A-4ED0-B4F2-B82A19146DFB}"/>
    <cellStyle name="Normal 32 2" xfId="163" xr:uid="{D80DA34D-4C4A-45CD-AFA5-4AEB4E6508F9}"/>
    <cellStyle name="Normal 32 2 2" xfId="1663" xr:uid="{412283F6-7834-42C8-92D9-CFC473B41006}"/>
    <cellStyle name="Normal 32 3" xfId="1517" xr:uid="{8B1A2217-A56A-494E-B61E-DB85BAC8F433}"/>
    <cellStyle name="Normal 33" xfId="164" xr:uid="{AE2B5C3E-B1B3-437F-AA2E-7786E17DC7EB}"/>
    <cellStyle name="Normal 33 2" xfId="165" xr:uid="{429ABE95-79FA-474E-B015-706246267CE2}"/>
    <cellStyle name="Normal 33 3" xfId="886" xr:uid="{3EA5F278-FDAE-4C96-9633-B2909070F5EC}"/>
    <cellStyle name="Normal 33 4" xfId="1386" xr:uid="{2B131DF0-ED35-4E63-AE41-3250B85AEA6A}"/>
    <cellStyle name="Normal 34" xfId="166" xr:uid="{E26D13FC-AA48-4F5B-BC1C-072F25531737}"/>
    <cellStyle name="Normal 34 2" xfId="167" xr:uid="{9F293788-5B09-4018-A00C-95AFD0DC9781}"/>
    <cellStyle name="Normal 34 3" xfId="894" xr:uid="{E6DACC3C-CE51-42A3-8EBA-E48D505EB5F4}"/>
    <cellStyle name="Normal 34 4" xfId="1664" xr:uid="{E9B9419C-D1B9-44F3-8FD9-2EE0459BFF62}"/>
    <cellStyle name="Normal 35" xfId="168" xr:uid="{138D7E8E-A116-4E48-98D3-46D1A30A26AC}"/>
    <cellStyle name="Normal 35 2" xfId="169" xr:uid="{E0A4466B-7708-4C6E-80CA-C2F72DE64031}"/>
    <cellStyle name="Normal 35 3" xfId="901" xr:uid="{37835A89-C47F-4862-9D8E-2D8A5AEB77B8}"/>
    <cellStyle name="Normal 35 4" xfId="1666" xr:uid="{4F5CF558-BA1B-4D3B-A621-CEAE4EEAE40C}"/>
    <cellStyle name="Normal 36" xfId="170" xr:uid="{FFF6B7A6-0976-4B0C-B6B4-427EEF964AE2}"/>
    <cellStyle name="Normal 36 2" xfId="1670" xr:uid="{C5B1F7A4-254C-4D40-A9AD-A231C22211B7}"/>
    <cellStyle name="Normal 37" xfId="171" xr:uid="{F6FF2EE0-206A-4687-8C5C-B08EC26500C3}"/>
    <cellStyle name="Normal 37 2" xfId="1387" xr:uid="{503C589D-DE9C-497F-8E92-F3FE3AE9F317}"/>
    <cellStyle name="Normal 37 3" xfId="1669" xr:uid="{10F4804E-65A3-475F-9164-7CE974CB42BA}"/>
    <cellStyle name="Normal 37 4" xfId="2701" xr:uid="{749D5981-6B2B-4D35-8561-E1AAE128FE58}"/>
    <cellStyle name="Normal 38" xfId="172" xr:uid="{AE4D426C-A618-4E95-926D-021882202E91}"/>
    <cellStyle name="Normal 38 2" xfId="1665" xr:uid="{7AB2441F-78DD-4810-8D75-6131746EDA9C}"/>
    <cellStyle name="Normal 39" xfId="173" xr:uid="{B5549F09-1E68-496B-992E-E2D0383443DA}"/>
    <cellStyle name="Normal 39 2" xfId="1388" xr:uid="{82AECA69-0B10-4C04-945A-DA0EE67F8228}"/>
    <cellStyle name="Normal 39 3" xfId="1671" xr:uid="{391FF2E1-BCF7-4017-A275-39AA33F8DF7E}"/>
    <cellStyle name="Normal 4" xfId="174" xr:uid="{B3402347-CF8E-41C0-BFCF-F4EF39391D39}"/>
    <cellStyle name="Normal 4 10" xfId="1777" xr:uid="{D74C83F4-5E2C-4F95-8F9E-4B0C87919704}"/>
    <cellStyle name="Normal 4 11" xfId="1783" xr:uid="{A2CAEE2B-60FA-4B1A-92A9-9E79AD8F644D}"/>
    <cellStyle name="Normal 4 12" xfId="1791" xr:uid="{D8B0F057-F411-49B5-9FC7-D9E0C2A9B2A2}"/>
    <cellStyle name="Normal 4 13" xfId="1820" xr:uid="{E980EACC-2565-42B8-A6BB-967B64021559}"/>
    <cellStyle name="Normal 4 14" xfId="1846" xr:uid="{92BD8F94-BCDE-4DB3-AD47-B9A544E3FF27}"/>
    <cellStyle name="Normal 4 15" xfId="1855" xr:uid="{D1E77DB0-3123-4C48-9EA6-9397D6C389B9}"/>
    <cellStyle name="Normal 4 16" xfId="1887" xr:uid="{623DF7B0-C25A-4925-AE2C-2C7909E36A90}"/>
    <cellStyle name="Normal 4 17" xfId="1893" xr:uid="{E750A08A-A917-4185-B034-8AED1C16BCD5}"/>
    <cellStyle name="Normal 4 18" xfId="1943" xr:uid="{2AD1987F-FB98-48E7-8587-9CC6616D4341}"/>
    <cellStyle name="Normal 4 19" xfId="1990" xr:uid="{2C67BE31-9AC2-447B-B92F-A3F15194B43B}"/>
    <cellStyle name="Normal 4 2" xfId="387" xr:uid="{D8F42DEC-3809-47B5-96D3-A4FD439615C3}"/>
    <cellStyle name="Normal 4 2 10" xfId="2572" xr:uid="{9369297B-7BC1-4C4F-834F-4E9549C9BA21}"/>
    <cellStyle name="Normal 4 2 2" xfId="781" xr:uid="{5177D906-9DA7-4568-A306-7237A114E780}"/>
    <cellStyle name="Normal 4 2 2 2" xfId="2127" xr:uid="{3862A858-DF50-4487-9051-A1C0690AC505}"/>
    <cellStyle name="Normal 4 2 2 3" xfId="2226" xr:uid="{0A9C46F9-88E4-44FE-A3A5-1333048EB6C6}"/>
    <cellStyle name="Normal 4 2 2 4" xfId="2317" xr:uid="{C8A3DFF8-8C09-4ECB-BC58-50BC3430F206}"/>
    <cellStyle name="Normal 4 2 2 5" xfId="2405" xr:uid="{DD40289F-47B7-438F-82A4-CC30C4117A7F}"/>
    <cellStyle name="Normal 4 2 2 6" xfId="2520" xr:uid="{7F1C220E-024C-4E21-9B63-3FA05C081FFC}"/>
    <cellStyle name="Normal 4 2 2 7" xfId="2611" xr:uid="{A5D2DB30-A1AD-483E-AFC0-CBE2C62C1DDF}"/>
    <cellStyle name="Normal 4 2 3" xfId="568" xr:uid="{65396234-6905-4699-BFFD-278F91F49696}"/>
    <cellStyle name="Normal 4 2 3 2" xfId="1944" xr:uid="{FE26FAD5-27ED-4B9F-AD89-7F4B6466F819}"/>
    <cellStyle name="Normal 4 2 4" xfId="1991" xr:uid="{2B89CDAB-905B-46F9-BD1E-789B0A3F1353}"/>
    <cellStyle name="Normal 4 2 5" xfId="2126" xr:uid="{CF4BC067-3BA5-414F-8768-8CDA9F4CFE91}"/>
    <cellStyle name="Normal 4 2 6" xfId="2225" xr:uid="{FE45498D-98DD-46A8-A41A-EFEBC3051D2F}"/>
    <cellStyle name="Normal 4 2 7" xfId="2316" xr:uid="{6E0D7225-63FC-4C70-80B7-4AD8957B3E77}"/>
    <cellStyle name="Normal 4 2 8" xfId="2404" xr:uid="{704E27A3-398D-4740-B169-7D701E001F6B}"/>
    <cellStyle name="Normal 4 2 9" xfId="2481" xr:uid="{03393756-F762-451B-A120-740C6C817264}"/>
    <cellStyle name="Normal 4 20" xfId="2015" xr:uid="{323C6B48-F568-4255-A81F-C4F063A46C1B}"/>
    <cellStyle name="Normal 4 21" xfId="2035" xr:uid="{9C81286D-EE81-489F-BA47-F1E82C1EE292}"/>
    <cellStyle name="Normal 4 22" xfId="2125" xr:uid="{DFB12F31-E5A0-4A40-9B31-8A888A5ECD79}"/>
    <cellStyle name="Normal 4 23" xfId="2224" xr:uid="{B3C62668-3A29-4334-97B7-9DFCF714019D}"/>
    <cellStyle name="Normal 4 24" xfId="2315" xr:uid="{F240BDD8-5B72-4684-B676-A1A74EAEA816}"/>
    <cellStyle name="Normal 4 25" xfId="2403" xr:uid="{B6C507E9-C4DC-44B0-B4FA-1FB3427D7EB9}"/>
    <cellStyle name="Normal 4 26" xfId="2431" xr:uid="{8A526220-0460-49D5-BAD3-2010989C90E4}"/>
    <cellStyle name="Normal 4 27" xfId="2434" xr:uid="{97918DEC-90E0-4E01-A823-7B955346BD05}"/>
    <cellStyle name="Normal 4 28" xfId="2530" xr:uid="{C9A5121C-8751-4240-8BFF-2D0803B64135}"/>
    <cellStyle name="Normal 4 3" xfId="388" xr:uid="{D3B4FE04-FA59-43C6-AACD-620EA7161FBD}"/>
    <cellStyle name="Normal 4 3 2" xfId="1604" xr:uid="{98385EDE-78BC-4CB5-8525-517935E6BA72}"/>
    <cellStyle name="Normal 4 3 3" xfId="2128" xr:uid="{89ECF237-319F-496F-89E3-560B70EA7CD7}"/>
    <cellStyle name="Normal 4 3 4" xfId="2227" xr:uid="{EF1464EB-8FED-4EA2-81ED-A23E143E28DD}"/>
    <cellStyle name="Normal 4 3 5" xfId="2318" xr:uid="{E84B42ED-3690-472B-8112-0CE1BD88B0EB}"/>
    <cellStyle name="Normal 4 3 6" xfId="2406" xr:uid="{8C0BEDF4-AD2B-4B58-9664-EEAAF928EF97}"/>
    <cellStyle name="Normal 4 3 7" xfId="2519" xr:uid="{0A24E196-2FAB-43A2-8757-FE57E1B44A32}"/>
    <cellStyle name="Normal 4 3 8" xfId="2610" xr:uid="{C2827E4F-87C3-43B7-9C79-B366B46F5446}"/>
    <cellStyle name="Normal 4 4" xfId="386" xr:uid="{4FCC81D1-8399-4CE0-990C-ED6184088AB6}"/>
    <cellStyle name="Normal 4 4 2" xfId="887" xr:uid="{A1AF7A08-1A41-4083-8DBD-551E5A6F51A1}"/>
    <cellStyle name="Normal 4 4 3" xfId="1603" xr:uid="{2FB7B756-B118-4A17-BC39-E41F98A376DB}"/>
    <cellStyle name="Normal 4 5" xfId="968" xr:uid="{6BE8DE2F-DBAA-4D74-9FD7-AEA0CBDC4463}"/>
    <cellStyle name="Normal 4 5 2" xfId="1681" xr:uid="{B5DBBD24-4E25-456E-8B35-0098E805EEB3}"/>
    <cellStyle name="Normal 4 6" xfId="780" xr:uid="{90498921-DE9D-49AF-A881-4A566D35AB0E}"/>
    <cellStyle name="Normal 4 6 2" xfId="1701" xr:uid="{61DB228A-B4EB-488C-8890-859B2D0AA107}"/>
    <cellStyle name="Normal 4 7" xfId="525" xr:uid="{8583B48D-85D5-40C3-8729-3327827453B7}"/>
    <cellStyle name="Normal 4 7 2" xfId="1723" xr:uid="{602779F8-9A4E-4F55-98EE-5FBA0F86F33E}"/>
    <cellStyle name="Normal 4 8" xfId="1727" xr:uid="{70A88603-0DD6-40DE-A876-3C6DC0A2CE81}"/>
    <cellStyle name="Normal 4 9" xfId="1758" xr:uid="{2E4CD6F2-084D-4341-9B19-4605D2FF5B18}"/>
    <cellStyle name="Normal 4_Book1" xfId="888" xr:uid="{52B0199D-7144-4DBA-BC49-01DA022E8809}"/>
    <cellStyle name="Normal 40" xfId="175" xr:uid="{9E4B740B-8C71-4136-B571-1AF9D40ACD40}"/>
    <cellStyle name="Normal 40 2" xfId="1389" xr:uid="{CA5754C8-AC44-419A-87C4-87F67DEB8F27}"/>
    <cellStyle name="Normal 40 3" xfId="1672" xr:uid="{2A0A6FD1-E43B-4BEE-B37F-0C65B7B1FAFC}"/>
    <cellStyle name="Normal 40 4" xfId="2702" xr:uid="{CB8742AF-0FAE-43EF-9D28-ADA03744D93D}"/>
    <cellStyle name="Normal 41" xfId="176" xr:uid="{61E1281C-26CD-4CE4-9102-B359267A9FD7}"/>
    <cellStyle name="Normal 41 2" xfId="969" xr:uid="{298E7A68-7055-4AE3-9E7B-F26EB3FCC47E}"/>
    <cellStyle name="Normal 41 3" xfId="1390" xr:uid="{217AA1AA-B60F-41B2-9945-800820E5F870}"/>
    <cellStyle name="Normal 42" xfId="177" xr:uid="{EFAB0CE8-7F05-4945-89FE-6FA57CFD7FF9}"/>
    <cellStyle name="Normal 42 2" xfId="970" xr:uid="{23E2B1C1-32F9-4F80-B292-301AE2020F02}"/>
    <cellStyle name="Normal 42 3" xfId="1391" xr:uid="{6D40BF98-FD0A-4286-82AA-D7F1C8F3B174}"/>
    <cellStyle name="Normal 43" xfId="178" xr:uid="{E61A9314-E306-4D7B-8D81-3275D8F99DBB}"/>
    <cellStyle name="Normal 43 2" xfId="971" xr:uid="{BB7959E9-0B09-4BCA-B4CB-3D7AB8187950}"/>
    <cellStyle name="Normal 43 3" xfId="1392" xr:uid="{237B9D7A-5A93-4D87-B532-530852877442}"/>
    <cellStyle name="Normal 44" xfId="179" xr:uid="{4E61BA87-6722-453B-83EA-3ACA52720F5B}"/>
    <cellStyle name="Normal 44 2" xfId="972" xr:uid="{8619EAA2-A3EA-4505-9AD3-739949E3ED1E}"/>
    <cellStyle name="Normal 44 3" xfId="1673" xr:uid="{9839975E-AE4F-4D69-B9B0-CA9F0E55620B}"/>
    <cellStyle name="Normal 45" xfId="180" xr:uid="{E00906CC-06A5-4579-AB4C-D0A2597F524B}"/>
    <cellStyle name="Normal 45 2" xfId="1674" xr:uid="{51822C93-3A81-47A1-9A21-0C2A12778315}"/>
    <cellStyle name="Normal 46" xfId="181" xr:uid="{6EF3E80D-F4CD-42A2-98D1-ED6280C58F74}"/>
    <cellStyle name="Normal 46 2" xfId="989" xr:uid="{0801E9B7-6A67-4CBD-A78A-5163C4427A3F}"/>
    <cellStyle name="Normal 46 3" xfId="1675" xr:uid="{CFF6AB6E-A2A0-4109-A58D-A57272CAD62E}"/>
    <cellStyle name="Normal 47" xfId="182" xr:uid="{199461A6-BDF6-4D3B-A6AE-7D096284D685}"/>
    <cellStyle name="Normal 47 2" xfId="996" xr:uid="{46B1C24E-0B7F-401D-B2DC-A6AC1014AEA3}"/>
    <cellStyle name="Normal 47 3" xfId="1682" xr:uid="{902F43EE-6A2F-4980-9514-CAB9457B499E}"/>
    <cellStyle name="Normal 48" xfId="389" xr:uid="{BDDFAECA-BE18-45DC-8608-63241F20EE2E}"/>
    <cellStyle name="Normal 48 2" xfId="990" xr:uid="{5FA2A285-0946-42CC-AF70-3F53E97BD95A}"/>
    <cellStyle name="Normal 48 3" xfId="1686" xr:uid="{1CBAE958-55ED-41D6-989E-C2AED75E0A42}"/>
    <cellStyle name="Normal 49" xfId="390" xr:uid="{BE98E592-628F-4091-8AFE-1C4ADE50A4C3}"/>
    <cellStyle name="Normal 49 2" xfId="991" xr:uid="{613E9099-5A9F-4A1B-BC26-FF805909A260}"/>
    <cellStyle name="Normal 49 3" xfId="1703" xr:uid="{9BA784D2-B5B8-4B99-AC9C-FDD1EED77179}"/>
    <cellStyle name="Normal 5" xfId="183" xr:uid="{885B22AC-B8DE-4287-AF56-F45D6D68E594}"/>
    <cellStyle name="Normal 5 10" xfId="2550" xr:uid="{CDC808E8-23EA-4B12-92BF-BE79ADF3B902}"/>
    <cellStyle name="Normal 5 2" xfId="392" xr:uid="{8FDE0250-C791-490C-B8A8-ED8A38C48865}"/>
    <cellStyle name="Normal 5 2 2" xfId="973" xr:uid="{2A3D4F61-433C-4626-8A77-10222FD9BE52}"/>
    <cellStyle name="Normal 5 2 2 2" xfId="2130" xr:uid="{10942F07-3AC7-4AA5-BB8E-ACD6ACEDA11E}"/>
    <cellStyle name="Normal 5 2 3" xfId="574" xr:uid="{9A085780-29B5-45A4-879F-483192B8915F}"/>
    <cellStyle name="Normal 5 2 3 2" xfId="2229" xr:uid="{7710FA0F-F18D-42D3-8D1D-5787DF922B79}"/>
    <cellStyle name="Normal 5 2 4" xfId="2320" xr:uid="{EEFED07D-19CC-4909-A44E-21517904AD57}"/>
    <cellStyle name="Normal 5 2 5" xfId="2408" xr:uid="{84277356-43AE-4AF3-9FD7-6326D2662765}"/>
    <cellStyle name="Normal 5 2 6" xfId="2521" xr:uid="{C6F87DAA-B4EE-41AB-ADD6-8EB5ECAD5D4B}"/>
    <cellStyle name="Normal 5 2 7" xfId="2612" xr:uid="{ACB40847-29C5-4185-B272-952814DF0415}"/>
    <cellStyle name="Normal 5 3" xfId="393" xr:uid="{0277B716-0CE2-41C5-AA8F-2B595863BDDE}"/>
    <cellStyle name="Normal 5 3 2" xfId="1945" xr:uid="{28C7EE73-837A-475B-ACC6-C084E4C33ED2}"/>
    <cellStyle name="Normal 5 4" xfId="391" xr:uid="{60097486-97F8-4AFD-A8D5-33A1DCCFCABD}"/>
    <cellStyle name="Normal 5 5" xfId="558" xr:uid="{1B0D93B4-0AA6-43C7-AFFF-FFD8D92890EF}"/>
    <cellStyle name="Normal 5 5 2" xfId="2129" xr:uid="{31E9212F-FA97-4B6B-8F3C-AD1A74D5DDFB}"/>
    <cellStyle name="Normal 5 6" xfId="2228" xr:uid="{C9A4C573-322C-4C05-B0FA-8D20F79E6AE9}"/>
    <cellStyle name="Normal 5 7" xfId="2319" xr:uid="{4A728C14-DC46-43EE-8F6A-A17AB8915D93}"/>
    <cellStyle name="Normal 5 8" xfId="2407" xr:uid="{09A17C46-6B1A-4680-9A29-5311DA2793B5}"/>
    <cellStyle name="Normal 5 9" xfId="2459" xr:uid="{94DD6D80-FF6B-4F30-AFE5-EA26A10695D0}"/>
    <cellStyle name="Normal 50" xfId="394" xr:uid="{2BE15243-BB2F-44BA-BB54-C2522F4FE616}"/>
    <cellStyle name="Normal 50 2" xfId="1002" xr:uid="{9A66ABDE-B34E-4575-8531-EB22D867B8FC}"/>
    <cellStyle name="Normal 50 3" xfId="1704" xr:uid="{D56D0683-5DB6-484E-8036-64C9E6C0C612}"/>
    <cellStyle name="Normal 51" xfId="395" xr:uid="{DD0F00F5-F34A-4C02-BE6C-18A597EF3954}"/>
    <cellStyle name="Normal 51 2" xfId="1005" xr:uid="{6F60BB6C-5C21-4B8F-99AD-5CBAE4D756C7}"/>
    <cellStyle name="Normal 51 3" xfId="1003" xr:uid="{A08650F8-4514-4C51-A0CD-C98D86D52A8C}"/>
    <cellStyle name="Normal 51 4" xfId="1705" xr:uid="{AD4793FE-D112-43A2-8170-346BFDFDF4B1}"/>
    <cellStyle name="Normal 52" xfId="396" xr:uid="{07B2D2A0-4506-414F-ABD8-9D2B0C581020}"/>
    <cellStyle name="Normal 52 2" xfId="499" xr:uid="{910A05A2-3895-43C4-AD1C-39F4B1430C6B}"/>
    <cellStyle name="Normal 52 3" xfId="1706" xr:uid="{76D7BB38-220F-4C9F-8F65-6576EC6C09B5}"/>
    <cellStyle name="Normal 53" xfId="310" xr:uid="{80A45F3F-0E95-4E00-AF5E-126A00E9F656}"/>
    <cellStyle name="Normal 53 2" xfId="1006" xr:uid="{2ABC8F94-CE9D-4E12-97BF-CF2019C20AC9}"/>
    <cellStyle name="Normal 53 3" xfId="1707" xr:uid="{71FFA1CD-D306-44EE-81A8-B1F625A0BE52}"/>
    <cellStyle name="Normal 54" xfId="430" xr:uid="{59851513-5562-4757-B161-B3F9DD889BC2}"/>
    <cellStyle name="Normal 54 2" xfId="1009" xr:uid="{141DB530-99D9-481C-AE11-22FA8954A081}"/>
    <cellStyle name="Normal 54 3" xfId="1708" xr:uid="{AC33FF7D-ABC0-4168-BE99-2C29F0699381}"/>
    <cellStyle name="Normal 55" xfId="475" xr:uid="{A42D08A5-AA97-44C1-866D-A6D57BB0DF0C}"/>
    <cellStyle name="Normal 55 2" xfId="1011" xr:uid="{9B161473-ED7E-4542-B0DF-85F97782E84D}"/>
    <cellStyle name="Normal 55 3" xfId="1709" xr:uid="{A5EE8807-E6F5-49C6-8DEA-0EDD8EF4AA23}"/>
    <cellStyle name="Normal 56" xfId="1015" xr:uid="{86ADE926-FE27-4060-9967-9F69C3C2FBB3}"/>
    <cellStyle name="Normal 56 2" xfId="1710" xr:uid="{F8372DBC-CAD0-439A-B0CA-BA2FF9B549C4}"/>
    <cellStyle name="Normal 57" xfId="1018" xr:uid="{88DC3270-A6DF-4989-AAB0-9F432BBBB530}"/>
    <cellStyle name="Normal 58" xfId="1047" xr:uid="{A6EABECC-92B5-40E9-BFF6-E247D05D42A4}"/>
    <cellStyle name="Normal 58 2" xfId="1711" xr:uid="{40746B56-A105-45B6-AAA4-DC326D253610}"/>
    <cellStyle name="Normal 59" xfId="1051" xr:uid="{7268A32A-AAF4-46D6-B82C-7805C057E116}"/>
    <cellStyle name="Normal 59 2" xfId="1712" xr:uid="{065B8EF0-9BB6-4A47-AD28-D1C9D8280A6A}"/>
    <cellStyle name="Normal 6" xfId="184" xr:uid="{2C580053-CAE1-4E3E-8CBD-5AB874311002}"/>
    <cellStyle name="Normal 6 10" xfId="2461" xr:uid="{1F20B64F-0CC5-4276-ACF9-2E724445FA4F}"/>
    <cellStyle name="Normal 6 11" xfId="2552" xr:uid="{295F05F8-4A30-4057-9270-8A3681857336}"/>
    <cellStyle name="Normal 6 2" xfId="398" xr:uid="{79382F07-F204-4CF0-98CE-CBDB0B0F04D7}"/>
    <cellStyle name="Normal 6 2 2" xfId="974" xr:uid="{721750AA-8991-4994-833C-A27CE078AC70}"/>
    <cellStyle name="Normal 6 2 2 2" xfId="2132" xr:uid="{71678DD4-388B-43A1-82A3-6C0E9612048F}"/>
    <cellStyle name="Normal 6 2 3" xfId="2231" xr:uid="{E3FDE349-DC3E-47DD-A984-2A45553984E8}"/>
    <cellStyle name="Normal 6 2 4" xfId="2322" xr:uid="{52D764F7-8CB1-407D-9A69-B4F68AD7B1BB}"/>
    <cellStyle name="Normal 6 2 5" xfId="2410" xr:uid="{FDFEAF96-1C1F-4B67-B452-F47675C8E87C}"/>
    <cellStyle name="Normal 6 2 6" xfId="2522" xr:uid="{04CDC315-13B7-468C-8A8A-FECE6C4563D9}"/>
    <cellStyle name="Normal 6 2 7" xfId="2613" xr:uid="{BB5B30BD-D72F-4948-93D7-E6C64E0BF3A8}"/>
    <cellStyle name="Normal 6 3" xfId="397" xr:uid="{F292C7EE-140F-4281-9D75-C1AA36E5EE46}"/>
    <cellStyle name="Normal 6 3 2" xfId="782" xr:uid="{4D569AD3-9C10-4FA7-A876-03142E89F2BA}"/>
    <cellStyle name="Normal 6 3 3" xfId="1946" xr:uid="{0C93EF8F-544E-45D5-8D1C-14A34CED51B7}"/>
    <cellStyle name="Normal 6 4" xfId="577" xr:uid="{974FA515-3BF1-40EB-8B10-EE2338887D53}"/>
    <cellStyle name="Normal 6 4 2" xfId="1992" xr:uid="{050DD1FF-D83D-46F9-8CE0-5DF992C84BA4}"/>
    <cellStyle name="Normal 6 5" xfId="1356" xr:uid="{59966B09-0908-4996-BB89-9C79D2EF783E}"/>
    <cellStyle name="Normal 6 5 2" xfId="2036" xr:uid="{464850D1-3FF7-4C91-9E15-DFF730EC6F8C}"/>
    <cellStyle name="Normal 6 6" xfId="2131" xr:uid="{0FDC066D-2008-4B1C-A036-D0DD847BA22F}"/>
    <cellStyle name="Normal 6 7" xfId="2230" xr:uid="{9F87FF14-F9E4-44D8-9D27-C31835AFD54C}"/>
    <cellStyle name="Normal 6 8" xfId="2321" xr:uid="{02D8C31D-09E8-42BF-B1DD-DB8C4E0046A8}"/>
    <cellStyle name="Normal 6 9" xfId="2409" xr:uid="{DEE02820-27AB-4EFF-9015-1AEFEAF33748}"/>
    <cellStyle name="Normal 60" xfId="1055" xr:uid="{317C5510-EC93-41BE-BB1B-B273CD860A53}"/>
    <cellStyle name="Normal 60 2" xfId="1713" xr:uid="{90CBB39F-32AD-4CE2-AE63-7144361CF6D4}"/>
    <cellStyle name="Normal 61" xfId="1058" xr:uid="{C3F87AA5-0CE4-40EC-AE86-41192DBC8201}"/>
    <cellStyle name="Normal 61 2" xfId="1714" xr:uid="{909FC356-30A3-46CC-AC4E-7BA7D653503C}"/>
    <cellStyle name="Normal 62" xfId="1061" xr:uid="{055C2B28-78F7-4130-AE4C-58FD92BA5BA8}"/>
    <cellStyle name="Normal 62 2" xfId="1715" xr:uid="{CD104CF1-FB47-4238-91F7-5E09C21269B2}"/>
    <cellStyle name="Normal 63" xfId="1064" xr:uid="{2F41D714-3632-4B5D-90B7-99AA4DC60E00}"/>
    <cellStyle name="Normal 63 2" xfId="1716" xr:uid="{805E05F7-6FFB-423A-90D6-C46D87078AA9}"/>
    <cellStyle name="Normal 64" xfId="1067" xr:uid="{A48B738A-8347-4F37-995D-7916E1939D0A}"/>
    <cellStyle name="Normal 64 2" xfId="1717" xr:uid="{56E4470C-6084-4F7A-9554-E0ABAD4A8EC3}"/>
    <cellStyle name="Normal 65" xfId="1070" xr:uid="{9D96492D-7C3E-461E-B4C7-84995AE7AC45}"/>
    <cellStyle name="Normal 65 2" xfId="1718" xr:uid="{EE41F07F-5E9B-42C0-98BD-E2E50A1CF438}"/>
    <cellStyle name="Normal 66" xfId="1073" xr:uid="{0992BE7C-0D32-4C4A-AF62-BE2CA80E4F7A}"/>
    <cellStyle name="Normal 66 2" xfId="1719" xr:uid="{C99DBBBA-FFD2-4090-9302-D4741F355E4C}"/>
    <cellStyle name="Normal 67" xfId="1076" xr:uid="{5FE76E1C-44AB-448D-B8FA-91FD628A320C}"/>
    <cellStyle name="Normal 67 2" xfId="1720" xr:uid="{A243B199-7E4B-41BF-8C02-6E4861A75B56}"/>
    <cellStyle name="Normal 68" xfId="1079" xr:uid="{D0C462F0-2EB1-4D5F-8F3F-1DD3890F4306}"/>
    <cellStyle name="Normal 68 2" xfId="1721" xr:uid="{558F597B-5F7D-4C0D-A8B5-C045F154BA33}"/>
    <cellStyle name="Normal 69" xfId="1082" xr:uid="{73A4460E-EE98-433B-B7DC-B22A4F7BEC7E}"/>
    <cellStyle name="Normal 69 2" xfId="1724" xr:uid="{64966AFF-3E30-4E03-BAAC-C4697C8CB6D5}"/>
    <cellStyle name="Normal 7" xfId="185" xr:uid="{D1E173A0-EF2D-4B76-A2FF-2D5694BDD9D0}"/>
    <cellStyle name="Normal 7 10" xfId="2573" xr:uid="{B8C618F9-52E7-4100-ADE3-3057557C14B6}"/>
    <cellStyle name="Normal 7 2" xfId="400" xr:uid="{31F4B001-0991-455B-91F3-1076428E2F7A}"/>
    <cellStyle name="Normal 7 2 2" xfId="2134" xr:uid="{E8910416-37D1-422F-945C-607315DEE8A2}"/>
    <cellStyle name="Normal 7 2 3" xfId="2233" xr:uid="{D29F0089-42FE-4449-9EF6-C1ABDC4EA3BC}"/>
    <cellStyle name="Normal 7 2 4" xfId="2324" xr:uid="{86B4E540-E113-4A94-B355-BD46943FD553}"/>
    <cellStyle name="Normal 7 2 5" xfId="2412" xr:uid="{65343CEC-6794-4E75-A9B5-E94C2EF646FF}"/>
    <cellStyle name="Normal 7 2 6" xfId="2523" xr:uid="{C7D64999-F674-4799-963A-249FE13EDC2F}"/>
    <cellStyle name="Normal 7 2 7" xfId="2614" xr:uid="{EB46C5DF-369B-4017-8CAE-5F2A33F38304}"/>
    <cellStyle name="Normal 7 3" xfId="399" xr:uid="{91837620-7E9F-4FC2-A2E4-71ADBC7625EB}"/>
    <cellStyle name="Normal 7 3 2" xfId="1947" xr:uid="{FC2BCB63-FF08-4CE5-9A58-719267DBA9D6}"/>
    <cellStyle name="Normal 7 4" xfId="1357" xr:uid="{11F1FBF0-F152-4FCC-B015-2F4F1B3239FB}"/>
    <cellStyle name="Normal 7 4 2" xfId="1993" xr:uid="{61B9768D-8AF0-4C8B-9BBD-7F73DB30DF77}"/>
    <cellStyle name="Normal 7 5" xfId="2133" xr:uid="{9F7DB5D0-DBCE-45B5-A8F0-C5BFFEF75AA7}"/>
    <cellStyle name="Normal 7 6" xfId="2232" xr:uid="{62AD3633-52B8-42CA-84FF-2994241782FE}"/>
    <cellStyle name="Normal 7 7" xfId="2323" xr:uid="{0ED5DA8C-D63B-4BB9-9B4D-AEB2812F43F5}"/>
    <cellStyle name="Normal 7 8" xfId="2411" xr:uid="{E19419A3-521E-4D45-9129-FCF31B9D570C}"/>
    <cellStyle name="Normal 7 9" xfId="2482" xr:uid="{D399AD09-5843-4C3D-85B5-06656A821BCD}"/>
    <cellStyle name="Normal 70" xfId="889" xr:uid="{650651ED-91F4-4E43-8136-91784CFB58F1}"/>
    <cellStyle name="Normal 70 2" xfId="890" xr:uid="{1BB647A5-4F86-4DF4-8DBB-605225E27CE8}"/>
    <cellStyle name="Normal 71" xfId="1085" xr:uid="{52A85639-3D50-4536-B353-1843B97CF71D}"/>
    <cellStyle name="Normal 71 2" xfId="1725" xr:uid="{833E37D6-DAE8-4339-BC3B-0FC40EF64BE0}"/>
    <cellStyle name="Normal 72" xfId="1088" xr:uid="{A2B35F17-599E-4B41-82FA-C7B19AD82341}"/>
    <cellStyle name="Normal 72 2" xfId="1726" xr:uid="{76CFB646-3524-403F-BD0C-361FF5FCC1A8}"/>
    <cellStyle name="Normal 73" xfId="1091" xr:uid="{4B5CF9DD-8256-4A5C-A962-174056103BEF}"/>
    <cellStyle name="Normal 73 2" xfId="1728" xr:uid="{58C83ED0-CB74-4D02-9D4B-F54529E8A500}"/>
    <cellStyle name="Normal 74" xfId="1094" xr:uid="{0B7F7908-3E79-407E-80E1-547918EECB08}"/>
    <cellStyle name="Normal 74 2" xfId="1729" xr:uid="{BE700282-5E71-4ADF-84E7-13D3A61C6380}"/>
    <cellStyle name="Normal 75" xfId="1097" xr:uid="{9A286490-B40A-4C6D-BB28-78E8CC3E1E31}"/>
    <cellStyle name="Normal 75 2" xfId="1730" xr:uid="{B9C081FF-D7CE-4294-AA75-07E0C1C11FA9}"/>
    <cellStyle name="Normal 76" xfId="1100" xr:uid="{EBA5B1A8-08B0-49EB-883D-1C3728AD760F}"/>
    <cellStyle name="Normal 76 2" xfId="1731" xr:uid="{BEF4CCD4-22FA-4778-A6BE-0B53B2F98454}"/>
    <cellStyle name="Normal 77" xfId="851" xr:uid="{3B3B0A8B-1DE0-42D1-8EA8-C4345A5210DC}"/>
    <cellStyle name="Normal 78" xfId="1103" xr:uid="{73F86AD9-AC51-492A-B39C-86A2B405297D}"/>
    <cellStyle name="Normal 78 2" xfId="1732" xr:uid="{967CD44F-97EF-4AA7-9488-3C4437146B9E}"/>
    <cellStyle name="Normal 79" xfId="1106" xr:uid="{39DC7624-8706-4DF1-94C6-C52F04001C74}"/>
    <cellStyle name="Normal 79 2" xfId="1733" xr:uid="{41427E68-8033-4319-BB35-882395136E87}"/>
    <cellStyle name="Normal 8" xfId="186" xr:uid="{DC2AA9CC-374D-4FDD-8D9B-BBB52E0CCDDC}"/>
    <cellStyle name="Normal 8 2" xfId="402" xr:uid="{665AC91A-D7D8-44F8-A440-70BD3EC1EDFA}"/>
    <cellStyle name="Normal 8 3" xfId="401" xr:uid="{C85A1908-E08E-4AB0-9CB3-EF3310990F99}"/>
    <cellStyle name="Normal 8 4" xfId="565" xr:uid="{BABC870E-FF43-44C2-9BDC-C38AA0F4ED56}"/>
    <cellStyle name="Normal 80" xfId="1109" xr:uid="{309158DC-35DF-4257-9889-2168008E587F}"/>
    <cellStyle name="Normal 80 2" xfId="1734" xr:uid="{F959370D-4AAF-49B1-B46C-1D1D9870A59A}"/>
    <cellStyle name="Normal 81" xfId="1053" xr:uid="{15431212-5BC9-41CE-964A-B525D25A2F98}"/>
    <cellStyle name="Normal 81 2" xfId="1735" xr:uid="{1E3FFB17-0E42-414C-9A95-1163E1DCCD0B}"/>
    <cellStyle name="Normal 82" xfId="1112" xr:uid="{53EF484B-318F-4932-9630-0D214B4C6BA7}"/>
    <cellStyle name="Normal 82 2" xfId="1736" xr:uid="{B0A6AB38-B02D-4346-ABE6-96D7F1318123}"/>
    <cellStyle name="Normal 83" xfId="1113" xr:uid="{54473581-F07F-4707-92F1-AC7179F09FFB}"/>
    <cellStyle name="Normal 83 2" xfId="1737" xr:uid="{EA886D13-1203-433A-8376-B1F09ECD870B}"/>
    <cellStyle name="Normal 84" xfId="1114" xr:uid="{20D5A06C-36E3-4069-8973-371BA6D727A5}"/>
    <cellStyle name="Normal 84 2" xfId="1738" xr:uid="{CB84D517-661C-4240-B591-55C6BFA92E4E}"/>
    <cellStyle name="Normal 85" xfId="1115" xr:uid="{DDA7FF40-2F13-4160-8FEE-D70FD6334A6B}"/>
    <cellStyle name="Normal 85 2" xfId="1760" xr:uid="{8EC1302A-73FB-40A7-AB43-FD027CCCD116}"/>
    <cellStyle name="Normal 86" xfId="1116" xr:uid="{1D77B151-9442-41B9-A936-2084C598EE0D}"/>
    <cellStyle name="Normal 86 2" xfId="1764" xr:uid="{AFE97CDE-1AE7-4A08-AEEE-97C602A28D41}"/>
    <cellStyle name="Normal 87" xfId="1117" xr:uid="{F54F9DFA-FCC7-483F-BE4A-D6D960BDA5B9}"/>
    <cellStyle name="Normal 87 2" xfId="1765" xr:uid="{2CB2511E-E364-4C8F-A04A-1E8A16548125}"/>
    <cellStyle name="Normal 88" xfId="1118" xr:uid="{6D4E8898-0C8D-4273-BF10-AFC858EDE619}"/>
    <cellStyle name="Normal 88 2" xfId="1766" xr:uid="{C1A6EAFA-76B5-4F5D-A9DD-FDF78507F810}"/>
    <cellStyle name="Normal 89" xfId="1121" xr:uid="{1F2C49C8-E166-4EEB-BADF-1DFE12220BB2}"/>
    <cellStyle name="Normal 89 2" xfId="1767" xr:uid="{EF4A153B-B7AC-4C8E-8085-92BE477CFD2A}"/>
    <cellStyle name="Normal 9" xfId="187" xr:uid="{7AF7D2FE-2D29-46DC-8C6D-C5CE3F54D8C6}"/>
    <cellStyle name="Normal 9 2" xfId="404" xr:uid="{48BE0595-540C-4529-A146-CF191DD49C4E}"/>
    <cellStyle name="Normal 9 3" xfId="403" xr:uid="{25A9FF4B-E1E1-41B0-B19E-C29A7343A629}"/>
    <cellStyle name="Normal 90" xfId="1124" xr:uid="{743C3EC5-C48F-4F36-B94C-95008A955511}"/>
    <cellStyle name="Normal 90 2" xfId="1768" xr:uid="{1F0C1331-60CC-45C4-B4D2-630E4F737CC4}"/>
    <cellStyle name="Normal 91" xfId="1127" xr:uid="{D2ECBB00-EC6E-4C11-BDE5-A964E1F66483}"/>
    <cellStyle name="Normal 91 2" xfId="1769" xr:uid="{310AAC43-E04B-4B22-A59E-DB466E9E5DBC}"/>
    <cellStyle name="Normal 92" xfId="1130" xr:uid="{651497AE-58C7-4966-B3DD-3AE811C8E42F}"/>
    <cellStyle name="Normal 92 2" xfId="1770" xr:uid="{54D21DFB-9D85-495F-B12A-22A90015EE01}"/>
    <cellStyle name="Normal 93" xfId="1133" xr:uid="{297BE75E-3AD0-4A1C-9539-D3FE32FFE8E7}"/>
    <cellStyle name="Normal 93 2" xfId="1771" xr:uid="{A97C75BE-D52F-4E54-B9EE-D12199BD4935}"/>
    <cellStyle name="Normal 94" xfId="1136" xr:uid="{E71E7425-F206-4E6A-9B61-8FD78D17A103}"/>
    <cellStyle name="Normal 94 2" xfId="1772" xr:uid="{0A79636A-F15A-4BFB-9994-659310ECBF68}"/>
    <cellStyle name="Normal 95" xfId="1139" xr:uid="{0F1B732E-3EE3-4937-9640-1CA680599E5E}"/>
    <cellStyle name="Normal 95 2" xfId="1773" xr:uid="{2CDF73F6-6C61-49D7-91B3-EF61208F5C50}"/>
    <cellStyle name="Normal 96" xfId="1142" xr:uid="{A8B75149-27CB-41BA-9C9C-C418868F9982}"/>
    <cellStyle name="Normal 96 2" xfId="1774" xr:uid="{50313DCE-B750-4625-B61A-8D4CBAA2C4EC}"/>
    <cellStyle name="Normal 97" xfId="1145" xr:uid="{CC23F7E5-4033-450F-AAF1-C4275C69D127}"/>
    <cellStyle name="Normal 97 2" xfId="1775" xr:uid="{671431A1-90A5-4ABD-A611-6D1BFCFB9B95}"/>
    <cellStyle name="Normal 98" xfId="1148" xr:uid="{0C0B4C8A-621C-474E-9433-3AD1323CF549}"/>
    <cellStyle name="Normal 98 2" xfId="1778" xr:uid="{E846234C-D23F-4954-8C23-ECF3A02E58ED}"/>
    <cellStyle name="Normal 99" xfId="1151" xr:uid="{2A7B4DFD-0404-475B-888E-9ECF82E02D41}"/>
    <cellStyle name="Normal 99 2" xfId="1779" xr:uid="{6F8E0939-84FE-4D0D-A14D-C61AD606EADD}"/>
    <cellStyle name="Normal_1997" xfId="1280" xr:uid="{32283277-FD1E-4F46-B745-B7EF4AA35796}"/>
    <cellStyle name="Normal_E&amp;W 98" xfId="1277" xr:uid="{F0F5C3EE-0D35-4E51-A9A9-3674EC9B247A}"/>
    <cellStyle name="Normal_Fiscal Tables" xfId="419" xr:uid="{0E012AC0-AB32-4E44-B83D-EA87041B7EA7}"/>
    <cellStyle name="Normal_GB1981" xfId="1279" xr:uid="{7B904964-C6C7-4D57-9279-3EDA68CF7E86}"/>
    <cellStyle name="Normal_N Ireland" xfId="1281" xr:uid="{6D72BAD7-DE45-4EAE-871A-7E5CF4C23D3E}"/>
    <cellStyle name="Normal_PESA 2008 Chapter 9 Tables (Web)" xfId="1315" xr:uid="{D68570BF-2DA7-466B-AA8A-48A57FADE20D}"/>
    <cellStyle name="Normal_PESA 2008 Chapter 9 Tables (Web) 2" xfId="1304" xr:uid="{C1AE8506-8A52-45EF-B836-46F673A044E0}"/>
    <cellStyle name="Normal_Schedule 5" xfId="2636" xr:uid="{5A02D55E-3525-48D4-B0D6-C18A4DF925E5}"/>
    <cellStyle name="Normal_Sheet1" xfId="1049" xr:uid="{C9E558F9-6ECE-490D-832B-40A67C61B5BD}"/>
    <cellStyle name="Normal_UK93U" xfId="1278" xr:uid="{3B1FB0B8-C335-4DBE-BD3B-DF3732ACB4EE}"/>
    <cellStyle name="Note 2" xfId="188" xr:uid="{48F043C8-0683-4E3E-AF69-BD66E4AA2E1D}"/>
    <cellStyle name="Note 2 10" xfId="1994" xr:uid="{7AAEC85F-BF74-43AA-8350-907C81FDF4F3}"/>
    <cellStyle name="Note 2 11" xfId="2016" xr:uid="{05B83758-EEF0-48CD-BF82-63DB87594C99}"/>
    <cellStyle name="Note 2 12" xfId="2037" xr:uid="{125774C7-77AC-45B6-B285-032AE8D6C14A}"/>
    <cellStyle name="Note 2 13" xfId="2135" xr:uid="{1515B1B1-06B7-42B8-924A-9FA8B248DEC3}"/>
    <cellStyle name="Note 2 14" xfId="2234" xr:uid="{5BF14972-7A73-4359-82AD-B2EAF77FB39A}"/>
    <cellStyle name="Note 2 15" xfId="2325" xr:uid="{E9046120-C7B1-434D-859C-CA771635C7E3}"/>
    <cellStyle name="Note 2 16" xfId="2413" xr:uid="{667E436D-A7C9-40C3-975C-560C00794EA4}"/>
    <cellStyle name="Note 2 17" xfId="2432" xr:uid="{12FD48BB-027C-46DD-BEC4-68CBC789110E}"/>
    <cellStyle name="Note 2 18" xfId="2460" xr:uid="{80D50D34-5420-4B65-BEC8-64D125634365}"/>
    <cellStyle name="Note 2 19" xfId="2551" xr:uid="{2FE49F76-19CB-449E-8668-71FCF8B3B6C8}"/>
    <cellStyle name="Note 2 2" xfId="405" xr:uid="{60265A32-6786-4620-94C4-9D7031D40F6A}"/>
    <cellStyle name="Note 2 2 2" xfId="975" xr:uid="{9AA93676-483A-4031-966A-583095AA2BBA}"/>
    <cellStyle name="Note 2 2 3" xfId="569" xr:uid="{ADE28065-A666-41DE-8BE8-8C8F90A2DCA3}"/>
    <cellStyle name="Note 2 2 3 2" xfId="2235" xr:uid="{E46C8E8B-EC7C-46FC-9215-4AF88F3B12A9}"/>
    <cellStyle name="Note 2 2 4" xfId="723" xr:uid="{F9C1F7B4-199E-4F5A-BBDA-D78903F7DFE4}"/>
    <cellStyle name="Note 2 2 4 2" xfId="2326" xr:uid="{78090AF8-4051-44B0-96FD-9196125C23A3}"/>
    <cellStyle name="Note 2 2 5" xfId="2414" xr:uid="{E2C87837-6BFD-41F4-8410-52C7FEF3C617}"/>
    <cellStyle name="Note 2 2 6" xfId="2524" xr:uid="{2AFC4524-1069-43BB-A497-0906345E1078}"/>
    <cellStyle name="Note 2 2 7" xfId="2615" xr:uid="{7CF6B795-CCBD-4ED9-B59A-417EBAD0463A}"/>
    <cellStyle name="Note 2 2 8" xfId="1605" xr:uid="{0CC9AB3E-6C83-4E91-A2CA-0539556022C6}"/>
    <cellStyle name="Note 2 2 9" xfId="2617" xr:uid="{6894857B-1EDF-45CE-92FF-0C23D83DA96C}"/>
    <cellStyle name="Note 2 20" xfId="1488" xr:uid="{828295B8-7FAE-4C48-B18B-9C02F498C6CE}"/>
    <cellStyle name="Note 2 3" xfId="784" xr:uid="{F34D686F-90C9-4238-8D3B-E8AFD939E01F}"/>
    <cellStyle name="Note 2 3 2" xfId="1028" xr:uid="{1CCF5899-1216-4D89-B3DD-D570D5FF9F7D}"/>
    <cellStyle name="Note 2 3 3" xfId="1683" xr:uid="{8BCF51B5-CF1A-4534-889D-3A0A80AFFB8C}"/>
    <cellStyle name="Note 2 4" xfId="526" xr:uid="{1D1DCA7C-DC17-49F2-8D7B-CF2354D35464}"/>
    <cellStyle name="Note 2 4 2" xfId="1702" xr:uid="{73FED6FF-7989-45D7-A8C0-5AD3081B1E8E}"/>
    <cellStyle name="Note 2 5" xfId="820" xr:uid="{8C6C8558-0C64-47D4-99F0-9B906E93CFCB}"/>
    <cellStyle name="Note 2 5 2" xfId="1759" xr:uid="{69534C19-9CE5-4950-91AE-CE7618B7B38D}"/>
    <cellStyle name="Note 2 6" xfId="1339" xr:uid="{13575482-8679-4FDF-A123-AB6AB9088A1A}"/>
    <cellStyle name="Note 2 6 2" xfId="1807" xr:uid="{2D4DD0D1-3F71-4A50-868D-3AF95D56D256}"/>
    <cellStyle name="Note 2 7" xfId="1836" xr:uid="{40397085-3F20-4E3B-B103-3A0C14679D52}"/>
    <cellStyle name="Note 2 8" xfId="1878" xr:uid="{02A54C88-E248-43E8-8F8D-48ABE682DFAD}"/>
    <cellStyle name="Note 2 9" xfId="1948" xr:uid="{689D0819-277C-40C6-9DBF-B9BCC471778E}"/>
    <cellStyle name="Note 3" xfId="783" xr:uid="{84B6DEB8-FBA3-4481-B3AB-0A1594A2746F}"/>
    <cellStyle name="Note 3 2" xfId="1027" xr:uid="{D30C80F0-1AA1-4E81-B588-3B8975AF5408}"/>
    <cellStyle name="Note 3 2 2" xfId="2137" xr:uid="{AF6D53CB-F931-4251-9E31-982290972F77}"/>
    <cellStyle name="Note 3 2 3" xfId="2237" xr:uid="{D7F9A95E-8BA6-4BC4-8AB4-F5707E65F4C9}"/>
    <cellStyle name="Note 3 2 4" xfId="2328" xr:uid="{5631E601-4C04-4FE1-A058-A0F574F8C92D}"/>
    <cellStyle name="Note 3 2 5" xfId="2416" xr:uid="{70CC9052-33E3-477C-864D-2F8434066C99}"/>
    <cellStyle name="Note 3 2 6" xfId="2525" xr:uid="{DAD46370-7C57-4367-A3B0-69DE56A9E231}"/>
    <cellStyle name="Note 3 2 7" xfId="2616" xr:uid="{A082078B-6838-497A-BC93-8666491523EA}"/>
    <cellStyle name="Note 3 2 8" xfId="1995" xr:uid="{9DEC8583-2C92-4131-87EC-4CD7DF56F95C}"/>
    <cellStyle name="Note 3 3" xfId="2136" xr:uid="{1E4B11BB-979F-4284-B1E0-9718679940DC}"/>
    <cellStyle name="Note 3 4" xfId="2236" xr:uid="{F20C40BF-DC49-4842-ACAF-CB31BA965AB5}"/>
    <cellStyle name="Note 3 5" xfId="2327" xr:uid="{FB7834C3-A039-4C76-A774-B866D5BDCC85}"/>
    <cellStyle name="Note 3 6" xfId="2415" xr:uid="{E3D00796-AEA2-403E-8072-41E306A96A64}"/>
    <cellStyle name="Note 3 7" xfId="2462" xr:uid="{8B47F7AB-274B-441A-BA0E-9E1F02F41158}"/>
    <cellStyle name="Note 3 8" xfId="2553" xr:uid="{3443FE2D-4AEA-4015-BA1E-30C4D35EABAB}"/>
    <cellStyle name="Note 3 9" xfId="1949" xr:uid="{8AF94AD4-6F1A-4C57-B11A-439EF85BB027}"/>
    <cellStyle name="Note 4" xfId="1316" xr:uid="{D0775A02-6D15-49F6-B829-E326D5F9E572}"/>
    <cellStyle name="Note 5" xfId="1331" xr:uid="{F0FA5303-6449-43EE-A45F-ACF87115A658}"/>
    <cellStyle name="Note 6" xfId="1408" xr:uid="{4E6B5A57-2223-4D9F-8071-1A9D6AA4BB75}"/>
    <cellStyle name="Note 7" xfId="1487" xr:uid="{41FB291E-9FAC-4EBB-9366-279321940B04}"/>
    <cellStyle name="Option" xfId="785" xr:uid="{9F058188-07CB-4A0B-85BA-B5CBC95D2293}"/>
    <cellStyle name="OptionHeading" xfId="786" xr:uid="{A56033DA-C72E-4DCB-88AC-65D7E6456CDD}"/>
    <cellStyle name="OptionHeading2" xfId="787" xr:uid="{114EC3E4-1694-4F17-89A9-43879F9DA68D}"/>
    <cellStyle name="Output 2" xfId="189" xr:uid="{69222F1B-95BF-443E-AB21-B7F36D4F0217}"/>
    <cellStyle name="Output 2 2" xfId="527" xr:uid="{293298D1-3A57-413B-AD7A-440166047B11}"/>
    <cellStyle name="Output 2 3" xfId="1340" xr:uid="{2B96F9B3-0ACA-415E-972E-8B1D2536BC3F}"/>
    <cellStyle name="Output 3" xfId="976" xr:uid="{C98A10F0-A1E9-4D71-8E53-55B4F61B77FE}"/>
    <cellStyle name="Output 4" xfId="1317" xr:uid="{ABC39932-1695-44B2-8200-7EF324A03367}"/>
    <cellStyle name="Output 5" xfId="1403" xr:uid="{611DB4FC-C40D-4F98-BFD7-16760EA571E7}"/>
    <cellStyle name="Output Amounts" xfId="190" xr:uid="{92D6CEC8-D479-46E3-8DF6-C36C5C12AFA7}"/>
    <cellStyle name="Output Column Headings" xfId="191" xr:uid="{421DC1CB-9036-4DA4-A5DC-1CF357B9C406}"/>
    <cellStyle name="Output Line Items" xfId="192" xr:uid="{74A82284-B016-40A3-AEBA-3CDDC5C52F19}"/>
    <cellStyle name="Output Report Heading" xfId="193" xr:uid="{F47A9033-E4E0-4CAD-BC89-0AEA3884AC64}"/>
    <cellStyle name="Output Report Title" xfId="194" xr:uid="{7C8CFBB2-F243-4D03-A963-DDA3BE48EF66}"/>
    <cellStyle name="P" xfId="195" xr:uid="{9B7DC626-C68C-41C6-B4C0-230491720E97}"/>
    <cellStyle name="P 2" xfId="196" xr:uid="{EEFA0DD0-39E6-4978-8E70-384A03DE1B1A}"/>
    <cellStyle name="P 2 2" xfId="1607" xr:uid="{E56ABF2E-D5B7-4B7B-9DF4-E62438917A82}"/>
    <cellStyle name="P 3" xfId="1606" xr:uid="{A1F3CD06-C942-4502-9D2A-D8803A49CD3F}"/>
    <cellStyle name="Page Number" xfId="788" xr:uid="{EA775F75-D006-4B47-AEA3-6A728089555E}"/>
    <cellStyle name="Percent" xfId="10" builtinId="5"/>
    <cellStyle name="Percent [0]" xfId="790" xr:uid="{3BC4F019-AA53-4E68-96F5-5D105965A0CE}"/>
    <cellStyle name="Percent [0] 2" xfId="1503" xr:uid="{08977172-5EAB-49EE-B428-F231FF9D8AAC}"/>
    <cellStyle name="Percent [2]" xfId="197" xr:uid="{63CF0CF9-9090-47C2-99B7-F42C480C75ED}"/>
    <cellStyle name="Percent [2] 2" xfId="1608" xr:uid="{30EFA7EB-C290-43EE-B06D-3F3440528E6E}"/>
    <cellStyle name="Percent 10" xfId="977" xr:uid="{D6A6871E-019A-4002-944F-7C9D7AD16D52}"/>
    <cellStyle name="Percent 100" xfId="1501" xr:uid="{1CCB81F2-A836-4012-B1C7-3900B5386BA4}"/>
    <cellStyle name="Percent 11" xfId="978" xr:uid="{98A5D5FA-1680-472B-ACE0-4287C548526C}"/>
    <cellStyle name="Percent 12" xfId="979" xr:uid="{8411B2CB-A4C7-4A4C-AF46-ECAB99ADFB6C}"/>
    <cellStyle name="Percent 13" xfId="980" xr:uid="{3BB3E935-F0B1-4593-867B-217561A1DEB9}"/>
    <cellStyle name="Percent 14" xfId="981" xr:uid="{1C8DB6DF-D4FA-4FB2-8D79-2EC60BDDFDB7}"/>
    <cellStyle name="Percent 15" xfId="997" xr:uid="{474F14C9-532E-4E09-BC8D-6F14C9E93138}"/>
    <cellStyle name="Percent 16" xfId="998" xr:uid="{89CA9F12-C493-42DF-A1E4-48A3C6A2BFA1}"/>
    <cellStyle name="Percent 17" xfId="999" xr:uid="{8DA1C2B0-3BA2-4256-A9A1-796640E27CAA}"/>
    <cellStyle name="Percent 18" xfId="1000" xr:uid="{EF2B2903-CC67-4DF9-A585-5083E4B2499E}"/>
    <cellStyle name="Percent 19" xfId="1004" xr:uid="{1A3C5D68-925B-41A8-9BF4-3B399408A06F}"/>
    <cellStyle name="Percent 19 2" xfId="498" xr:uid="{8CA62E19-5392-4D3E-AAEE-E4A114313E69}"/>
    <cellStyle name="Percent 2" xfId="3" xr:uid="{B445358A-B49B-403F-AB93-CD3F67F2E64E}"/>
    <cellStyle name="Percent 2 2" xfId="5" xr:uid="{CC9BE364-B374-48AC-A0FD-9D2C0BC56A7D}"/>
    <cellStyle name="Percent 2 2 2" xfId="982" xr:uid="{97683F40-82C1-41D6-ADF9-53BCCE4375FA}"/>
    <cellStyle name="Percent 2 2 3" xfId="791" xr:uid="{55D2C5C6-B22F-41BB-8F1D-102EC5808F06}"/>
    <cellStyle name="Percent 2 3" xfId="431" xr:uid="{A5512335-F0F7-4EDA-A324-71703770621F}"/>
    <cellStyle name="Percent 2 3 2" xfId="501" xr:uid="{126D382A-DD87-490C-B2CE-70D182969FC1}"/>
    <cellStyle name="Percent 2 4" xfId="497" xr:uid="{38711B55-7526-4EFA-8786-8C2DD6A43C62}"/>
    <cellStyle name="Percent 20" xfId="1008" xr:uid="{C7123D02-01FA-4A8F-AB73-D33D4C8DF868}"/>
    <cellStyle name="Percent 21" xfId="1012" xr:uid="{B568B62F-8F98-4586-8A5F-438091706586}"/>
    <cellStyle name="Percent 22" xfId="1016" xr:uid="{4BD7D822-6351-49D2-98AC-D4F2A359951E}"/>
    <cellStyle name="Percent 23" xfId="1017" xr:uid="{CBE04B77-8740-4FA3-AE05-F6E21D9DEB53}"/>
    <cellStyle name="Percent 24" xfId="789" xr:uid="{1DD400EA-A978-4DD1-B886-924575330552}"/>
    <cellStyle name="Percent 25" xfId="1050" xr:uid="{D12D3B98-1FB4-4587-B496-249D7C59828D}"/>
    <cellStyle name="Percent 26" xfId="1056" xr:uid="{685962BC-4E0C-4046-B2D2-5CC46FEC7514}"/>
    <cellStyle name="Percent 27" xfId="1059" xr:uid="{172831E0-9AF2-47F9-87BE-148B13E54A9B}"/>
    <cellStyle name="Percent 28" xfId="1062" xr:uid="{9693FE3B-745A-4BA3-A720-54BA6F24B549}"/>
    <cellStyle name="Percent 29" xfId="1065" xr:uid="{8BA7DB30-5138-4019-8FCF-061CE154181C}"/>
    <cellStyle name="Percent 3" xfId="198" xr:uid="{B5437DDE-987B-4590-A69B-2CA35D33A1D6}"/>
    <cellStyle name="Percent 3 2" xfId="199" xr:uid="{639FC7D5-E2E8-4C8B-8D67-B381732C0624}"/>
    <cellStyle name="Percent 3 2 2" xfId="792" xr:uid="{AA649DFF-3EEE-454C-808A-F56E119CCDEC}"/>
    <cellStyle name="Percent 3 2 3" xfId="1610" xr:uid="{DE661676-AAEE-4D86-B7E0-1255F4748606}"/>
    <cellStyle name="Percent 3 3" xfId="793" xr:uid="{2965A894-31B7-4107-AB3B-9D6E283CDE41}"/>
    <cellStyle name="Percent 3 4" xfId="1609" xr:uid="{98330539-C6AE-4A63-BED9-69148BBC2E46}"/>
    <cellStyle name="Percent 30" xfId="1068" xr:uid="{C405A9F1-767E-4666-9664-3D3FA7C2CF09}"/>
    <cellStyle name="Percent 31" xfId="1071" xr:uid="{418293BD-091C-4B9E-BF2F-225C5B59EB82}"/>
    <cellStyle name="Percent 32" xfId="1074" xr:uid="{5E2CA3CB-7ECF-42A5-A006-2075C67FF97D}"/>
    <cellStyle name="Percent 33" xfId="1077" xr:uid="{75B1BAA6-03ED-4492-B433-F48804C2822B}"/>
    <cellStyle name="Percent 34" xfId="1080" xr:uid="{D7DD6972-6EBA-4CBF-A9C8-9D13D470CDF8}"/>
    <cellStyle name="Percent 35" xfId="1083" xr:uid="{87C8FE76-5DB7-49AD-B817-D6F9925D41A9}"/>
    <cellStyle name="Percent 36" xfId="1086" xr:uid="{C16A6D8D-F29E-4591-8792-5595284EB8F3}"/>
    <cellStyle name="Percent 37" xfId="1089" xr:uid="{73C6992A-8001-4A48-8DA4-D4B0AC988115}"/>
    <cellStyle name="Percent 38" xfId="1092" xr:uid="{903B6870-42D9-4E37-B95B-E6EB6110DDD0}"/>
    <cellStyle name="Percent 39" xfId="1095" xr:uid="{FCD9EA53-BBAE-4719-8C33-58C56563064A}"/>
    <cellStyle name="Percent 4" xfId="200" xr:uid="{94AC95B8-FAA9-47A2-9DB9-5902C29D4700}"/>
    <cellStyle name="Percent 4 2" xfId="201" xr:uid="{45F20405-1E70-4398-B1E1-C00560451CB8}"/>
    <cellStyle name="Percent 4 2 2" xfId="1612" xr:uid="{FC1D0DB5-5257-406C-A5DC-4A60F32C2560}"/>
    <cellStyle name="Percent 4 3" xfId="1611" xr:uid="{0094AC66-FB78-4D97-8954-4DC396C14DB0}"/>
    <cellStyle name="Percent 40" xfId="1098" xr:uid="{734CD7C7-B3A5-426E-AFF0-6226176962F1}"/>
    <cellStyle name="Percent 41" xfId="1101" xr:uid="{A77CFF79-AEA0-4876-99A4-7190F5F29320}"/>
    <cellStyle name="Percent 42" xfId="1104" xr:uid="{17CC99E0-EE53-4161-8E57-4260AF482BAF}"/>
    <cellStyle name="Percent 43" xfId="1107" xr:uid="{E7B0443E-4BE4-4E7D-B0E0-8893E6F1E329}"/>
    <cellStyle name="Percent 44" xfId="1110" xr:uid="{1327E03E-7F1D-4CA2-9217-2F7905B28070}"/>
    <cellStyle name="Percent 45" xfId="1111" xr:uid="{B1E2A4E3-A861-4D8A-BB81-B676E89E9AEC}"/>
    <cellStyle name="Percent 46" xfId="1122" xr:uid="{E644AB1E-82F7-45A6-AD2C-9D71B14539EF}"/>
    <cellStyle name="Percent 47" xfId="1125" xr:uid="{FD4A07DF-6DF3-4797-B783-F7A63E3E4433}"/>
    <cellStyle name="Percent 48" xfId="1128" xr:uid="{3B58AF52-68EE-4C14-972A-002D0FE9BE68}"/>
    <cellStyle name="Percent 49" xfId="1131" xr:uid="{38A87739-4085-44BB-AC40-D05BCEC7A1AA}"/>
    <cellStyle name="Percent 5" xfId="202" xr:uid="{37FA76DC-034A-419E-BAB6-69D20790987A}"/>
    <cellStyle name="Percent 5 2" xfId="1613" xr:uid="{C4C5365D-B38C-43A7-B581-E074B3CBC224}"/>
    <cellStyle name="Percent 50" xfId="1134" xr:uid="{6A4BCA96-38A4-4757-B8FF-1F5D4C8B6049}"/>
    <cellStyle name="Percent 51" xfId="1137" xr:uid="{DBC1B0F6-C7C2-4C21-AFF5-E287578641B6}"/>
    <cellStyle name="Percent 52" xfId="1140" xr:uid="{D46131C8-3FAC-4FD3-89D9-0BF9F8D181DA}"/>
    <cellStyle name="Percent 53" xfId="1143" xr:uid="{DCBAD236-5BE5-40CA-9560-D0580B027F3D}"/>
    <cellStyle name="Percent 54" xfId="1146" xr:uid="{E0B5D5F7-DE71-4C30-A101-30F5A670961F}"/>
    <cellStyle name="Percent 55" xfId="1149" xr:uid="{FB050427-34AA-46AF-BAB7-91A4C8F8036D}"/>
    <cellStyle name="Percent 56" xfId="1152" xr:uid="{EBB0B995-E254-4361-BA54-55B63F114B6D}"/>
    <cellStyle name="Percent 57" xfId="1155" xr:uid="{2A32B201-0679-45E4-AF85-5E36568D50F1}"/>
    <cellStyle name="Percent 58" xfId="1158" xr:uid="{0C85B1BA-D124-455F-A85A-607A827E3926}"/>
    <cellStyle name="Percent 59" xfId="1161" xr:uid="{518AE822-057F-4BA4-A99E-A4C222BBBE63}"/>
    <cellStyle name="Percent 6" xfId="203" xr:uid="{D7DC6712-C8E5-461D-9049-468EA2374651}"/>
    <cellStyle name="Percent 6 2" xfId="891" xr:uid="{F18EB18F-C240-445B-904B-3A961F3D35F4}"/>
    <cellStyle name="Percent 60" xfId="1164" xr:uid="{7A7B4F99-D8F9-44F7-9DCE-D2132481FB76}"/>
    <cellStyle name="Percent 61" xfId="1167" xr:uid="{DE3A7A80-6178-4809-93AD-F1C35EE85E80}"/>
    <cellStyle name="Percent 62" xfId="1170" xr:uid="{C71C18D5-61B5-448F-A946-6F864A8154AE}"/>
    <cellStyle name="Percent 63" xfId="1173" xr:uid="{80724F61-2786-4FBE-AEF1-8AF2FE554BB9}"/>
    <cellStyle name="Percent 64" xfId="1176" xr:uid="{44C33A4D-3335-4A30-A938-5EA2CEC75E8B}"/>
    <cellStyle name="Percent 65" xfId="1179" xr:uid="{2DF61FBE-2498-498D-B70F-8B0ADF3FB1F5}"/>
    <cellStyle name="Percent 66" xfId="1182" xr:uid="{A39BAA50-CCC0-4134-AC55-EF62C5A4F752}"/>
    <cellStyle name="Percent 67" xfId="1185" xr:uid="{574C3DA6-ECD4-4BF0-8E3A-245F32F9DEB3}"/>
    <cellStyle name="Percent 68" xfId="1188" xr:uid="{7AD488ED-7A03-488E-8225-B36154D036EE}"/>
    <cellStyle name="Percent 69" xfId="1191" xr:uid="{AAF1D26D-43CD-4F0C-8E3D-1FC646BA5BA8}"/>
    <cellStyle name="Percent 7" xfId="204" xr:uid="{E7C07DC3-1809-439B-AF5C-B91148960014}"/>
    <cellStyle name="Percent 7 2" xfId="898" xr:uid="{2017D29E-97C6-4E58-8B1C-14E6907DBFFE}"/>
    <cellStyle name="Percent 70" xfId="1194" xr:uid="{7671C10A-B57B-4B30-A32D-15D3E3F00984}"/>
    <cellStyle name="Percent 71" xfId="1197" xr:uid="{C75B232C-F763-4971-8A11-1684531F0A1A}"/>
    <cellStyle name="Percent 72" xfId="1200" xr:uid="{B04F80B5-7072-45F2-9646-88EEA46B9E1E}"/>
    <cellStyle name="Percent 73" xfId="1203" xr:uid="{095255A6-60AB-4781-9AA7-BCCA7C1FC099}"/>
    <cellStyle name="Percent 74" xfId="1206" xr:uid="{811B518F-D8C7-41E6-B074-6CD62A0C038A}"/>
    <cellStyle name="Percent 75" xfId="1209" xr:uid="{B562FB89-13FF-4863-98A2-87E9E666E4F6}"/>
    <cellStyle name="Percent 76" xfId="1212" xr:uid="{5C1669FB-A3A4-48AC-B809-42EBA4A2D274}"/>
    <cellStyle name="Percent 77" xfId="1215" xr:uid="{078096F9-1927-445B-902B-76E774E251AE}"/>
    <cellStyle name="Percent 78" xfId="1218" xr:uid="{D28E4866-7887-420C-BE83-DF2292DBD846}"/>
    <cellStyle name="Percent 79" xfId="1221" xr:uid="{0E0DBF32-8C94-4761-A869-379A834B53CB}"/>
    <cellStyle name="Percent 8" xfId="406" xr:uid="{E143919D-D661-4B93-B8A9-7B02A29BE91D}"/>
    <cellStyle name="Percent 8 2" xfId="903" xr:uid="{52336BC7-172A-4380-845A-AAD5AA37A269}"/>
    <cellStyle name="Percent 80" xfId="1224" xr:uid="{5D50A501-6163-4680-8CFB-AAAFD7896544}"/>
    <cellStyle name="Percent 81" xfId="1227" xr:uid="{C5EFC199-6E9E-4287-A67B-A3FB1AAFEB8B}"/>
    <cellStyle name="Percent 82" xfId="1230" xr:uid="{1CC41B11-0558-44EF-B7E8-23F41E8FDE47}"/>
    <cellStyle name="Percent 83" xfId="1233" xr:uid="{1EFDE458-27E9-4B17-8DE0-EBB2E4C193C1}"/>
    <cellStyle name="Percent 84" xfId="1236" xr:uid="{C8B1590D-A238-4279-BD4C-9ED44F2A5023}"/>
    <cellStyle name="Percent 85" xfId="1239" xr:uid="{BEE4D61C-4831-462D-B229-8F008FC64BA5}"/>
    <cellStyle name="Percent 86" xfId="1242" xr:uid="{212C3C8D-606A-424F-8267-99010DA68F3A}"/>
    <cellStyle name="Percent 87" xfId="1245" xr:uid="{3C83F43B-605A-494C-80A1-A8390EFE51A5}"/>
    <cellStyle name="Percent 88" xfId="1248" xr:uid="{03943267-17A7-48E9-B950-B33DE8082799}"/>
    <cellStyle name="Percent 89" xfId="1251" xr:uid="{60C8137A-92FA-4D77-AFB3-3DB8A9A2D567}"/>
    <cellStyle name="Percent 9" xfId="432" xr:uid="{3E384D34-57BE-4E04-AD00-F17DB2A193BB}"/>
    <cellStyle name="Percent 9 2" xfId="983" xr:uid="{4E114C1D-D2A3-4BA1-B76A-2115AF40D0C2}"/>
    <cellStyle name="Percent 90" xfId="1254" xr:uid="{67FDCFE4-F63A-4A18-8A26-556DB73DD6E6}"/>
    <cellStyle name="Percent 91" xfId="1257" xr:uid="{F78B94E6-1818-4BBF-9F95-571CDD5CFC21}"/>
    <cellStyle name="Percent 92" xfId="1260" xr:uid="{DBA59822-3893-445F-BD04-8412915F023E}"/>
    <cellStyle name="Percent 93" xfId="1263" xr:uid="{8BB3B2C4-7F9F-49C4-BAA0-275004436820}"/>
    <cellStyle name="Percent 94" xfId="1266" xr:uid="{5A704347-F07D-426D-895F-0A9F7108829A}"/>
    <cellStyle name="Percent 95" xfId="1269" xr:uid="{002F708D-51A3-4ED6-9D66-748B9FAF7C45}"/>
    <cellStyle name="Percent 96" xfId="1272" xr:uid="{BEEB0E6F-3144-461D-93F0-968CBEC64FF9}"/>
    <cellStyle name="Percent 97" xfId="1275" xr:uid="{2628B229-36CB-48E2-8547-5719A0AA6838}"/>
    <cellStyle name="Percent 98" xfId="1276" xr:uid="{43484353-83E4-48A3-9144-401C392AB505}"/>
    <cellStyle name="Percent 99" xfId="1514" xr:uid="{0D218C1F-33E2-4AF1-972A-641F7023649E}"/>
    <cellStyle name="Percent*" xfId="794" xr:uid="{53C6C973-3332-469D-9B63-4AD9C324A132}"/>
    <cellStyle name="Percent.0" xfId="795" xr:uid="{486A0B3B-B734-409B-9914-D082B85B29D5}"/>
    <cellStyle name="Percent.0 2" xfId="1029" xr:uid="{44EFB265-8C98-43D6-A222-CB9376C3C225}"/>
    <cellStyle name="Percent.0 3" xfId="1504" xr:uid="{F687320C-71EE-4C5E-94F1-FB00D5D8FD3E}"/>
    <cellStyle name="Percent.0 4" xfId="1491" xr:uid="{1A5AB343-006A-4FCA-AC1B-E44BEB5FB60C}"/>
    <cellStyle name="Percent.00" xfId="796" xr:uid="{1DC97522-4231-4666-8A12-E246D5DE3544}"/>
    <cellStyle name="Percent.00 2" xfId="1030" xr:uid="{A4D0CE39-0DD1-405B-9F3E-FE1AA33D55D4}"/>
    <cellStyle name="Percent.00 3" xfId="1505" xr:uid="{3565CE39-F624-426D-AE73-821A5251F60E}"/>
    <cellStyle name="Percent.00 4" xfId="1492" xr:uid="{0DE2AF96-12A2-4707-8874-0D3E9AA5888E}"/>
    <cellStyle name="Price" xfId="797" xr:uid="{448587E1-547F-407D-B120-501328A67E79}"/>
    <cellStyle name="ProductClass" xfId="798" xr:uid="{678E2F5A-FA9F-4990-9CA9-C907C2C69AC3}"/>
    <cellStyle name="ProductType" xfId="799" xr:uid="{B788BEAD-EBBD-4F85-AD16-CC5C78C2CD39}"/>
    <cellStyle name="ProductType 2" xfId="1614" xr:uid="{E8527EB6-651F-4CAB-81F7-C198E25EA8C5}"/>
    <cellStyle name="QvB" xfId="800" xr:uid="{53577FBD-5656-486E-B123-2FBB7050CA1F}"/>
    <cellStyle name="RebateValue" xfId="801" xr:uid="{5C6C77D3-29BB-40FF-AD15-884D4E3DBCC1}"/>
    <cellStyle name="RebateValue 2" xfId="1615" xr:uid="{878D4C37-DBF4-4390-B5F9-75C492F3A3DB}"/>
    <cellStyle name="Refdb standard" xfId="205" xr:uid="{9312132D-DA97-49BA-B1BC-B5C845DDB062}"/>
    <cellStyle name="Refdb standard 2" xfId="1616" xr:uid="{EEE55A7A-40A3-4CC4-87C8-28F1953A1B20}"/>
    <cellStyle name="ReportData" xfId="206" xr:uid="{B3CD2241-19C5-4D8D-8FDA-1FF391B7ADED}"/>
    <cellStyle name="ReportElements" xfId="207" xr:uid="{BD0A8AAE-E74E-4B1A-83F9-F38CEB9921BA}"/>
    <cellStyle name="ReportHeader" xfId="208" xr:uid="{3D2FFA7C-9A4D-464B-BB6A-DDD46B079152}"/>
    <cellStyle name="ReportHeader 2" xfId="802" xr:uid="{30C4C45D-23E7-4482-8780-115B19C2E3CB}"/>
    <cellStyle name="ReportHeader 3" xfId="2732" xr:uid="{69396C03-DA1E-4081-9950-866B30FE2287}"/>
    <cellStyle name="ResellerType" xfId="803" xr:uid="{C526575A-9F3D-4D06-AF51-5EC315CEE09C}"/>
    <cellStyle name="ResellerType 2" xfId="1617" xr:uid="{21C5BF1E-6EF2-4124-99C0-18ADF74A3493}"/>
    <cellStyle name="Sample" xfId="804" xr:uid="{2A7BEF3E-787B-4D06-B7D9-41CBD48CEB3E}"/>
    <cellStyle name="SAPBEXaggData" xfId="209" xr:uid="{E084153E-8967-493B-90DB-5357EE334DA2}"/>
    <cellStyle name="SAPBEXaggData 2" xfId="805" xr:uid="{99EE29A7-64A8-499A-9FB2-D56449A7A3B8}"/>
    <cellStyle name="SAPBEXaggData 2 2" xfId="1618" xr:uid="{969FB7AA-FE5B-4668-AC6B-E479FDA6EBB0}"/>
    <cellStyle name="SAPBEXaggDataEmph" xfId="210" xr:uid="{266EB479-4D6F-4AE3-AC64-3EF10C76041D}"/>
    <cellStyle name="SAPBEXaggDataEmph 2" xfId="806" xr:uid="{F53B16B9-8BC4-4DBD-83C2-429634CAFB01}"/>
    <cellStyle name="SAPBEXaggItem" xfId="211" xr:uid="{EB43D4FD-4DE4-4710-BD3F-5790C66D020C}"/>
    <cellStyle name="SAPBEXaggItem 2" xfId="807" xr:uid="{07269A3B-1A3A-475E-A8CF-BB1C5E9FF24C}"/>
    <cellStyle name="SAPBEXaggItem 2 2" xfId="1619" xr:uid="{59C7C8C0-CDFC-4701-A46D-D5AF0D22E33F}"/>
    <cellStyle name="SAPBEXaggItemX" xfId="212" xr:uid="{75BB591F-684C-48C6-9270-44A7AB1F6E65}"/>
    <cellStyle name="SAPBEXaggItemX 2" xfId="808" xr:uid="{E4D79628-E790-47A1-BEC0-1D9F7CF85AB4}"/>
    <cellStyle name="SAPBEXaggItemX 2 2" xfId="1620" xr:uid="{A88EEAF6-B56F-4B10-B3EE-70E174BC706D}"/>
    <cellStyle name="SAPBEXchaText" xfId="213" xr:uid="{A53B38A8-3291-45A3-BADA-AE41D64831C6}"/>
    <cellStyle name="SAPBEXchaText 2" xfId="809" xr:uid="{D2145D9A-E308-4E55-9AF2-4416DCD05DB6}"/>
    <cellStyle name="SAPBEXchaText 2 2" xfId="1621" xr:uid="{9AB52A5D-01D4-4240-8D34-D63ABF9E8A53}"/>
    <cellStyle name="SAPBEXexcBad7" xfId="214" xr:uid="{C5E1E2C7-890A-4945-8EAC-4341D6D0175E}"/>
    <cellStyle name="SAPBEXexcBad7 2" xfId="810" xr:uid="{246F38FA-D935-41BB-803E-3E77C2EAB93D}"/>
    <cellStyle name="SAPBEXexcBad7 2 2" xfId="1622" xr:uid="{5C1CEF7B-516D-4E12-A48D-56ABC20AD997}"/>
    <cellStyle name="SAPBEXexcBad8" xfId="215" xr:uid="{42084985-A01E-44FA-902B-79AF0F58BF8F}"/>
    <cellStyle name="SAPBEXexcBad8 2" xfId="811" xr:uid="{E8AC967A-2162-4385-901B-CFBDC45FE6A8}"/>
    <cellStyle name="SAPBEXexcBad8 2 2" xfId="1623" xr:uid="{AC0DCB52-F3F6-4FAD-A66F-3C4CE9BE8C9C}"/>
    <cellStyle name="SAPBEXexcBad9" xfId="216" xr:uid="{3C40B2D0-E574-417A-8DA6-D54826A28268}"/>
    <cellStyle name="SAPBEXexcBad9 2" xfId="812" xr:uid="{76BEF246-32D5-40D3-B4B7-0E88685327DD}"/>
    <cellStyle name="SAPBEXexcBad9 2 2" xfId="1624" xr:uid="{4359C5EC-A5D3-4703-8F74-216B97C45B6F}"/>
    <cellStyle name="SAPBEXexcCritical4" xfId="217" xr:uid="{5C59F8D0-5654-420F-A988-960C0B3DB83A}"/>
    <cellStyle name="SAPBEXexcCritical4 2" xfId="813" xr:uid="{3B6ACB61-EDD7-4B5D-A501-AAB2AFC5CBF3}"/>
    <cellStyle name="SAPBEXexcCritical4 2 2" xfId="1625" xr:uid="{3024D163-3850-49DE-B2C4-8BA85EECB889}"/>
    <cellStyle name="SAPBEXexcCritical5" xfId="218" xr:uid="{4208A663-051B-40F5-A6B9-4542630231EB}"/>
    <cellStyle name="SAPBEXexcCritical5 2" xfId="814" xr:uid="{0ED71AEA-1DF5-4B03-B938-007CB1A1196B}"/>
    <cellStyle name="SAPBEXexcCritical5 2 2" xfId="1626" xr:uid="{57BCFAD8-BED9-4B73-85FA-FA8EACDC3A21}"/>
    <cellStyle name="SAPBEXexcCritical6" xfId="219" xr:uid="{5C8929AF-0218-4456-9B9B-8B4E1CBC7EC4}"/>
    <cellStyle name="SAPBEXexcCritical6 2" xfId="815" xr:uid="{98846319-7109-4852-8CCB-392BDF41EF8E}"/>
    <cellStyle name="SAPBEXexcCritical6 2 2" xfId="1627" xr:uid="{DB5B4560-26E7-4757-8561-D7304FA929A7}"/>
    <cellStyle name="SAPBEXexcGood1" xfId="220" xr:uid="{7D7621D5-1792-4DE7-AB8F-89A2ADB47858}"/>
    <cellStyle name="SAPBEXexcGood1 2" xfId="816" xr:uid="{76C11FE4-3ECC-4D53-9C4F-8A1A595DCBD7}"/>
    <cellStyle name="SAPBEXexcGood1 2 2" xfId="1628" xr:uid="{6DFB7234-AC69-4374-A553-D348BA47601C}"/>
    <cellStyle name="SAPBEXexcGood2" xfId="221" xr:uid="{425BB3A9-0872-4796-B298-AABCE88E4D12}"/>
    <cellStyle name="SAPBEXexcGood2 2" xfId="817" xr:uid="{03FC0C15-4708-46F2-B3AF-E611C76CCFC2}"/>
    <cellStyle name="SAPBEXexcGood2 2 2" xfId="1629" xr:uid="{0ECB68F3-1A3F-4DCA-8A58-3FF8A63CE01F}"/>
    <cellStyle name="SAPBEXexcGood3" xfId="222" xr:uid="{92FE3DD7-429A-4BEA-91C6-406C8FA4BE45}"/>
    <cellStyle name="SAPBEXexcGood3 2" xfId="818" xr:uid="{DD1CC30B-D850-4B21-93A0-65AAECA82C15}"/>
    <cellStyle name="SAPBEXexcGood3 2 2" xfId="1630" xr:uid="{AF99F1F2-2206-4F21-881F-14CBED0670F7}"/>
    <cellStyle name="SAPBEXfilterDrill" xfId="223" xr:uid="{96C7E812-D33E-48CD-868B-01A022C9608A}"/>
    <cellStyle name="SAPBEXfilterDrill 2" xfId="819" xr:uid="{FAB0BE93-762F-46FB-A69D-AB570C60BC01}"/>
    <cellStyle name="SAPBEXfilterItem" xfId="224" xr:uid="{5F3EB287-E9AE-42F8-9939-5A81E2304B50}"/>
    <cellStyle name="SAPBEXfilterItem 2" xfId="1631" xr:uid="{13575A59-4307-49A3-AA90-2701F1BFC87B}"/>
    <cellStyle name="SAPBEXfilterText" xfId="225" xr:uid="{1E95819D-89F4-4B50-B00A-7DDF822BC215}"/>
    <cellStyle name="SAPBEXformats" xfId="226" xr:uid="{5C2F7A44-70E9-43EB-8BE1-4B53EC59530C}"/>
    <cellStyle name="SAPBEXformats 2" xfId="821" xr:uid="{68F7BA3E-E3FD-4286-9961-DC078C6A2F2C}"/>
    <cellStyle name="SAPBEXformats 2 2" xfId="1632" xr:uid="{DC9DDAF8-2984-48AF-94F2-0C6688D060B4}"/>
    <cellStyle name="SAPBEXheaderItem" xfId="227" xr:uid="{D7FFF729-5A27-419F-BD79-FAFD4A314BBC}"/>
    <cellStyle name="SAPBEXheaderItem 2" xfId="822" xr:uid="{84E4EE30-B608-409B-AAA3-C6C89CEA69ED}"/>
    <cellStyle name="SAPBEXheaderItem 2 2" xfId="1633" xr:uid="{BB280EF4-861C-48D3-968C-05B2245AA599}"/>
    <cellStyle name="SAPBEXheaderText" xfId="228" xr:uid="{E3C49D54-2B9F-4308-8096-8F50B94E3359}"/>
    <cellStyle name="SAPBEXheaderText 2" xfId="823" xr:uid="{8F6B1557-F5B2-4978-B333-10D5EB84BA7E}"/>
    <cellStyle name="SAPBEXheaderText 2 2" xfId="1634" xr:uid="{1468CD50-3698-4A5B-98BF-DC0652118B49}"/>
    <cellStyle name="SAPBEXHLevel0" xfId="229" xr:uid="{02AE4602-A304-412C-BF64-80F619141038}"/>
    <cellStyle name="SAPBEXHLevel0 2" xfId="824" xr:uid="{29A8929A-FE9C-4929-9449-63FD91BCF771}"/>
    <cellStyle name="SAPBEXHLevel0 2 2" xfId="1635" xr:uid="{4129DD75-C43B-4C56-A2FC-6818E9D67E5C}"/>
    <cellStyle name="SAPBEXHLevel0X" xfId="230" xr:uid="{5BBDF526-6CAF-4AB9-B43C-E4026134E863}"/>
    <cellStyle name="SAPBEXHLevel0X 2" xfId="825" xr:uid="{9E06F0F1-CC03-46B9-A9E3-E6DD79C88745}"/>
    <cellStyle name="SAPBEXHLevel0X 2 2" xfId="1636" xr:uid="{CDAEF0F4-1941-40C8-9F5E-80AD295C8219}"/>
    <cellStyle name="SAPBEXHLevel1" xfId="231" xr:uid="{3EDAD911-8177-46E7-92D7-F66C57429839}"/>
    <cellStyle name="SAPBEXHLevel1 2" xfId="826" xr:uid="{92EB8F94-41CA-4214-B674-A93D083B0EAA}"/>
    <cellStyle name="SAPBEXHLevel1 2 2" xfId="1637" xr:uid="{795AAAFB-9DF2-4AC6-BE13-99B1691176D9}"/>
    <cellStyle name="SAPBEXHLevel1X" xfId="232" xr:uid="{CE7CBBF2-62EF-4239-8F3A-7BD8C92F0202}"/>
    <cellStyle name="SAPBEXHLevel1X 2" xfId="827" xr:uid="{9C8BC1DE-3098-4443-A789-143D13933CC4}"/>
    <cellStyle name="SAPBEXHLevel1X 2 2" xfId="1638" xr:uid="{C39E2DEF-6EF8-4498-89DD-FCC90CC3FB13}"/>
    <cellStyle name="SAPBEXHLevel2" xfId="233" xr:uid="{5BBAB270-00D6-4E80-B580-F1163881F352}"/>
    <cellStyle name="SAPBEXHLevel2 2" xfId="828" xr:uid="{2D14F96A-C84F-42F6-AA72-582C81F54BB3}"/>
    <cellStyle name="SAPBEXHLevel2 2 2" xfId="1639" xr:uid="{B9E1BF2B-E4D1-43EF-ABAC-B207F442F673}"/>
    <cellStyle name="SAPBEXHLevel2X" xfId="234" xr:uid="{0842D8E8-BA09-46B1-89BB-0E1A8024CDE3}"/>
    <cellStyle name="SAPBEXHLevel2X 2" xfId="829" xr:uid="{380E7821-7BFC-4DC5-A8CB-5CE64E4A37C1}"/>
    <cellStyle name="SAPBEXHLevel2X 2 2" xfId="1640" xr:uid="{DBCC9FE7-BB60-4459-9B4D-840C517D3AF2}"/>
    <cellStyle name="SAPBEXHLevel3" xfId="235" xr:uid="{0904AC25-ACB1-4124-8D78-D1039A0136F3}"/>
    <cellStyle name="SAPBEXHLevel3 2" xfId="830" xr:uid="{487AACBB-D4E0-4B1E-8012-DC16C911AFCB}"/>
    <cellStyle name="SAPBEXHLevel3 2 2" xfId="1641" xr:uid="{C3F17A1B-869D-48D7-B81F-652D14B3683D}"/>
    <cellStyle name="SAPBEXHLevel3X" xfId="236" xr:uid="{7D911CE4-39B0-4ED6-89F3-444609DAAD4F}"/>
    <cellStyle name="SAPBEXHLevel3X 2" xfId="831" xr:uid="{68FA2302-2804-4942-9A1E-79E70613AF11}"/>
    <cellStyle name="SAPBEXHLevel3X 2 2" xfId="1642" xr:uid="{1ECAB800-2110-45D0-9420-5EF517718B37}"/>
    <cellStyle name="SAPBEXresData" xfId="237" xr:uid="{9FA530E3-435A-4047-AF8D-2F5A46C5E707}"/>
    <cellStyle name="SAPBEXresData 2" xfId="832" xr:uid="{CDB07692-B520-4A9A-944C-4788A3063D38}"/>
    <cellStyle name="SAPBEXresData 2 2" xfId="1643" xr:uid="{FF39F48C-AC24-42DE-B563-5EB2FA5F7D64}"/>
    <cellStyle name="SAPBEXresDataEmph" xfId="238" xr:uid="{B3FC45D1-A6E5-44E3-84F8-9F883D9A0389}"/>
    <cellStyle name="SAPBEXresDataEmph 2" xfId="833" xr:uid="{189AEC54-46E8-4AA9-BBBC-499F04384E6A}"/>
    <cellStyle name="SAPBEXresItem" xfId="239" xr:uid="{67BF26B1-EFD8-4728-9221-63E664890F28}"/>
    <cellStyle name="SAPBEXresItem 2" xfId="834" xr:uid="{BDBE5EF2-BA53-441B-BD61-22ECF93B074B}"/>
    <cellStyle name="SAPBEXresItem 2 2" xfId="1644" xr:uid="{271EA4CF-1B59-43D7-BB1F-E310FF752F4A}"/>
    <cellStyle name="SAPBEXresItemX" xfId="240" xr:uid="{E86BC094-F3DB-4FEC-B301-98985D80AEBA}"/>
    <cellStyle name="SAPBEXresItemX 2" xfId="835" xr:uid="{E4901B92-F9A5-480C-8931-9689AD805E24}"/>
    <cellStyle name="SAPBEXresItemX 2 2" xfId="1645" xr:uid="{E52E41EB-8312-432A-86BD-05BABCF2705C}"/>
    <cellStyle name="SAPBEXstdData" xfId="241" xr:uid="{AD3DC3F4-6451-4D11-8F71-22E105F8246F}"/>
    <cellStyle name="SAPBEXstdData 2" xfId="836" xr:uid="{BA0892F1-1EA6-45E2-A8C9-234D1858EE40}"/>
    <cellStyle name="SAPBEXstdData 2 2" xfId="1646" xr:uid="{BEF240C8-6DAF-480B-B45E-88BBDB39DBCF}"/>
    <cellStyle name="SAPBEXstdDataEmph" xfId="242" xr:uid="{4ED720E8-8644-49EA-B700-05F804F51DE9}"/>
    <cellStyle name="SAPBEXstdDataEmph 2" xfId="837" xr:uid="{2926BECD-EEEF-48B0-81C3-EFF1EC476AA5}"/>
    <cellStyle name="SAPBEXstdItem" xfId="243" xr:uid="{4DD6EDDA-8EFE-4190-ABF5-883F4E88BF3B}"/>
    <cellStyle name="SAPBEXstdItem 2" xfId="838" xr:uid="{189F4C83-549C-48FB-BA3D-55B3253F2F1D}"/>
    <cellStyle name="SAPBEXstdItem 2 2" xfId="1647" xr:uid="{A03C05D6-6256-4D71-B9D0-F4DD2C793CC0}"/>
    <cellStyle name="SAPBEXstdItemX" xfId="244" xr:uid="{FA55A4A7-46BC-4F93-BE9E-6BAE59AA87A2}"/>
    <cellStyle name="SAPBEXstdItemX 2" xfId="839" xr:uid="{F6229577-41D3-483C-A1C6-45652E7E5BC5}"/>
    <cellStyle name="SAPBEXstdItemX 2 2" xfId="1648" xr:uid="{40A4B6EA-856C-4E2A-BBFC-070BD68FE629}"/>
    <cellStyle name="SAPBEXtitle" xfId="245" xr:uid="{ABCC324F-F257-4A4F-A813-4E8451B8FD67}"/>
    <cellStyle name="SAPBEXundefined" xfId="246" xr:uid="{5F977E30-2062-4DBA-8F69-C150500E91A9}"/>
    <cellStyle name="SAPBEXundefined 2" xfId="840" xr:uid="{9EEBEB7F-BDFC-4BD8-BBDC-B7A98B74A078}"/>
    <cellStyle name="Size" xfId="841" xr:uid="{4023CCFC-10E5-4F40-89FE-2EB197B48665}"/>
    <cellStyle name="Style 1" xfId="247" xr:uid="{8819AF0C-EF5E-4A52-8BED-999F4A9FBEEC}"/>
    <cellStyle name="Style 1 2" xfId="495" xr:uid="{FF014C30-790D-4080-A09C-AAD53117422F}"/>
    <cellStyle name="Style 1 2 2" xfId="892" xr:uid="{4F17FDC7-BBD8-4BB4-A1DA-65A0CF658FEC}"/>
    <cellStyle name="Style 1 3" xfId="842" xr:uid="{52179515-7D60-4523-9D4E-AC8F8500DC3E}"/>
    <cellStyle name="Style 1 4" xfId="899" xr:uid="{8EC4261A-FF90-4BF4-8CF3-155649A24DC3}"/>
    <cellStyle name="Style 2" xfId="843" xr:uid="{AA77D2CB-1421-4FDF-A91C-968C4E167280}"/>
    <cellStyle name="Style 2 2" xfId="1649" xr:uid="{2B1A983D-B231-46DF-AC62-495CD707C48F}"/>
    <cellStyle name="Style1" xfId="248" xr:uid="{A04F1C96-0AC0-4E7F-8BCD-74B33897AEAA}"/>
    <cellStyle name="Style1 2" xfId="900" xr:uid="{40774DA6-B751-42C7-BD35-586719245506}"/>
    <cellStyle name="Style2" xfId="249" xr:uid="{3C504652-63E3-40A2-9918-8C8A3131F58A}"/>
    <cellStyle name="Style3" xfId="250" xr:uid="{7F4456C0-B279-4859-BEE2-4AAB4F0A8968}"/>
    <cellStyle name="Style4" xfId="251" xr:uid="{587EAFC6-154E-436C-BF28-96508166D688}"/>
    <cellStyle name="Style5" xfId="252" xr:uid="{A4C4AD1C-9F07-45F8-9A84-C706F14EE7DB}"/>
    <cellStyle name="Style6" xfId="253" xr:uid="{6625053A-F011-4B32-A3C2-15EA149A4446}"/>
    <cellStyle name="Styles" xfId="844" xr:uid="{88942BF0-CE82-45A5-8C8D-D8206C045F20}"/>
    <cellStyle name="Table Footnote" xfId="254" xr:uid="{5E889260-128F-4BB9-B46E-C97931CFC776}"/>
    <cellStyle name="Table Footnote 2" xfId="255" xr:uid="{43FFA12C-2453-4C69-9810-816145B74831}"/>
    <cellStyle name="Table Footnote 2 2" xfId="256" xr:uid="{FC5D8E6A-4C18-4FFB-99C6-A386582A9712}"/>
    <cellStyle name="Table Footnote 3" xfId="433" xr:uid="{E7908D09-F5DD-4102-8F7F-2D6250687821}"/>
    <cellStyle name="Table Footnote 4" xfId="1330" xr:uid="{F7882B6B-F1CA-41B9-901A-BB94C73C2094}"/>
    <cellStyle name="Table Footnote_Copy of 11645PESA 2010114148" xfId="528" xr:uid="{E5CAB27C-8C11-42A7-9BE2-C1970DC9B084}"/>
    <cellStyle name="Table Head" xfId="845" xr:uid="{F87F17A6-593C-43B5-9027-0EBF6D5FCFDD}"/>
    <cellStyle name="Table Head Aligned" xfId="846" xr:uid="{2951A878-BF44-4B3F-90EB-47D3C64ACB8D}"/>
    <cellStyle name="Table Head Aligned 2" xfId="1509" xr:uid="{7A3AB1A5-CB44-4753-A952-827B9CB8774A}"/>
    <cellStyle name="Table Head Blue" xfId="847" xr:uid="{78DA92D3-2C66-46D2-9C98-208D5569C43C}"/>
    <cellStyle name="Table Head Green" xfId="848" xr:uid="{5AF1DE70-F5D0-4723-BA3A-B8A3EDFDABC7}"/>
    <cellStyle name="Table Head Green 2" xfId="1510" xr:uid="{9A5FC6A7-CD52-434D-B622-6FE20BC46A37}"/>
    <cellStyle name="Table Head_% Change" xfId="849" xr:uid="{FF6787A1-AC0F-4A9F-AB26-C7DC2E5DF4DA}"/>
    <cellStyle name="Table Header" xfId="257" xr:uid="{0AF9C32E-9BAB-4E58-98D8-0326E40E9A2C}"/>
    <cellStyle name="Table Header 2" xfId="258" xr:uid="{63B8443C-2FD8-4420-B497-7A49886D3B80}"/>
    <cellStyle name="Table Header 2 2" xfId="259" xr:uid="{548E4975-1840-46B6-8B54-730EB7C4FFD8}"/>
    <cellStyle name="Table Header 2 3" xfId="529" xr:uid="{CC59D2FA-F93D-4EF7-A3A0-0EA084BC21F6}"/>
    <cellStyle name="Table Header 2 4" xfId="1438" xr:uid="{557878DD-2BAC-4EEA-A7E8-49313E7B7DB6}"/>
    <cellStyle name="Table Header 3" xfId="434" xr:uid="{EC63D4D6-8254-43FE-ABA9-6A700388D3C6}"/>
    <cellStyle name="Table Header 3 2" xfId="1355" xr:uid="{DF77A474-A9AE-43C3-8B0E-0C09B57E5D44}"/>
    <cellStyle name="Table Header 4" xfId="1338" xr:uid="{73E23A7D-7154-43F6-920C-67E2859CE5F2}"/>
    <cellStyle name="Table Header_Copy of 11645PESA 2010114148" xfId="530" xr:uid="{45CB936B-B930-41CD-B8C7-8BFE0960C613}"/>
    <cellStyle name="Table Heading" xfId="850" xr:uid="{78CA23CA-9525-4D8E-A264-4EFFC1B28B12}"/>
    <cellStyle name="Table Heading 1" xfId="260" xr:uid="{C6C5DA50-FA83-40C6-8A78-72E6533EFC55}"/>
    <cellStyle name="Table Heading 1 2" xfId="261" xr:uid="{32332ED2-CAD0-4CBB-B99C-A98CC14FCFD2}"/>
    <cellStyle name="Table Heading 1 2 2" xfId="262" xr:uid="{5DDBABCE-45CA-41FB-9284-2D1CA6A486C2}"/>
    <cellStyle name="Table Heading 1 2 3" xfId="531" xr:uid="{CE321199-31FC-48C5-867B-0C2D7C5A107E}"/>
    <cellStyle name="Table Heading 1 3" xfId="435" xr:uid="{A4249232-80DB-4A57-AC43-EB0C4DA75E26}"/>
    <cellStyle name="Table Heading 1 4" xfId="1368" xr:uid="{2B124F85-CA96-45B4-89DF-BB68F27DF99B}"/>
    <cellStyle name="Table Heading 1_Copy of 11645PESA 2010114148" xfId="532" xr:uid="{2C919E6B-9C72-4DCE-B47A-D0C4D7FE8D4B}"/>
    <cellStyle name="Table Heading 2" xfId="263" xr:uid="{50C107A9-25F7-46BD-A61B-CD37FAFC08D4}"/>
    <cellStyle name="Table Heading 2 2" xfId="264" xr:uid="{90A13771-2875-4910-B543-5955DC1CCA43}"/>
    <cellStyle name="Table Heading 2 3" xfId="436" xr:uid="{3AEE4DEF-1224-412A-9ADC-5BC5DCEBAD4A}"/>
    <cellStyle name="Table Heading 2 4" xfId="1335" xr:uid="{204FA18E-B4B9-4E7E-BA0B-066D2C6650C0}"/>
    <cellStyle name="Table Heading 2_Copy of 11645PESA 2010114148" xfId="533" xr:uid="{03DAF108-D64C-4AE7-96E4-194D08DD494E}"/>
    <cellStyle name="Table Of Which" xfId="265" xr:uid="{425EFDFA-02F4-4049-B0B5-4BD3182C90A4}"/>
    <cellStyle name="Table Of Which 2" xfId="266" xr:uid="{8C9EB7B3-46E8-45D3-AD00-6BF1EA829286}"/>
    <cellStyle name="Table Of Which 3" xfId="1332" xr:uid="{B6D0B6D2-412A-47FF-8F57-505E40B8AD53}"/>
    <cellStyle name="Table Of Which 4" xfId="1439" xr:uid="{C5FD80A6-B593-47F7-9E9C-DE174F7F6256}"/>
    <cellStyle name="Table Of Which_Copy of 11645PESA 2010114148" xfId="534" xr:uid="{AA3BEFF3-C840-47E4-BCD3-B81093CB91C7}"/>
    <cellStyle name="Table Row Billions" xfId="267" xr:uid="{8B5CD1EA-0518-4FBE-B68D-EBB62D95358C}"/>
    <cellStyle name="Table Row Billions 2" xfId="268" xr:uid="{F08B6141-9BC3-42ED-9DD0-6A99A3899195}"/>
    <cellStyle name="Table Row Billions 2 2" xfId="571" xr:uid="{FAEC4AF0-1595-4937-978C-FD947138E5C8}"/>
    <cellStyle name="Table Row Billions 3" xfId="437" xr:uid="{FA4E21E3-67BA-446C-A38C-E8D34237257A}"/>
    <cellStyle name="Table Row Billions 3 2" xfId="570" xr:uid="{F588E0C9-C023-4D5B-8882-CD0B63B4EFC7}"/>
    <cellStyle name="Table Row Billions 4" xfId="1367" xr:uid="{AA6B0616-D58C-44A2-BD87-AF0BC01775AD}"/>
    <cellStyle name="Table Row Billions Check" xfId="269" xr:uid="{628D8553-04AE-46F9-A288-764AB5F822E6}"/>
    <cellStyle name="Table Row Billions Check 2" xfId="270" xr:uid="{814742D1-4ED0-42D2-8702-F04158D67CB6}"/>
    <cellStyle name="Table Row Billions Check 3" xfId="271" xr:uid="{4A5160FC-5E57-4383-A411-C1723E4920AB}"/>
    <cellStyle name="Table Row Billions Check 4" xfId="1440" xr:uid="{9D3FE67F-6F2A-4EFA-8E5E-956827462D32}"/>
    <cellStyle name="Table Row Billions Check_asset sales" xfId="272" xr:uid="{7B2FA905-95ED-452E-88F0-5028A39D87D5}"/>
    <cellStyle name="Table Row Billions_Book1" xfId="535" xr:uid="{F2B2A7B5-AA85-4134-8A09-C3D6755D5D08}"/>
    <cellStyle name="Table Row Millions" xfId="273" xr:uid="{7AA34653-C86F-4F8D-A242-3781664324C5}"/>
    <cellStyle name="Table Row Millions 2" xfId="274" xr:uid="{B8308853-2BBC-4641-8F7D-AAA4AD1C79D2}"/>
    <cellStyle name="Table Row Millions 2 2" xfId="275" xr:uid="{C22D1293-326B-4785-8284-1F1BB2FF443D}"/>
    <cellStyle name="Table Row Millions 2 2 2" xfId="572" xr:uid="{99F1D3F7-9890-4680-97DA-4DD696C01EA5}"/>
    <cellStyle name="Table Row Millions 2 3" xfId="536" xr:uid="{24730779-1D1A-4F1B-A497-B629CA22B040}"/>
    <cellStyle name="Table Row Millions 2_Book1" xfId="537" xr:uid="{BB4F21B5-F2EC-4AB0-B87D-1A3A93D0C88D}"/>
    <cellStyle name="Table Row Millions 3" xfId="438" xr:uid="{8A36B28E-8176-4194-87E0-45F4BCBF0A5C}"/>
    <cellStyle name="Table Row Millions 3 2" xfId="583" xr:uid="{97AA29B3-66C6-44C5-AF5C-908C9B05B28C}"/>
    <cellStyle name="Table Row Millions 3 3" xfId="1650" xr:uid="{5E48A69E-CE5C-4DD7-AF7A-8A34A9367E34}"/>
    <cellStyle name="Table Row Millions 4" xfId="585" xr:uid="{49B7AE0D-45B9-439D-85D4-D8BCADB80204}"/>
    <cellStyle name="Table Row Millions 5" xfId="1361" xr:uid="{10456DE1-9CEF-49DE-97C8-508EDC875F22}"/>
    <cellStyle name="Table Row Millions 6" xfId="1375" xr:uid="{7157474F-F0EE-472E-8999-12D9F8CAE924}"/>
    <cellStyle name="Table Row Millions 7" xfId="1326" xr:uid="{B2B44F8D-D594-454A-AED4-9071855AEB0E}"/>
    <cellStyle name="Table Row Millions 8" xfId="1441" xr:uid="{C3A72E97-144A-4E42-97F2-AB5EC5F16708}"/>
    <cellStyle name="Table Row Millions 9" xfId="1468" xr:uid="{0C6B683B-836F-4E33-BB00-F1AC9E0B3E28}"/>
    <cellStyle name="Table Row Millions Check" xfId="276" xr:uid="{11632124-283E-4A7C-A2BF-BE12F0572902}"/>
    <cellStyle name="Table Row Millions Check 2" xfId="277" xr:uid="{296A9648-8CD7-4731-B993-B091082F7554}"/>
    <cellStyle name="Table Row Millions Check 3" xfId="278" xr:uid="{5EDCA9B4-6EE6-44D8-9FA8-F5AAF47ED779}"/>
    <cellStyle name="Table Row Millions Check 4" xfId="279" xr:uid="{C16F6315-6B3C-426B-95B8-DDB4C7898385}"/>
    <cellStyle name="Table Row Millions Check 5" xfId="538" xr:uid="{B00CCFFA-FB39-49E2-92BA-D2A7B706314B}"/>
    <cellStyle name="Table Row Millions Check 6" xfId="539" xr:uid="{C3378EF3-C22C-476B-85EB-EAE13D1CD65A}"/>
    <cellStyle name="Table Row Millions Check 7" xfId="1442" xr:uid="{E0B12071-C58B-4E67-9CF5-6EF1D77552AB}"/>
    <cellStyle name="Table Row Millions Check_asset sales" xfId="280" xr:uid="{6A009F8F-0EA9-4C93-BA0A-96454B5E9618}"/>
    <cellStyle name="Table Row Millions_Book1" xfId="540" xr:uid="{D7FF918D-7ED4-4E17-B55A-AB508667A34D}"/>
    <cellStyle name="Table Row Percentage" xfId="281" xr:uid="{F18BBE30-FE4D-456B-B263-24673DA114EE}"/>
    <cellStyle name="Table Row Percentage 2" xfId="282" xr:uid="{3B137BAB-EA60-4445-A1BC-2580BBB26675}"/>
    <cellStyle name="Table Row Percentage 2 2" xfId="573" xr:uid="{2E8AF893-505D-4857-9F2D-B114102A2580}"/>
    <cellStyle name="Table Row Percentage 3" xfId="439" xr:uid="{35B049AC-0942-47EB-810F-87971D39E946}"/>
    <cellStyle name="Table Row Percentage 3 2" xfId="559" xr:uid="{C9532DDA-9C95-4D58-B020-64E360861AC4}"/>
    <cellStyle name="Table Row Percentage 4" xfId="584" xr:uid="{A5A50713-D9E2-4619-8A94-8BAAD995759D}"/>
    <cellStyle name="Table Row Percentage 5" xfId="1369" xr:uid="{2F24575C-4A4C-4101-8258-D808366E1CD4}"/>
    <cellStyle name="Table Row Percentage Check" xfId="283" xr:uid="{026FA411-BF61-466C-BD1F-06AD33546254}"/>
    <cellStyle name="Table Row Percentage Check 2" xfId="284" xr:uid="{4D80F0AB-6F58-42E4-A3A4-C1A1C8FD9548}"/>
    <cellStyle name="Table Row Percentage Check 3" xfId="285" xr:uid="{E8A38155-01B2-45C4-8F0B-986CA098036B}"/>
    <cellStyle name="Table Row Percentage Check 4" xfId="1443" xr:uid="{438853B4-5450-4924-8F54-F8C57BA553A3}"/>
    <cellStyle name="Table Row Percentage Check_asset sales" xfId="286" xr:uid="{C7088640-732C-4828-95AF-10CEB44BF3DC}"/>
    <cellStyle name="Table Row Percentage_Book1" xfId="541" xr:uid="{EAD3FBDD-F2C9-4B76-A765-18D7D11F99CC}"/>
    <cellStyle name="Table Source" xfId="852" xr:uid="{D1BD324E-BC61-48AC-B934-B671562BD20F}"/>
    <cellStyle name="Table Text" xfId="853" xr:uid="{5D8F43C1-8627-4E70-82AF-EC43F9A491AA}"/>
    <cellStyle name="Table Text 2" xfId="1511" xr:uid="{36F0549D-EE57-492F-9CAA-87303B080EBB}"/>
    <cellStyle name="Table Title" xfId="854" xr:uid="{DDEC8EF7-BC1B-4AC6-B762-2849E11F04AF}"/>
    <cellStyle name="Table Total Billions" xfId="287" xr:uid="{4B02765E-9E07-41C0-A19D-9F4462645A12}"/>
    <cellStyle name="Table Total Billions 2" xfId="288" xr:uid="{8FBB3EF6-E098-4EBF-9B62-B3A293DD45FE}"/>
    <cellStyle name="Table Total Billions 2 2" xfId="543" xr:uid="{74D1487F-0537-43C4-A5B7-D8B461262A8D}"/>
    <cellStyle name="Table Total Billions 2 3" xfId="1347" xr:uid="{458FE255-534E-4330-AA90-83E842733742}"/>
    <cellStyle name="Table Total Billions 2 4" xfId="1497" xr:uid="{739AC803-2390-49B1-A72F-94F70808F18B}"/>
    <cellStyle name="Table Total Billions 3" xfId="440" xr:uid="{72794DAA-BB07-40DA-BE4B-7239DC4822B7}"/>
    <cellStyle name="Table Total Billions 4" xfId="542" xr:uid="{3AB0BB53-C809-4334-A8C8-3EEC8F50B0A8}"/>
    <cellStyle name="Table Total Billions 5" xfId="1322" xr:uid="{F703EECF-B895-4AC5-B079-391DE85493B3}"/>
    <cellStyle name="Table Total Billions 6" xfId="1370" xr:uid="{63225D81-7ABB-416E-B349-AA4C7E69C6DA}"/>
    <cellStyle name="Table Total Billions 7" xfId="1496" xr:uid="{3368093E-1D88-4D84-887D-D35A5C613747}"/>
    <cellStyle name="Table Total Billions_Copy of 11645PESA 2010114148" xfId="544" xr:uid="{DC1B803F-832B-4C41-BEB7-F0FB6FE06320}"/>
    <cellStyle name="Table Total Millions" xfId="289" xr:uid="{CDD86060-2231-4371-9040-5E2441BB66E7}"/>
    <cellStyle name="Table Total Millions 2" xfId="290" xr:uid="{E1745ADF-BC42-4CDF-8480-B993A5075894}"/>
    <cellStyle name="Table Total Millions 2 2" xfId="291" xr:uid="{8F0729B4-E3D5-4FF8-ACBB-506A9F07CEEE}"/>
    <cellStyle name="Table Total Millions 2 2 2" xfId="547" xr:uid="{F580FB85-9A97-4C77-B39D-ECA97DA028D0}"/>
    <cellStyle name="Table Total Millions 2 2 3" xfId="1349" xr:uid="{58404976-5BFA-4097-8125-32857A53BC02}"/>
    <cellStyle name="Table Total Millions 2 2 4" xfId="1678" xr:uid="{C3B8EC33-062E-4295-B4B5-2A5E02BC347B}"/>
    <cellStyle name="Table Total Millions 2 3" xfId="548" xr:uid="{2F20CDCB-40FE-4D61-BE36-9C8A0D5A5DA0}"/>
    <cellStyle name="Table Total Millions 2 3 2" xfId="766" xr:uid="{F912CC20-EDB1-4B25-B737-25CAE1F7776D}"/>
    <cellStyle name="Table Total Millions 2 4" xfId="546" xr:uid="{0110A763-EF5B-40A8-AE14-A4F844AE95F1}"/>
    <cellStyle name="Table Total Millions 2 5" xfId="1348" xr:uid="{81FDEF6C-B5EF-4EAC-89EF-6660E0179126}"/>
    <cellStyle name="Table Total Millions 2 6" xfId="1444" xr:uid="{187DFCFB-C923-43C1-9C9A-4D14AC5D4110}"/>
    <cellStyle name="Table Total Millions 2 7" xfId="1499" xr:uid="{78BA7FC8-DD52-4465-A79D-494E67F3B27F}"/>
    <cellStyle name="Table Total Millions 3" xfId="441" xr:uid="{9706F3A5-DB6B-44BD-80BD-08EF0F1E1D67}"/>
    <cellStyle name="Table Total Millions 4" xfId="545" xr:uid="{C26F432E-4B3B-49DB-ACE4-9B8FC281CBD6}"/>
    <cellStyle name="Table Total Millions 5" xfId="1323" xr:uid="{42EE5E45-7668-415A-AC24-80148669B025}"/>
    <cellStyle name="Table Total Millions 6" xfId="1308" xr:uid="{93795737-AA5E-408C-AD5E-8FE338B132E1}"/>
    <cellStyle name="Table Total Millions 7" xfId="1498" xr:uid="{372933BE-0C04-4180-B6AB-6BA99B756043}"/>
    <cellStyle name="Table Total Millions_Copy of 11645PESA 2010114148" xfId="549" xr:uid="{FF3FA296-7A57-45C9-B1C6-CA95BEF63B85}"/>
    <cellStyle name="Table Total Percentage" xfId="292" xr:uid="{52B8181B-DD98-4095-B336-479BF5524A02}"/>
    <cellStyle name="Table Total Percentage 2" xfId="293" xr:uid="{C2A2EAE2-6203-4434-AA34-9E105D34CDCF}"/>
    <cellStyle name="Table Total Percentage 2 2" xfId="551" xr:uid="{C63A9002-9317-4180-8CAB-12B6C91D597A}"/>
    <cellStyle name="Table Total Percentage 2 3" xfId="1350" xr:uid="{089E803C-5D9F-43DC-B0A4-01E45656FA72}"/>
    <cellStyle name="Table Total Percentage 2 4" xfId="1677" xr:uid="{FCD42B66-4333-4767-9579-CDD9A906981D}"/>
    <cellStyle name="Table Total Percentage 3" xfId="550" xr:uid="{854A80CA-6A75-43F6-B40D-2383DE65F172}"/>
    <cellStyle name="Table Total Percentage 4" xfId="1324" xr:uid="{D0C88A9C-1228-4233-BAAB-9FBBB13863F9}"/>
    <cellStyle name="Table Total Percentage 5" xfId="1345" xr:uid="{EDD85B9E-2EF3-400B-AFEB-3B226A3F131D}"/>
    <cellStyle name="Table Total Percentage 6" xfId="1445" xr:uid="{DC8D897B-9E48-46D5-8B78-4D419CF7A40E}"/>
    <cellStyle name="Table Total Percentage 7" xfId="1500" xr:uid="{D88E11C3-A43C-4215-8FC5-AC55AE05E09C}"/>
    <cellStyle name="Table Total Percentage_Copy of 11645PESA 2010114148" xfId="552" xr:uid="{648F3967-FE4F-4DF1-96C2-60DEE7930876}"/>
    <cellStyle name="Table Units" xfId="294" xr:uid="{3CAAF475-6F96-4388-A603-233CEAA4E645}"/>
    <cellStyle name="Table Units 2" xfId="295" xr:uid="{48E49972-17C7-420E-BD71-3989D40283AD}"/>
    <cellStyle name="Table Units 2 2" xfId="296" xr:uid="{2A659FE7-09C5-44E0-B401-F22484A689DA}"/>
    <cellStyle name="Table Units 2 3" xfId="553" xr:uid="{B22B62F5-5257-4FED-9322-A3D21E96831D}"/>
    <cellStyle name="Table Units 3" xfId="442" xr:uid="{DEACF77B-4209-434B-84BB-59D4B8828352}"/>
    <cellStyle name="Table Units 3 2" xfId="855" xr:uid="{1EC4699D-9CE8-480C-B64D-9054C08EEB25}"/>
    <cellStyle name="Table Units 4" xfId="1306" xr:uid="{7F57A015-09F7-4CA8-8970-08FD7EB61431}"/>
    <cellStyle name="Table Units_Copy of 11645PESA 2010114148" xfId="554" xr:uid="{12E38FC3-3AF9-4783-A726-409DFD28C755}"/>
    <cellStyle name="TableBody" xfId="856" xr:uid="{A22D00FF-85AB-4B77-9E54-3E1406DA5FA9}"/>
    <cellStyle name="TableBody 2" xfId="1651" xr:uid="{7F2A4158-5D69-4694-A058-7B318FC708E4}"/>
    <cellStyle name="TableColHeads" xfId="857" xr:uid="{A863EE55-6F8D-4414-A6F2-11B12B6FE2A0}"/>
    <cellStyle name="TableColHeads 2" xfId="1652" xr:uid="{A58E619F-B1BC-4E3F-80A8-268A98D4599A}"/>
    <cellStyle name="Term" xfId="858" xr:uid="{2EE3BE29-EFBB-4C8B-AAA3-EE61517561F7}"/>
    <cellStyle name="Term 2" xfId="1653" xr:uid="{C06F525C-904D-4CC3-971D-1CF9722FCB71}"/>
    <cellStyle name="Text 1" xfId="859" xr:uid="{C8D7379D-86CE-4F4F-985A-766C85DECADE}"/>
    <cellStyle name="Text 2" xfId="860" xr:uid="{F02197F8-0017-4335-9D5D-D18A638D31F8}"/>
    <cellStyle name="Text Head 1" xfId="861" xr:uid="{26CA98F6-EF7A-4334-A09D-18DE4162A14F}"/>
    <cellStyle name="Text Head 1 2" xfId="1654" xr:uid="{7DD0E9F0-8DF9-4BA8-AA98-B872CCCCF943}"/>
    <cellStyle name="Text Head 2" xfId="862" xr:uid="{1E85B268-1B45-4476-822A-EEF4AF6FA600}"/>
    <cellStyle name="Text Head 2 2" xfId="1655" xr:uid="{816174F0-7D35-401F-A440-109419A7522F}"/>
    <cellStyle name="Text Indent 1" xfId="863" xr:uid="{87CFB0F1-7A17-448B-93DC-7B1B7B52F40F}"/>
    <cellStyle name="Text Indent 2" xfId="864" xr:uid="{2AA7B0D9-4D64-4048-B304-FD149782129A}"/>
    <cellStyle name="Times New Roman" xfId="297" xr:uid="{F84F5672-A0F8-415E-9F53-C3970FFD5642}"/>
    <cellStyle name="Title 2" xfId="298" xr:uid="{AF132824-10A7-474F-8FEC-05A9132671D4}"/>
    <cellStyle name="Title 2 2" xfId="866" xr:uid="{447E6037-0DF7-48E0-A95A-8058844B0877}"/>
    <cellStyle name="Title 2 3" xfId="555" xr:uid="{CA939499-0133-4536-8592-3CDAB010F1B6}"/>
    <cellStyle name="Title 3" xfId="299" xr:uid="{F5A3454F-1942-40B0-84CC-19DDB4F5E4E5}"/>
    <cellStyle name="Title 4" xfId="300" xr:uid="{80FDAF81-FD69-444C-A8C1-A36A16DF4AA2}"/>
    <cellStyle name="Title 5" xfId="984" xr:uid="{BC5ABDDF-02EA-4242-82BD-22A572648F9A}"/>
    <cellStyle name="Title 6" xfId="985" xr:uid="{C6E7AAFB-2E50-44D6-BC3C-BE088F6F4E88}"/>
    <cellStyle name="Title 6 2" xfId="1950" xr:uid="{047D5D6F-56DE-4843-8AE1-94581E0B6974}"/>
    <cellStyle name="Title 7" xfId="865" xr:uid="{BFA3542F-2ED2-4916-A801-54F32B698232}"/>
    <cellStyle name="Title 8" xfId="1394" xr:uid="{E9B191E8-9765-4F5D-B3D4-1B8C4957594B}"/>
    <cellStyle name="TOC 1" xfId="867" xr:uid="{1BEC4D49-0956-45B4-96D3-42343A1CADE3}"/>
    <cellStyle name="TOC 1 2" xfId="1656" xr:uid="{0F28CE82-9DAF-4025-BA18-7B46ADBC3FF3}"/>
    <cellStyle name="TOC 2" xfId="868" xr:uid="{760EE3BD-4F54-4157-97AA-D6174E5E1923}"/>
    <cellStyle name="Total 2" xfId="301" xr:uid="{E790CFBF-B3C6-419A-BDC2-4EE5B50FB52C}"/>
    <cellStyle name="Total 2 2" xfId="556" xr:uid="{1AF5FD81-C890-48ED-8B97-F9AADDDDF357}"/>
    <cellStyle name="Total 2 3" xfId="1354" xr:uid="{C4C2C2CA-FDDA-48D4-81D5-FCD24CE7CBC5}"/>
    <cellStyle name="Total 3" xfId="986" xr:uid="{07CCB86A-56FE-4DE4-8650-73E54B2AD1B4}"/>
    <cellStyle name="Total 4" xfId="1325" xr:uid="{05C4F921-6671-41D5-AF4A-74B4DB1E9F41}"/>
    <cellStyle name="Total 5" xfId="1410" xr:uid="{DAF2EE09-C68B-44AD-BDC1-0574B14FD345}"/>
    <cellStyle name="Total Currency" xfId="869" xr:uid="{C76952E6-379B-4979-9D6B-FB7A37A604B6}"/>
    <cellStyle name="Total Normal" xfId="870" xr:uid="{08600489-8936-408E-8AA7-78DD901BCC8C}"/>
    <cellStyle name="TypeNote" xfId="871" xr:uid="{DFB75641-E558-46FB-A34D-176EA193BEE9}"/>
    <cellStyle name="TypeNote 2" xfId="1657" xr:uid="{5E2453B5-5ADA-439A-93CB-2A76D2D56C4A}"/>
    <cellStyle name="Unit" xfId="872" xr:uid="{F3980061-D437-49E1-B0A0-54A0DB883F1B}"/>
    <cellStyle name="UnitOfMeasure" xfId="873" xr:uid="{466B103A-6677-439E-9F67-CB32A2139E47}"/>
    <cellStyle name="UnitOfMeasure 2" xfId="1658" xr:uid="{8C1605F7-5400-4165-A394-B104B7D5B27A}"/>
    <cellStyle name="Value" xfId="874" xr:uid="{189A5AEB-02C3-4D58-81F2-0F693168D20C}"/>
    <cellStyle name="Value 2" xfId="1659" xr:uid="{9FE1CAB1-754C-40C8-A48C-4990C7568611}"/>
    <cellStyle name="Vertical" xfId="875" xr:uid="{BE6D25AB-B513-42BA-8F46-554FB40306F6}"/>
    <cellStyle name="Warning Text 2" xfId="302" xr:uid="{935F5B1F-1086-453C-AB11-F7216C38D461}"/>
    <cellStyle name="Warning Text 3" xfId="987" xr:uid="{301E8DEA-3860-4FBD-A90E-0012FB1C7266}"/>
    <cellStyle name="Warning Text 4" xfId="1407" xr:uid="{9865BFD2-F9EF-4632-9F41-E337D9E0AE30}"/>
    <cellStyle name="whole number" xfId="303" xr:uid="{6499287F-CBD9-4617-9241-A1395E8E9857}"/>
    <cellStyle name="whole number 2" xfId="988" xr:uid="{6A724558-64A2-4B3C-BBAD-03D31AEE98D1}"/>
  </cellStyles>
  <dxfs count="11">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theme="9"/>
      </font>
    </dxf>
  </dxfs>
  <tableStyles count="0" defaultTableStyle="TableStyleMedium2" defaultPivotStyle="PivotStyleLight16"/>
  <colors>
    <mruColors>
      <color rgb="FFFF9999"/>
      <color rgb="FFFF7C80"/>
      <color rgb="FFE58BF7"/>
      <color rgb="FF00FFCC"/>
      <color rgb="FFFFCCCC"/>
      <color rgb="FF66CCFF"/>
      <color rgb="FFFFFF99"/>
      <color rgb="FFEEC1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42.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externalLink" Target="externalLinks/externalLink9.xml"/><Relationship Id="rId138" Type="http://schemas.openxmlformats.org/officeDocument/2006/relationships/externalLink" Target="externalLinks/externalLink63.xml"/><Relationship Id="rId159" Type="http://schemas.openxmlformats.org/officeDocument/2006/relationships/externalLink" Target="externalLinks/externalLink84.xml"/><Relationship Id="rId170" Type="http://schemas.openxmlformats.org/officeDocument/2006/relationships/externalLink" Target="externalLinks/externalLink95.xml"/><Relationship Id="rId191" Type="http://schemas.openxmlformats.org/officeDocument/2006/relationships/externalLink" Target="externalLinks/externalLink116.xml"/><Relationship Id="rId205" Type="http://schemas.openxmlformats.org/officeDocument/2006/relationships/externalLink" Target="externalLinks/externalLink130.xml"/><Relationship Id="rId226" Type="http://schemas.openxmlformats.org/officeDocument/2006/relationships/externalLink" Target="externalLinks/externalLink151.xml"/><Relationship Id="rId247" Type="http://schemas.openxmlformats.org/officeDocument/2006/relationships/externalLink" Target="externalLinks/externalLink172.xml"/><Relationship Id="rId107" Type="http://schemas.openxmlformats.org/officeDocument/2006/relationships/externalLink" Target="externalLinks/externalLink32.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externalLink" Target="externalLinks/externalLink53.xml"/><Relationship Id="rId149" Type="http://schemas.openxmlformats.org/officeDocument/2006/relationships/externalLink" Target="externalLinks/externalLink74.xml"/><Relationship Id="rId5" Type="http://schemas.openxmlformats.org/officeDocument/2006/relationships/worksheet" Target="worksheets/sheet5.xml"/><Relationship Id="rId95" Type="http://schemas.openxmlformats.org/officeDocument/2006/relationships/externalLink" Target="externalLinks/externalLink20.xml"/><Relationship Id="rId160" Type="http://schemas.openxmlformats.org/officeDocument/2006/relationships/externalLink" Target="externalLinks/externalLink85.xml"/><Relationship Id="rId181" Type="http://schemas.openxmlformats.org/officeDocument/2006/relationships/externalLink" Target="externalLinks/externalLink106.xml"/><Relationship Id="rId216" Type="http://schemas.openxmlformats.org/officeDocument/2006/relationships/externalLink" Target="externalLinks/externalLink141.xml"/><Relationship Id="rId237" Type="http://schemas.openxmlformats.org/officeDocument/2006/relationships/externalLink" Target="externalLinks/externalLink162.xml"/><Relationship Id="rId258" Type="http://schemas.openxmlformats.org/officeDocument/2006/relationships/sheetMetadata" Target="metadata.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externalLink" Target="externalLinks/externalLink43.xml"/><Relationship Id="rId139" Type="http://schemas.openxmlformats.org/officeDocument/2006/relationships/externalLink" Target="externalLinks/externalLink64.xml"/><Relationship Id="rId85" Type="http://schemas.openxmlformats.org/officeDocument/2006/relationships/externalLink" Target="externalLinks/externalLink10.xml"/><Relationship Id="rId150" Type="http://schemas.openxmlformats.org/officeDocument/2006/relationships/externalLink" Target="externalLinks/externalLink75.xml"/><Relationship Id="rId171" Type="http://schemas.openxmlformats.org/officeDocument/2006/relationships/externalLink" Target="externalLinks/externalLink96.xml"/><Relationship Id="rId192" Type="http://schemas.openxmlformats.org/officeDocument/2006/relationships/externalLink" Target="externalLinks/externalLink117.xml"/><Relationship Id="rId206" Type="http://schemas.openxmlformats.org/officeDocument/2006/relationships/externalLink" Target="externalLinks/externalLink131.xml"/><Relationship Id="rId227" Type="http://schemas.openxmlformats.org/officeDocument/2006/relationships/externalLink" Target="externalLinks/externalLink152.xml"/><Relationship Id="rId248" Type="http://schemas.openxmlformats.org/officeDocument/2006/relationships/externalLink" Target="externalLinks/externalLink173.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externalLink" Target="externalLinks/externalLink33.xml"/><Relationship Id="rId129" Type="http://schemas.openxmlformats.org/officeDocument/2006/relationships/externalLink" Target="externalLinks/externalLink54.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externalLink" Target="externalLinks/externalLink21.xml"/><Relationship Id="rId140" Type="http://schemas.openxmlformats.org/officeDocument/2006/relationships/externalLink" Target="externalLinks/externalLink65.xml"/><Relationship Id="rId161" Type="http://schemas.openxmlformats.org/officeDocument/2006/relationships/externalLink" Target="externalLinks/externalLink86.xml"/><Relationship Id="rId182" Type="http://schemas.openxmlformats.org/officeDocument/2006/relationships/externalLink" Target="externalLinks/externalLink107.xml"/><Relationship Id="rId217" Type="http://schemas.openxmlformats.org/officeDocument/2006/relationships/externalLink" Target="externalLinks/externalLink142.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externalLink" Target="externalLinks/externalLink137.xml"/><Relationship Id="rId233" Type="http://schemas.openxmlformats.org/officeDocument/2006/relationships/externalLink" Target="externalLinks/externalLink158.xml"/><Relationship Id="rId238" Type="http://schemas.openxmlformats.org/officeDocument/2006/relationships/externalLink" Target="externalLinks/externalLink163.xml"/><Relationship Id="rId254" Type="http://schemas.openxmlformats.org/officeDocument/2006/relationships/pivotCacheDefinition" Target="pivotCache/pivotCacheDefinition1.xml"/><Relationship Id="rId259" Type="http://schemas.microsoft.com/office/2017/10/relationships/person" Target="persons/person.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39.xml"/><Relationship Id="rId119" Type="http://schemas.openxmlformats.org/officeDocument/2006/relationships/externalLink" Target="externalLinks/externalLink44.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externalLink" Target="externalLinks/externalLink6.xml"/><Relationship Id="rId86" Type="http://schemas.openxmlformats.org/officeDocument/2006/relationships/externalLink" Target="externalLinks/externalLink11.xml"/><Relationship Id="rId130" Type="http://schemas.openxmlformats.org/officeDocument/2006/relationships/externalLink" Target="externalLinks/externalLink55.xml"/><Relationship Id="rId135" Type="http://schemas.openxmlformats.org/officeDocument/2006/relationships/externalLink" Target="externalLinks/externalLink60.xml"/><Relationship Id="rId151" Type="http://schemas.openxmlformats.org/officeDocument/2006/relationships/externalLink" Target="externalLinks/externalLink76.xml"/><Relationship Id="rId156" Type="http://schemas.openxmlformats.org/officeDocument/2006/relationships/externalLink" Target="externalLinks/externalLink81.xml"/><Relationship Id="rId177" Type="http://schemas.openxmlformats.org/officeDocument/2006/relationships/externalLink" Target="externalLinks/externalLink102.xml"/><Relationship Id="rId198" Type="http://schemas.openxmlformats.org/officeDocument/2006/relationships/externalLink" Target="externalLinks/externalLink123.xml"/><Relationship Id="rId172" Type="http://schemas.openxmlformats.org/officeDocument/2006/relationships/externalLink" Target="externalLinks/externalLink97.xml"/><Relationship Id="rId193" Type="http://schemas.openxmlformats.org/officeDocument/2006/relationships/externalLink" Target="externalLinks/externalLink118.xml"/><Relationship Id="rId202" Type="http://schemas.openxmlformats.org/officeDocument/2006/relationships/externalLink" Target="externalLinks/externalLink127.xml"/><Relationship Id="rId207" Type="http://schemas.openxmlformats.org/officeDocument/2006/relationships/externalLink" Target="externalLinks/externalLink132.xml"/><Relationship Id="rId223" Type="http://schemas.openxmlformats.org/officeDocument/2006/relationships/externalLink" Target="externalLinks/externalLink148.xml"/><Relationship Id="rId228" Type="http://schemas.openxmlformats.org/officeDocument/2006/relationships/externalLink" Target="externalLinks/externalLink153.xml"/><Relationship Id="rId244" Type="http://schemas.openxmlformats.org/officeDocument/2006/relationships/externalLink" Target="externalLinks/externalLink169.xml"/><Relationship Id="rId249" Type="http://schemas.openxmlformats.org/officeDocument/2006/relationships/externalLink" Target="externalLinks/externalLink174.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34.xml"/><Relationship Id="rId260"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xml"/><Relationship Id="rId97" Type="http://schemas.openxmlformats.org/officeDocument/2006/relationships/externalLink" Target="externalLinks/externalLink22.xml"/><Relationship Id="rId104" Type="http://schemas.openxmlformats.org/officeDocument/2006/relationships/externalLink" Target="externalLinks/externalLink29.xml"/><Relationship Id="rId120" Type="http://schemas.openxmlformats.org/officeDocument/2006/relationships/externalLink" Target="externalLinks/externalLink45.xml"/><Relationship Id="rId125" Type="http://schemas.openxmlformats.org/officeDocument/2006/relationships/externalLink" Target="externalLinks/externalLink50.xml"/><Relationship Id="rId141" Type="http://schemas.openxmlformats.org/officeDocument/2006/relationships/externalLink" Target="externalLinks/externalLink66.xml"/><Relationship Id="rId146" Type="http://schemas.openxmlformats.org/officeDocument/2006/relationships/externalLink" Target="externalLinks/externalLink71.xml"/><Relationship Id="rId167" Type="http://schemas.openxmlformats.org/officeDocument/2006/relationships/externalLink" Target="externalLinks/externalLink92.xml"/><Relationship Id="rId188" Type="http://schemas.openxmlformats.org/officeDocument/2006/relationships/externalLink" Target="externalLinks/externalLink11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7.xml"/><Relationship Id="rId162" Type="http://schemas.openxmlformats.org/officeDocument/2006/relationships/externalLink" Target="externalLinks/externalLink87.xml"/><Relationship Id="rId183" Type="http://schemas.openxmlformats.org/officeDocument/2006/relationships/externalLink" Target="externalLinks/externalLink108.xml"/><Relationship Id="rId213" Type="http://schemas.openxmlformats.org/officeDocument/2006/relationships/externalLink" Target="externalLinks/externalLink138.xml"/><Relationship Id="rId218" Type="http://schemas.openxmlformats.org/officeDocument/2006/relationships/externalLink" Target="externalLinks/externalLink143.xml"/><Relationship Id="rId234" Type="http://schemas.openxmlformats.org/officeDocument/2006/relationships/externalLink" Target="externalLinks/externalLink159.xml"/><Relationship Id="rId239" Type="http://schemas.openxmlformats.org/officeDocument/2006/relationships/externalLink" Target="externalLinks/externalLink164.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externalLink" Target="externalLinks/externalLink175.xml"/><Relationship Id="rId255" Type="http://schemas.openxmlformats.org/officeDocument/2006/relationships/theme" Target="theme/theme1.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12.xml"/><Relationship Id="rId110" Type="http://schemas.openxmlformats.org/officeDocument/2006/relationships/externalLink" Target="externalLinks/externalLink35.xml"/><Relationship Id="rId115" Type="http://schemas.openxmlformats.org/officeDocument/2006/relationships/externalLink" Target="externalLinks/externalLink40.xml"/><Relationship Id="rId131" Type="http://schemas.openxmlformats.org/officeDocument/2006/relationships/externalLink" Target="externalLinks/externalLink56.xml"/><Relationship Id="rId136" Type="http://schemas.openxmlformats.org/officeDocument/2006/relationships/externalLink" Target="externalLinks/externalLink61.xml"/><Relationship Id="rId157" Type="http://schemas.openxmlformats.org/officeDocument/2006/relationships/externalLink" Target="externalLinks/externalLink82.xml"/><Relationship Id="rId178" Type="http://schemas.openxmlformats.org/officeDocument/2006/relationships/externalLink" Target="externalLinks/externalLink103.xml"/><Relationship Id="rId61" Type="http://schemas.openxmlformats.org/officeDocument/2006/relationships/worksheet" Target="worksheets/sheet61.xml"/><Relationship Id="rId82" Type="http://schemas.openxmlformats.org/officeDocument/2006/relationships/externalLink" Target="externalLinks/externalLink7.xml"/><Relationship Id="rId152" Type="http://schemas.openxmlformats.org/officeDocument/2006/relationships/externalLink" Target="externalLinks/externalLink77.xml"/><Relationship Id="rId173" Type="http://schemas.openxmlformats.org/officeDocument/2006/relationships/externalLink" Target="externalLinks/externalLink98.xml"/><Relationship Id="rId194" Type="http://schemas.openxmlformats.org/officeDocument/2006/relationships/externalLink" Target="externalLinks/externalLink119.xml"/><Relationship Id="rId199" Type="http://schemas.openxmlformats.org/officeDocument/2006/relationships/externalLink" Target="externalLinks/externalLink124.xml"/><Relationship Id="rId203" Type="http://schemas.openxmlformats.org/officeDocument/2006/relationships/externalLink" Target="externalLinks/externalLink128.xml"/><Relationship Id="rId208" Type="http://schemas.openxmlformats.org/officeDocument/2006/relationships/externalLink" Target="externalLinks/externalLink133.xml"/><Relationship Id="rId229" Type="http://schemas.openxmlformats.org/officeDocument/2006/relationships/externalLink" Target="externalLinks/externalLink154.xml"/><Relationship Id="rId19" Type="http://schemas.openxmlformats.org/officeDocument/2006/relationships/worksheet" Target="worksheets/sheet19.xml"/><Relationship Id="rId224" Type="http://schemas.openxmlformats.org/officeDocument/2006/relationships/externalLink" Target="externalLinks/externalLink149.xml"/><Relationship Id="rId240" Type="http://schemas.openxmlformats.org/officeDocument/2006/relationships/externalLink" Target="externalLinks/externalLink165.xml"/><Relationship Id="rId245" Type="http://schemas.openxmlformats.org/officeDocument/2006/relationships/externalLink" Target="externalLinks/externalLink170.xml"/><Relationship Id="rId261" Type="http://schemas.openxmlformats.org/officeDocument/2006/relationships/customXml" Target="../customXml/item1.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2.xml"/><Relationship Id="rId100" Type="http://schemas.openxmlformats.org/officeDocument/2006/relationships/externalLink" Target="externalLinks/externalLink25.xml"/><Relationship Id="rId105" Type="http://schemas.openxmlformats.org/officeDocument/2006/relationships/externalLink" Target="externalLinks/externalLink30.xml"/><Relationship Id="rId126" Type="http://schemas.openxmlformats.org/officeDocument/2006/relationships/externalLink" Target="externalLinks/externalLink51.xml"/><Relationship Id="rId147" Type="http://schemas.openxmlformats.org/officeDocument/2006/relationships/externalLink" Target="externalLinks/externalLink72.xml"/><Relationship Id="rId168" Type="http://schemas.openxmlformats.org/officeDocument/2006/relationships/externalLink" Target="externalLinks/externalLink9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18.xml"/><Relationship Id="rId98" Type="http://schemas.openxmlformats.org/officeDocument/2006/relationships/externalLink" Target="externalLinks/externalLink23.xml"/><Relationship Id="rId121" Type="http://schemas.openxmlformats.org/officeDocument/2006/relationships/externalLink" Target="externalLinks/externalLink46.xml"/><Relationship Id="rId142" Type="http://schemas.openxmlformats.org/officeDocument/2006/relationships/externalLink" Target="externalLinks/externalLink67.xml"/><Relationship Id="rId163" Type="http://schemas.openxmlformats.org/officeDocument/2006/relationships/externalLink" Target="externalLinks/externalLink88.xml"/><Relationship Id="rId184" Type="http://schemas.openxmlformats.org/officeDocument/2006/relationships/externalLink" Target="externalLinks/externalLink109.xml"/><Relationship Id="rId189" Type="http://schemas.openxmlformats.org/officeDocument/2006/relationships/externalLink" Target="externalLinks/externalLink114.xml"/><Relationship Id="rId219" Type="http://schemas.openxmlformats.org/officeDocument/2006/relationships/externalLink" Target="externalLinks/externalLink144.xml"/><Relationship Id="rId3" Type="http://schemas.openxmlformats.org/officeDocument/2006/relationships/worksheet" Target="worksheets/sheet3.xml"/><Relationship Id="rId214" Type="http://schemas.openxmlformats.org/officeDocument/2006/relationships/externalLink" Target="externalLinks/externalLink139.xml"/><Relationship Id="rId230" Type="http://schemas.openxmlformats.org/officeDocument/2006/relationships/externalLink" Target="externalLinks/externalLink155.xml"/><Relationship Id="rId235" Type="http://schemas.openxmlformats.org/officeDocument/2006/relationships/externalLink" Target="externalLinks/externalLink160.xml"/><Relationship Id="rId251" Type="http://schemas.openxmlformats.org/officeDocument/2006/relationships/externalLink" Target="externalLinks/externalLink176.xml"/><Relationship Id="rId256" Type="http://schemas.openxmlformats.org/officeDocument/2006/relationships/styles" Target="style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41.xml"/><Relationship Id="rId137" Type="http://schemas.openxmlformats.org/officeDocument/2006/relationships/externalLink" Target="externalLinks/externalLink62.xml"/><Relationship Id="rId158" Type="http://schemas.openxmlformats.org/officeDocument/2006/relationships/externalLink" Target="externalLinks/externalLink8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externalLink" Target="externalLinks/externalLink8.xml"/><Relationship Id="rId88" Type="http://schemas.openxmlformats.org/officeDocument/2006/relationships/externalLink" Target="externalLinks/externalLink13.xml"/><Relationship Id="rId111" Type="http://schemas.openxmlformats.org/officeDocument/2006/relationships/externalLink" Target="externalLinks/externalLink36.xml"/><Relationship Id="rId132" Type="http://schemas.openxmlformats.org/officeDocument/2006/relationships/externalLink" Target="externalLinks/externalLink57.xml"/><Relationship Id="rId153" Type="http://schemas.openxmlformats.org/officeDocument/2006/relationships/externalLink" Target="externalLinks/externalLink78.xml"/><Relationship Id="rId174" Type="http://schemas.openxmlformats.org/officeDocument/2006/relationships/externalLink" Target="externalLinks/externalLink99.xml"/><Relationship Id="rId179" Type="http://schemas.openxmlformats.org/officeDocument/2006/relationships/externalLink" Target="externalLinks/externalLink104.xml"/><Relationship Id="rId195" Type="http://schemas.openxmlformats.org/officeDocument/2006/relationships/externalLink" Target="externalLinks/externalLink120.xml"/><Relationship Id="rId209" Type="http://schemas.openxmlformats.org/officeDocument/2006/relationships/externalLink" Target="externalLinks/externalLink134.xml"/><Relationship Id="rId190" Type="http://schemas.openxmlformats.org/officeDocument/2006/relationships/externalLink" Target="externalLinks/externalLink115.xml"/><Relationship Id="rId204" Type="http://schemas.openxmlformats.org/officeDocument/2006/relationships/externalLink" Target="externalLinks/externalLink129.xml"/><Relationship Id="rId220" Type="http://schemas.openxmlformats.org/officeDocument/2006/relationships/externalLink" Target="externalLinks/externalLink145.xml"/><Relationship Id="rId225" Type="http://schemas.openxmlformats.org/officeDocument/2006/relationships/externalLink" Target="externalLinks/externalLink150.xml"/><Relationship Id="rId241" Type="http://schemas.openxmlformats.org/officeDocument/2006/relationships/externalLink" Target="externalLinks/externalLink166.xml"/><Relationship Id="rId246" Type="http://schemas.openxmlformats.org/officeDocument/2006/relationships/externalLink" Target="externalLinks/externalLink17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31.xml"/><Relationship Id="rId127" Type="http://schemas.openxmlformats.org/officeDocument/2006/relationships/externalLink" Target="externalLinks/externalLink52.xml"/><Relationship Id="rId262"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externalLink" Target="externalLinks/externalLink3.xml"/><Relationship Id="rId94" Type="http://schemas.openxmlformats.org/officeDocument/2006/relationships/externalLink" Target="externalLinks/externalLink19.xml"/><Relationship Id="rId99" Type="http://schemas.openxmlformats.org/officeDocument/2006/relationships/externalLink" Target="externalLinks/externalLink24.xml"/><Relationship Id="rId101" Type="http://schemas.openxmlformats.org/officeDocument/2006/relationships/externalLink" Target="externalLinks/externalLink26.xml"/><Relationship Id="rId122" Type="http://schemas.openxmlformats.org/officeDocument/2006/relationships/externalLink" Target="externalLinks/externalLink47.xml"/><Relationship Id="rId143" Type="http://schemas.openxmlformats.org/officeDocument/2006/relationships/externalLink" Target="externalLinks/externalLink68.xml"/><Relationship Id="rId148" Type="http://schemas.openxmlformats.org/officeDocument/2006/relationships/externalLink" Target="externalLinks/externalLink73.xml"/><Relationship Id="rId164" Type="http://schemas.openxmlformats.org/officeDocument/2006/relationships/externalLink" Target="externalLinks/externalLink89.xml"/><Relationship Id="rId169" Type="http://schemas.openxmlformats.org/officeDocument/2006/relationships/externalLink" Target="externalLinks/externalLink94.xml"/><Relationship Id="rId185" Type="http://schemas.openxmlformats.org/officeDocument/2006/relationships/externalLink" Target="externalLinks/externalLink110.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05.xml"/><Relationship Id="rId210" Type="http://schemas.openxmlformats.org/officeDocument/2006/relationships/externalLink" Target="externalLinks/externalLink135.xml"/><Relationship Id="rId215" Type="http://schemas.openxmlformats.org/officeDocument/2006/relationships/externalLink" Target="externalLinks/externalLink140.xml"/><Relationship Id="rId236" Type="http://schemas.openxmlformats.org/officeDocument/2006/relationships/externalLink" Target="externalLinks/externalLink161.xml"/><Relationship Id="rId257" Type="http://schemas.openxmlformats.org/officeDocument/2006/relationships/sharedStrings" Target="sharedStrings.xml"/><Relationship Id="rId26" Type="http://schemas.openxmlformats.org/officeDocument/2006/relationships/worksheet" Target="worksheets/sheet26.xml"/><Relationship Id="rId231" Type="http://schemas.openxmlformats.org/officeDocument/2006/relationships/externalLink" Target="externalLinks/externalLink156.xml"/><Relationship Id="rId252" Type="http://schemas.openxmlformats.org/officeDocument/2006/relationships/externalLink" Target="externalLinks/externalLink177.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externalLink" Target="externalLinks/externalLink14.xml"/><Relationship Id="rId112" Type="http://schemas.openxmlformats.org/officeDocument/2006/relationships/externalLink" Target="externalLinks/externalLink37.xml"/><Relationship Id="rId133" Type="http://schemas.openxmlformats.org/officeDocument/2006/relationships/externalLink" Target="externalLinks/externalLink58.xml"/><Relationship Id="rId154" Type="http://schemas.openxmlformats.org/officeDocument/2006/relationships/externalLink" Target="externalLinks/externalLink79.xml"/><Relationship Id="rId175" Type="http://schemas.openxmlformats.org/officeDocument/2006/relationships/externalLink" Target="externalLinks/externalLink100.xml"/><Relationship Id="rId196" Type="http://schemas.openxmlformats.org/officeDocument/2006/relationships/externalLink" Target="externalLinks/externalLink121.xml"/><Relationship Id="rId200" Type="http://schemas.openxmlformats.org/officeDocument/2006/relationships/externalLink" Target="externalLinks/externalLink125.xml"/><Relationship Id="rId16" Type="http://schemas.openxmlformats.org/officeDocument/2006/relationships/worksheet" Target="worksheets/sheet16.xml"/><Relationship Id="rId221" Type="http://schemas.openxmlformats.org/officeDocument/2006/relationships/externalLink" Target="externalLinks/externalLink146.xml"/><Relationship Id="rId242" Type="http://schemas.openxmlformats.org/officeDocument/2006/relationships/externalLink" Target="externalLinks/externalLink167.xml"/><Relationship Id="rId263" Type="http://schemas.openxmlformats.org/officeDocument/2006/relationships/customXml" Target="../customXml/item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externalLink" Target="externalLinks/externalLink4.xml"/><Relationship Id="rId102" Type="http://schemas.openxmlformats.org/officeDocument/2006/relationships/externalLink" Target="externalLinks/externalLink27.xml"/><Relationship Id="rId123" Type="http://schemas.openxmlformats.org/officeDocument/2006/relationships/externalLink" Target="externalLinks/externalLink48.xml"/><Relationship Id="rId144" Type="http://schemas.openxmlformats.org/officeDocument/2006/relationships/externalLink" Target="externalLinks/externalLink69.xml"/><Relationship Id="rId90" Type="http://schemas.openxmlformats.org/officeDocument/2006/relationships/externalLink" Target="externalLinks/externalLink15.xml"/><Relationship Id="rId165" Type="http://schemas.openxmlformats.org/officeDocument/2006/relationships/externalLink" Target="externalLinks/externalLink90.xml"/><Relationship Id="rId186" Type="http://schemas.openxmlformats.org/officeDocument/2006/relationships/externalLink" Target="externalLinks/externalLink111.xml"/><Relationship Id="rId211" Type="http://schemas.openxmlformats.org/officeDocument/2006/relationships/externalLink" Target="externalLinks/externalLink136.xml"/><Relationship Id="rId232" Type="http://schemas.openxmlformats.org/officeDocument/2006/relationships/externalLink" Target="externalLinks/externalLink157.xml"/><Relationship Id="rId253" Type="http://schemas.openxmlformats.org/officeDocument/2006/relationships/externalLink" Target="externalLinks/externalLink178.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externalLink" Target="externalLinks/externalLink38.xml"/><Relationship Id="rId134" Type="http://schemas.openxmlformats.org/officeDocument/2006/relationships/externalLink" Target="externalLinks/externalLink59.xml"/><Relationship Id="rId80" Type="http://schemas.openxmlformats.org/officeDocument/2006/relationships/externalLink" Target="externalLinks/externalLink5.xml"/><Relationship Id="rId155" Type="http://schemas.openxmlformats.org/officeDocument/2006/relationships/externalLink" Target="externalLinks/externalLink80.xml"/><Relationship Id="rId176" Type="http://schemas.openxmlformats.org/officeDocument/2006/relationships/externalLink" Target="externalLinks/externalLink101.xml"/><Relationship Id="rId197" Type="http://schemas.openxmlformats.org/officeDocument/2006/relationships/externalLink" Target="externalLinks/externalLink122.xml"/><Relationship Id="rId201" Type="http://schemas.openxmlformats.org/officeDocument/2006/relationships/externalLink" Target="externalLinks/externalLink126.xml"/><Relationship Id="rId222" Type="http://schemas.openxmlformats.org/officeDocument/2006/relationships/externalLink" Target="externalLinks/externalLink147.xml"/><Relationship Id="rId243" Type="http://schemas.openxmlformats.org/officeDocument/2006/relationships/externalLink" Target="externalLinks/externalLink168.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28.xml"/><Relationship Id="rId124" Type="http://schemas.openxmlformats.org/officeDocument/2006/relationships/externalLink" Target="externalLinks/externalLink49.xml"/><Relationship Id="rId70" Type="http://schemas.openxmlformats.org/officeDocument/2006/relationships/worksheet" Target="worksheets/sheet70.xml"/><Relationship Id="rId91" Type="http://schemas.openxmlformats.org/officeDocument/2006/relationships/externalLink" Target="externalLinks/externalLink16.xml"/><Relationship Id="rId145" Type="http://schemas.openxmlformats.org/officeDocument/2006/relationships/externalLink" Target="externalLinks/externalLink70.xml"/><Relationship Id="rId166" Type="http://schemas.openxmlformats.org/officeDocument/2006/relationships/externalLink" Target="externalLinks/externalLink91.xml"/><Relationship Id="rId187" Type="http://schemas.openxmlformats.org/officeDocument/2006/relationships/externalLink" Target="externalLinks/externalLink1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[test.xlsx]Planned v Outtrun!PivotTable1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'Planned v Outtrun'!$M$1</c:f>
              <c:strCache>
                <c:ptCount val="1"/>
                <c:pt idx="0">
                  <c:v>Sum of Real difference in outrun to plan (£bn)</c:v>
                </c:pt>
              </c:strCache>
            </c:strRef>
          </c:tx>
          <c:spPr>
            <a:solidFill>
              <a:schemeClr val="accent2"/>
            </a:solidFill>
            <a:ln>
              <a:noFill/>
            </a:ln>
            <a:effectLst/>
          </c:spPr>
          <c:invertIfNegative val="0"/>
          <c:cat>
            <c:strRef>
              <c:f>'Planned v Outtrun'!$K$2:$K$11</c:f>
              <c:strCache>
                <c:ptCount val="9"/>
                <c:pt idx="0">
                  <c:v>2016-17</c:v>
                </c:pt>
                <c:pt idx="1">
                  <c:v>2017-18</c:v>
                </c:pt>
                <c:pt idx="2">
                  <c:v>2018-19</c:v>
                </c:pt>
                <c:pt idx="3">
                  <c:v>2019-20</c:v>
                </c:pt>
                <c:pt idx="4">
                  <c:v>2020-21</c:v>
                </c:pt>
                <c:pt idx="5">
                  <c:v>2021-22</c:v>
                </c:pt>
                <c:pt idx="6">
                  <c:v>2022-23</c:v>
                </c:pt>
                <c:pt idx="7">
                  <c:v>2023-24</c:v>
                </c:pt>
                <c:pt idx="8">
                  <c:v>2024-25</c:v>
                </c:pt>
              </c:strCache>
            </c:strRef>
          </c:cat>
          <c:val>
            <c:numRef>
              <c:f>'Planned v Outtrun'!$M$2:$M$11</c:f>
              <c:numCache>
                <c:formatCode>General</c:formatCode>
                <c:ptCount val="9"/>
                <c:pt idx="0">
                  <c:v>0.93358354304569369</c:v>
                </c:pt>
                <c:pt idx="1">
                  <c:v>1.6862358875468344</c:v>
                </c:pt>
                <c:pt idx="2">
                  <c:v>2.475586302418451</c:v>
                </c:pt>
                <c:pt idx="3">
                  <c:v>5.7489171059391522</c:v>
                </c:pt>
                <c:pt idx="4">
                  <c:v>30.64181218972907</c:v>
                </c:pt>
                <c:pt idx="5">
                  <c:v>2.1494454986380296</c:v>
                </c:pt>
                <c:pt idx="6">
                  <c:v>3.5246794523138085</c:v>
                </c:pt>
                <c:pt idx="7">
                  <c:v>4.3946419289099579</c:v>
                </c:pt>
                <c:pt idx="8">
                  <c:v>10.599999999999994</c:v>
                </c:pt>
              </c:numCache>
            </c:numRef>
          </c:val>
          <c:extLst>
            <c:ext xmlns:c16="http://schemas.microsoft.com/office/drawing/2014/chart" uri="{C3380CC4-5D6E-409C-BE32-E72D297353CC}">
              <c16:uniqueId val="{00000004-80F5-418A-A03D-6958DD5B1BED}"/>
            </c:ext>
          </c:extLst>
        </c:ser>
        <c:dLbls>
          <c:showLegendKey val="0"/>
          <c:showVal val="0"/>
          <c:showCatName val="0"/>
          <c:showSerName val="0"/>
          <c:showPercent val="0"/>
          <c:showBubbleSize val="0"/>
        </c:dLbls>
        <c:gapWidth val="219"/>
        <c:axId val="869339680"/>
        <c:axId val="869340760"/>
      </c:barChart>
      <c:lineChart>
        <c:grouping val="standard"/>
        <c:varyColors val="0"/>
        <c:ser>
          <c:idx val="0"/>
          <c:order val="0"/>
          <c:tx>
            <c:strRef>
              <c:f>'Planned v Outtrun'!$L$1</c:f>
              <c:strCache>
                <c:ptCount val="1"/>
                <c:pt idx="0">
                  <c:v>Sum of Real Percentage difference of outrun / planned</c:v>
                </c:pt>
              </c:strCache>
            </c:strRef>
          </c:tx>
          <c:spPr>
            <a:ln w="28575" cap="rnd">
              <a:solidFill>
                <a:schemeClr val="accent1"/>
              </a:solidFill>
              <a:round/>
            </a:ln>
            <a:effectLst/>
          </c:spPr>
          <c:marker>
            <c:symbol val="none"/>
          </c:marker>
          <c:cat>
            <c:strRef>
              <c:f>'Planned v Outtrun'!$K$2:$K$11</c:f>
              <c:strCache>
                <c:ptCount val="9"/>
                <c:pt idx="0">
                  <c:v>2016-17</c:v>
                </c:pt>
                <c:pt idx="1">
                  <c:v>2017-18</c:v>
                </c:pt>
                <c:pt idx="2">
                  <c:v>2018-19</c:v>
                </c:pt>
                <c:pt idx="3">
                  <c:v>2019-20</c:v>
                </c:pt>
                <c:pt idx="4">
                  <c:v>2020-21</c:v>
                </c:pt>
                <c:pt idx="5">
                  <c:v>2021-22</c:v>
                </c:pt>
                <c:pt idx="6">
                  <c:v>2022-23</c:v>
                </c:pt>
                <c:pt idx="7">
                  <c:v>2023-24</c:v>
                </c:pt>
                <c:pt idx="8">
                  <c:v>2024-25</c:v>
                </c:pt>
              </c:strCache>
            </c:strRef>
          </c:cat>
          <c:val>
            <c:numRef>
              <c:f>'Planned v Outtrun'!$L$2:$L$11</c:f>
              <c:numCache>
                <c:formatCode>General</c:formatCode>
                <c:ptCount val="9"/>
                <c:pt idx="0">
                  <c:v>1.0479002796142778E-2</c:v>
                </c:pt>
                <c:pt idx="1">
                  <c:v>1.8166380818149364E-2</c:v>
                </c:pt>
                <c:pt idx="2">
                  <c:v>2.5446575040319219E-2</c:v>
                </c:pt>
                <c:pt idx="3">
                  <c:v>5.5534624848572633E-2</c:v>
                </c:pt>
                <c:pt idx="4">
                  <c:v>0.24523885649148913</c:v>
                </c:pt>
                <c:pt idx="5">
                  <c:v>1.4134696004894698E-2</c:v>
                </c:pt>
                <c:pt idx="6">
                  <c:v>2.2787398859738239E-2</c:v>
                </c:pt>
                <c:pt idx="7">
                  <c:v>2.5941601125539338E-2</c:v>
                </c:pt>
                <c:pt idx="8">
                  <c:v>5.9020044543429906E-2</c:v>
                </c:pt>
              </c:numCache>
            </c:numRef>
          </c:val>
          <c:smooth val="0"/>
          <c:extLst>
            <c:ext xmlns:c16="http://schemas.microsoft.com/office/drawing/2014/chart" uri="{C3380CC4-5D6E-409C-BE32-E72D297353CC}">
              <c16:uniqueId val="{00000003-80F5-418A-A03D-6958DD5B1BED}"/>
            </c:ext>
          </c:extLst>
        </c:ser>
        <c:dLbls>
          <c:showLegendKey val="0"/>
          <c:showVal val="0"/>
          <c:showCatName val="0"/>
          <c:showSerName val="0"/>
          <c:showPercent val="0"/>
          <c:showBubbleSize val="0"/>
        </c:dLbls>
        <c:marker val="1"/>
        <c:smooth val="0"/>
        <c:axId val="608045528"/>
        <c:axId val="608039048"/>
      </c:lineChart>
      <c:catAx>
        <c:axId val="86933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340760"/>
        <c:crosses val="autoZero"/>
        <c:auto val="1"/>
        <c:lblAlgn val="ctr"/>
        <c:lblOffset val="100"/>
        <c:noMultiLvlLbl val="0"/>
      </c:catAx>
      <c:valAx>
        <c:axId val="869340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339680"/>
        <c:crosses val="autoZero"/>
        <c:crossBetween val="between"/>
      </c:valAx>
      <c:valAx>
        <c:axId val="6080390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045528"/>
        <c:crosses val="max"/>
        <c:crossBetween val="between"/>
      </c:valAx>
      <c:catAx>
        <c:axId val="608045528"/>
        <c:scaling>
          <c:orientation val="minMax"/>
        </c:scaling>
        <c:delete val="1"/>
        <c:axPos val="b"/>
        <c:numFmt formatCode="General" sourceLinked="1"/>
        <c:majorTickMark val="out"/>
        <c:minorTickMark val="none"/>
        <c:tickLblPos val="nextTo"/>
        <c:crossAx val="608039048"/>
        <c:crosses val="autoZero"/>
        <c:auto val="1"/>
        <c:lblAlgn val="ctr"/>
        <c:lblOffset val="100"/>
        <c:noMultiLvlLbl val="0"/>
      </c:catAx>
      <c:spPr>
        <a:noFill/>
        <a:ln>
          <a:noFill/>
        </a:ln>
        <a:effectLst/>
      </c:spPr>
    </c:plotArea>
    <c:legend>
      <c:legendPos val="t"/>
      <c:layout>
        <c:manualLayout>
          <c:xMode val="edge"/>
          <c:yMode val="edge"/>
          <c:x val="1.2214181994054347E-2"/>
          <c:y val="9.3077694726526022E-2"/>
          <c:w val="0.6152461741663855"/>
          <c:h val="0.20394807983903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NHS England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'Adjusted spend'!$X$5</c:f>
              <c:strCache>
                <c:ptCount val="1"/>
                <c:pt idx="0">
                  <c:v>Real spend</c:v>
                </c:pt>
              </c:strCache>
            </c:strRef>
          </c:tx>
          <c:spPr>
            <a:ln w="28575" cap="rnd">
              <a:solidFill>
                <a:schemeClr val="accent1"/>
              </a:solidFill>
              <a:round/>
            </a:ln>
            <a:effectLst/>
          </c:spPr>
          <c:marker>
            <c:symbol val="none"/>
          </c:marker>
          <c:cat>
            <c:strRef>
              <c:f>'Adjusted spend'!$V$6:$V$17</c:f>
              <c:strCache>
                <c:ptCount val="12"/>
                <c:pt idx="0">
                  <c:v>2013–14</c:v>
                </c:pt>
                <c:pt idx="1">
                  <c:v>2014–15</c:v>
                </c:pt>
                <c:pt idx="2">
                  <c:v>2015–16</c:v>
                </c:pt>
                <c:pt idx="3">
                  <c:v>2016-17</c:v>
                </c:pt>
                <c:pt idx="4">
                  <c:v>2017-18</c:v>
                </c:pt>
                <c:pt idx="5">
                  <c:v>2018-19</c:v>
                </c:pt>
                <c:pt idx="6">
                  <c:v>2019-20</c:v>
                </c:pt>
                <c:pt idx="7">
                  <c:v>2020-21</c:v>
                </c:pt>
                <c:pt idx="8">
                  <c:v>2021-22</c:v>
                </c:pt>
                <c:pt idx="9">
                  <c:v>2022-23</c:v>
                </c:pt>
                <c:pt idx="10">
                  <c:v>2023-24</c:v>
                </c:pt>
                <c:pt idx="11">
                  <c:v>2024-25</c:v>
                </c:pt>
              </c:strCache>
            </c:strRef>
          </c:cat>
          <c:val>
            <c:numRef>
              <c:f>'Adjusted spend'!$X$6:$X$17</c:f>
              <c:numCache>
                <c:formatCode>General</c:formatCode>
                <c:ptCount val="12"/>
                <c:pt idx="0">
                  <c:v>100</c:v>
                </c:pt>
                <c:pt idx="1">
                  <c:v>102.37990031811286</c:v>
                </c:pt>
                <c:pt idx="2">
                  <c:v>105.28706126252318</c:v>
                </c:pt>
                <c:pt idx="3">
                  <c:v>108.24735469854349</c:v>
                </c:pt>
                <c:pt idx="4">
                  <c:v>110.47138322665846</c:v>
                </c:pt>
                <c:pt idx="5">
                  <c:v>110.97841944196341</c:v>
                </c:pt>
                <c:pt idx="6">
                  <c:v>119.17472334003224</c:v>
                </c:pt>
                <c:pt idx="7">
                  <c:v>131.02112090424137</c:v>
                </c:pt>
                <c:pt idx="8">
                  <c:v>137.58966205141971</c:v>
                </c:pt>
                <c:pt idx="9">
                  <c:v>135.84374666961298</c:v>
                </c:pt>
                <c:pt idx="10">
                  <c:v>136.13319220457649</c:v>
                </c:pt>
                <c:pt idx="11">
                  <c:v>139.65816864603607</c:v>
                </c:pt>
              </c:numCache>
            </c:numRef>
          </c:val>
          <c:smooth val="0"/>
          <c:extLst>
            <c:ext xmlns:c16="http://schemas.microsoft.com/office/drawing/2014/chart" uri="{C3380CC4-5D6E-409C-BE32-E72D297353CC}">
              <c16:uniqueId val="{00000000-E679-4821-B247-3A9AFC9796F0}"/>
            </c:ext>
          </c:extLst>
        </c:ser>
        <c:ser>
          <c:idx val="1"/>
          <c:order val="1"/>
          <c:tx>
            <c:strRef>
              <c:f>'Adjusted spend'!$Y$5</c:f>
              <c:strCache>
                <c:ptCount val="1"/>
                <c:pt idx="0">
                  <c:v>per-capita</c:v>
                </c:pt>
              </c:strCache>
            </c:strRef>
          </c:tx>
          <c:spPr>
            <a:ln w="28575" cap="rnd">
              <a:solidFill>
                <a:schemeClr val="accent2"/>
              </a:solidFill>
              <a:round/>
            </a:ln>
            <a:effectLst/>
          </c:spPr>
          <c:marker>
            <c:symbol val="none"/>
          </c:marker>
          <c:cat>
            <c:strRef>
              <c:f>'Adjusted spend'!$V$6:$V$17</c:f>
              <c:strCache>
                <c:ptCount val="12"/>
                <c:pt idx="0">
                  <c:v>2013–14</c:v>
                </c:pt>
                <c:pt idx="1">
                  <c:v>2014–15</c:v>
                </c:pt>
                <c:pt idx="2">
                  <c:v>2015–16</c:v>
                </c:pt>
                <c:pt idx="3">
                  <c:v>2016-17</c:v>
                </c:pt>
                <c:pt idx="4">
                  <c:v>2017-18</c:v>
                </c:pt>
                <c:pt idx="5">
                  <c:v>2018-19</c:v>
                </c:pt>
                <c:pt idx="6">
                  <c:v>2019-20</c:v>
                </c:pt>
                <c:pt idx="7">
                  <c:v>2020-21</c:v>
                </c:pt>
                <c:pt idx="8">
                  <c:v>2021-22</c:v>
                </c:pt>
                <c:pt idx="9">
                  <c:v>2022-23</c:v>
                </c:pt>
                <c:pt idx="10">
                  <c:v>2023-24</c:v>
                </c:pt>
                <c:pt idx="11">
                  <c:v>2024-25</c:v>
                </c:pt>
              </c:strCache>
            </c:strRef>
          </c:cat>
          <c:val>
            <c:numRef>
              <c:f>'Adjusted spend'!$Y$6:$Y$17</c:f>
              <c:numCache>
                <c:formatCode>General</c:formatCode>
                <c:ptCount val="12"/>
                <c:pt idx="0">
                  <c:v>100</c:v>
                </c:pt>
                <c:pt idx="1">
                  <c:v>101.52947048119449</c:v>
                </c:pt>
                <c:pt idx="2">
                  <c:v>103.5773970543779</c:v>
                </c:pt>
                <c:pt idx="3">
                  <c:v>105.56442581943813</c:v>
                </c:pt>
                <c:pt idx="4">
                  <c:v>107.09313610718061</c:v>
                </c:pt>
                <c:pt idx="5">
                  <c:v>106.99796251597367</c:v>
                </c:pt>
                <c:pt idx="6">
                  <c:v>114.27597523481164</c:v>
                </c:pt>
                <c:pt idx="7">
                  <c:v>125.42150283780917</c:v>
                </c:pt>
                <c:pt idx="8">
                  <c:v>131.17616626644397</c:v>
                </c:pt>
                <c:pt idx="9">
                  <c:v>128.26087055503677</c:v>
                </c:pt>
                <c:pt idx="10">
                  <c:v>127.21276258629564</c:v>
                </c:pt>
                <c:pt idx="11">
                  <c:v>129.17364626188308</c:v>
                </c:pt>
              </c:numCache>
            </c:numRef>
          </c:val>
          <c:smooth val="0"/>
          <c:extLst>
            <c:ext xmlns:c16="http://schemas.microsoft.com/office/drawing/2014/chart" uri="{C3380CC4-5D6E-409C-BE32-E72D297353CC}">
              <c16:uniqueId val="{00000001-E679-4821-B247-3A9AFC9796F0}"/>
            </c:ext>
          </c:extLst>
        </c:ser>
        <c:ser>
          <c:idx val="2"/>
          <c:order val="2"/>
          <c:tx>
            <c:strRef>
              <c:f>'Adjusted spend'!$Z$5</c:f>
              <c:strCache>
                <c:ptCount val="1"/>
                <c:pt idx="0">
                  <c:v>age-adjusted</c:v>
                </c:pt>
              </c:strCache>
            </c:strRef>
          </c:tx>
          <c:spPr>
            <a:ln w="28575" cap="rnd">
              <a:solidFill>
                <a:schemeClr val="accent3"/>
              </a:solidFill>
              <a:round/>
            </a:ln>
            <a:effectLst/>
          </c:spPr>
          <c:marker>
            <c:symbol val="none"/>
          </c:marker>
          <c:cat>
            <c:strRef>
              <c:f>'Adjusted spend'!$V$6:$V$17</c:f>
              <c:strCache>
                <c:ptCount val="12"/>
                <c:pt idx="0">
                  <c:v>2013–14</c:v>
                </c:pt>
                <c:pt idx="1">
                  <c:v>2014–15</c:v>
                </c:pt>
                <c:pt idx="2">
                  <c:v>2015–16</c:v>
                </c:pt>
                <c:pt idx="3">
                  <c:v>2016-17</c:v>
                </c:pt>
                <c:pt idx="4">
                  <c:v>2017-18</c:v>
                </c:pt>
                <c:pt idx="5">
                  <c:v>2018-19</c:v>
                </c:pt>
                <c:pt idx="6">
                  <c:v>2019-20</c:v>
                </c:pt>
                <c:pt idx="7">
                  <c:v>2020-21</c:v>
                </c:pt>
                <c:pt idx="8">
                  <c:v>2021-22</c:v>
                </c:pt>
                <c:pt idx="9">
                  <c:v>2022-23</c:v>
                </c:pt>
                <c:pt idx="10">
                  <c:v>2023-24</c:v>
                </c:pt>
                <c:pt idx="11">
                  <c:v>2024-25</c:v>
                </c:pt>
              </c:strCache>
            </c:strRef>
          </c:cat>
          <c:val>
            <c:numRef>
              <c:f>'Adjusted spend'!$Z$6:$Z$17</c:f>
              <c:numCache>
                <c:formatCode>General</c:formatCode>
                <c:ptCount val="12"/>
                <c:pt idx="0">
                  <c:v>100</c:v>
                </c:pt>
                <c:pt idx="1">
                  <c:v>100.98913509938032</c:v>
                </c:pt>
                <c:pt idx="2">
                  <c:v>102.71825884381178</c:v>
                </c:pt>
                <c:pt idx="3">
                  <c:v>104.31880399294849</c:v>
                </c:pt>
                <c:pt idx="4">
                  <c:v>105.48867299236939</c:v>
                </c:pt>
                <c:pt idx="5">
                  <c:v>105.15418995065573</c:v>
                </c:pt>
                <c:pt idx="6">
                  <c:v>111.92153934360572</c:v>
                </c:pt>
                <c:pt idx="7">
                  <c:v>122.62273241968937</c:v>
                </c:pt>
                <c:pt idx="8">
                  <c:v>127.94964085940683</c:v>
                </c:pt>
                <c:pt idx="9">
                  <c:v>124.88323106285455</c:v>
                </c:pt>
                <c:pt idx="10">
                  <c:v>123.88424783490981</c:v>
                </c:pt>
                <c:pt idx="11">
                  <c:v>125.4621122594048</c:v>
                </c:pt>
              </c:numCache>
            </c:numRef>
          </c:val>
          <c:smooth val="0"/>
          <c:extLst>
            <c:ext xmlns:c16="http://schemas.microsoft.com/office/drawing/2014/chart" uri="{C3380CC4-5D6E-409C-BE32-E72D297353CC}">
              <c16:uniqueId val="{00000002-E679-4821-B247-3A9AFC9796F0}"/>
            </c:ext>
          </c:extLst>
        </c:ser>
        <c:dLbls>
          <c:showLegendKey val="0"/>
          <c:showVal val="0"/>
          <c:showCatName val="0"/>
          <c:showSerName val="0"/>
          <c:showPercent val="0"/>
          <c:showBubbleSize val="0"/>
        </c:dLbls>
        <c:smooth val="0"/>
        <c:axId val="896556888"/>
        <c:axId val="896557216"/>
      </c:lineChart>
      <c:catAx>
        <c:axId val="896556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57216"/>
        <c:crosses val="autoZero"/>
        <c:auto val="1"/>
        <c:lblAlgn val="ctr"/>
        <c:lblOffset val="100"/>
        <c:noMultiLvlLbl val="0"/>
      </c:catAx>
      <c:valAx>
        <c:axId val="896557216"/>
        <c:scaling>
          <c:orientation val="minMax"/>
          <c:min val="8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556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'Historic spend V1'!$BE$21</c:f>
              <c:strCache>
                <c:ptCount val="1"/>
                <c:pt idx="0">
                  <c:v>Waiting list growth</c:v>
                </c:pt>
              </c:strCache>
            </c:strRef>
          </c:tx>
          <c:spPr>
            <a:solidFill>
              <a:schemeClr val="accent1"/>
            </a:solidFill>
            <a:ln>
              <a:noFill/>
            </a:ln>
            <a:effectLst/>
          </c:spPr>
          <c:invertIfNegative val="0"/>
          <c:val>
            <c:numRef>
              <c:f>'Historic spend V1'!$BE$22:$BE$27</c:f>
              <c:numCache>
                <c:formatCode>0.0%</c:formatCode>
                <c:ptCount val="6"/>
                <c:pt idx="0">
                  <c:v>1.6905781742232451E-2</c:v>
                </c:pt>
                <c:pt idx="1">
                  <c:v>3.7613449877295757E-2</c:v>
                </c:pt>
                <c:pt idx="2">
                  <c:v>-1.5752041238444869E-3</c:v>
                </c:pt>
                <c:pt idx="3">
                  <c:v>9.998549543821289E-3</c:v>
                </c:pt>
                <c:pt idx="4">
                  <c:v>-8.7209897843093187E-2</c:v>
                </c:pt>
                <c:pt idx="5">
                  <c:v>6.2463556181038937E-2</c:v>
                </c:pt>
              </c:numCache>
            </c:numRef>
          </c:val>
          <c:extLst>
            <c:ext xmlns:c15="http://schemas.microsoft.com/office/drawing/2012/chart" uri="{02D57815-91ED-43cb-92C2-25804820EDAC}">
              <c15:filteredCategoryTitle>
                <c15:cat>
                  <c:strRef>
                    <c:extLst>
                      <c:ext uri="{02D57815-91ED-43cb-92C2-25804820EDAC}">
                        <c15:formulaRef>
                          <c15:sqref>'Historic spend V1'!$BD$22:$BD$27</c15:sqref>
                        </c15:formulaRef>
                      </c:ext>
                    </c:extLst>
                    <c:strCache>
                      <c:ptCount val="6"/>
                      <c:pt idx="0">
                        <c:v>1960s</c:v>
                      </c:pt>
                      <c:pt idx="1">
                        <c:v>1970s</c:v>
                      </c:pt>
                      <c:pt idx="2">
                        <c:v>1980s</c:v>
                      </c:pt>
                      <c:pt idx="3">
                        <c:v>1990s</c:v>
                      </c:pt>
                      <c:pt idx="4">
                        <c:v>2000s</c:v>
                      </c:pt>
                      <c:pt idx="5">
                        <c:v>2010s</c:v>
                      </c:pt>
                    </c:strCache>
                  </c:strRef>
                </c15:cat>
              </c15:filteredCategoryTitle>
            </c:ext>
            <c:ext xmlns:c16="http://schemas.microsoft.com/office/drawing/2014/chart" uri="{C3380CC4-5D6E-409C-BE32-E72D297353CC}">
              <c16:uniqueId val="{00000000-A054-4A83-A147-FFF8F39E1520}"/>
            </c:ext>
          </c:extLst>
        </c:ser>
        <c:ser>
          <c:idx val="1"/>
          <c:order val="1"/>
          <c:tx>
            <c:strRef>
              <c:f>'Historic spend V1'!$BF$21</c:f>
              <c:strCache>
                <c:ptCount val="1"/>
                <c:pt idx="0">
                  <c:v>Funding growth</c:v>
                </c:pt>
              </c:strCache>
            </c:strRef>
          </c:tx>
          <c:spPr>
            <a:solidFill>
              <a:schemeClr val="accent2"/>
            </a:solidFill>
            <a:ln>
              <a:noFill/>
            </a:ln>
            <a:effectLst/>
          </c:spPr>
          <c:invertIfNegative val="0"/>
          <c:val>
            <c:numRef>
              <c:f>'Historic spend V1'!$BF$22:$BF$27</c:f>
              <c:numCache>
                <c:formatCode>0.0%</c:formatCode>
                <c:ptCount val="6"/>
                <c:pt idx="0">
                  <c:v>3.9930608748561358E-2</c:v>
                </c:pt>
                <c:pt idx="1">
                  <c:v>4.2584564762698784E-2</c:v>
                </c:pt>
                <c:pt idx="2">
                  <c:v>2.9872926621567375E-2</c:v>
                </c:pt>
                <c:pt idx="3">
                  <c:v>4.3003097580749605E-2</c:v>
                </c:pt>
                <c:pt idx="4">
                  <c:v>6.712345294644928E-2</c:v>
                </c:pt>
                <c:pt idx="5">
                  <c:v>1.7694540340416065E-2</c:v>
                </c:pt>
              </c:numCache>
            </c:numRef>
          </c:val>
          <c:extLst>
            <c:ext xmlns:c15="http://schemas.microsoft.com/office/drawing/2012/chart" uri="{02D57815-91ED-43cb-92C2-25804820EDAC}">
              <c15:filteredCategoryTitle>
                <c15:cat>
                  <c:strRef>
                    <c:extLst>
                      <c:ext uri="{02D57815-91ED-43cb-92C2-25804820EDAC}">
                        <c15:formulaRef>
                          <c15:sqref>'Historic spend V1'!$BD$22:$BD$27</c15:sqref>
                        </c15:formulaRef>
                      </c:ext>
                    </c:extLst>
                    <c:strCache>
                      <c:ptCount val="6"/>
                      <c:pt idx="0">
                        <c:v>1960s</c:v>
                      </c:pt>
                      <c:pt idx="1">
                        <c:v>1970s</c:v>
                      </c:pt>
                      <c:pt idx="2">
                        <c:v>1980s</c:v>
                      </c:pt>
                      <c:pt idx="3">
                        <c:v>1990s</c:v>
                      </c:pt>
                      <c:pt idx="4">
                        <c:v>2000s</c:v>
                      </c:pt>
                      <c:pt idx="5">
                        <c:v>2010s</c:v>
                      </c:pt>
                    </c:strCache>
                  </c:strRef>
                </c15:cat>
              </c15:filteredCategoryTitle>
            </c:ext>
            <c:ext xmlns:c16="http://schemas.microsoft.com/office/drawing/2014/chart" uri="{C3380CC4-5D6E-409C-BE32-E72D297353CC}">
              <c16:uniqueId val="{00000001-A054-4A83-A147-FFF8F39E1520}"/>
            </c:ext>
          </c:extLst>
        </c:ser>
        <c:dLbls>
          <c:showLegendKey val="0"/>
          <c:showVal val="0"/>
          <c:showCatName val="0"/>
          <c:showSerName val="0"/>
          <c:showPercent val="0"/>
          <c:showBubbleSize val="0"/>
        </c:dLbls>
        <c:gapWidth val="219"/>
        <c:overlap val="-27"/>
        <c:axId val="687064152"/>
        <c:axId val="687055296"/>
      </c:barChart>
      <c:catAx>
        <c:axId val="687064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55296"/>
        <c:crosses val="autoZero"/>
        <c:auto val="1"/>
        <c:lblAlgn val="ctr"/>
        <c:lblOffset val="100"/>
        <c:noMultiLvlLbl val="0"/>
      </c:catAx>
      <c:valAx>
        <c:axId val="6870552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64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338018441055757E-2"/>
          <c:y val="4.1056004066807331E-2"/>
          <c:w val="0.9279532265063366"/>
          <c:h val="0.91224723634700966"/>
        </c:manualLayout>
      </c:layout>
      <c:scatterChart>
        <c:scatterStyle val="lineMarker"/>
        <c:varyColors val="0"/>
        <c:ser>
          <c:idx val="0"/>
          <c:order val="0"/>
          <c:tx>
            <c:strRef>
              <c:f>'Historic spend V1'!$BF$21</c:f>
              <c:strCache>
                <c:ptCount val="1"/>
                <c:pt idx="0">
                  <c:v>Funding growth</c:v>
                </c:pt>
              </c:strCache>
            </c:strRef>
          </c:tx>
          <c:spPr>
            <a:ln w="25400" cap="rnd">
              <a:noFill/>
              <a:round/>
            </a:ln>
            <a:effectLst/>
          </c:spPr>
          <c:marker>
            <c:symbol val="circle"/>
            <c:size val="5"/>
            <c:spPr>
              <a:solidFill>
                <a:schemeClr val="accent1"/>
              </a:solidFill>
              <a:ln w="9525">
                <a:solidFill>
                  <a:schemeClr val="accent1"/>
                </a:solidFill>
              </a:ln>
              <a:effectLst/>
            </c:spPr>
          </c:marker>
          <c:xVal>
            <c:numRef>
              <c:f>'Historic spend V1'!$BE$22:$BE$27</c:f>
              <c:numCache>
                <c:formatCode>0.0%</c:formatCode>
                <c:ptCount val="6"/>
                <c:pt idx="0">
                  <c:v>1.6905781742232451E-2</c:v>
                </c:pt>
                <c:pt idx="1">
                  <c:v>3.7613449877295757E-2</c:v>
                </c:pt>
                <c:pt idx="2">
                  <c:v>-1.5752041238444869E-3</c:v>
                </c:pt>
                <c:pt idx="3">
                  <c:v>9.998549543821289E-3</c:v>
                </c:pt>
                <c:pt idx="4">
                  <c:v>-8.7209897843093187E-2</c:v>
                </c:pt>
                <c:pt idx="5">
                  <c:v>6.2463556181038937E-2</c:v>
                </c:pt>
              </c:numCache>
            </c:numRef>
          </c:xVal>
          <c:yVal>
            <c:numRef>
              <c:f>'Historic spend V1'!$BF$22:$BF$27</c:f>
              <c:numCache>
                <c:formatCode>0.0%</c:formatCode>
                <c:ptCount val="6"/>
                <c:pt idx="0">
                  <c:v>3.9930608748561358E-2</c:v>
                </c:pt>
                <c:pt idx="1">
                  <c:v>4.2584564762698784E-2</c:v>
                </c:pt>
                <c:pt idx="2">
                  <c:v>2.9872926621567375E-2</c:v>
                </c:pt>
                <c:pt idx="3">
                  <c:v>4.3003097580749605E-2</c:v>
                </c:pt>
                <c:pt idx="4">
                  <c:v>6.712345294644928E-2</c:v>
                </c:pt>
                <c:pt idx="5">
                  <c:v>1.7694540340416065E-2</c:v>
                </c:pt>
              </c:numCache>
            </c:numRef>
          </c:yVal>
          <c:smooth val="0"/>
          <c:extLst>
            <c:ext xmlns:c16="http://schemas.microsoft.com/office/drawing/2014/chart" uri="{C3380CC4-5D6E-409C-BE32-E72D297353CC}">
              <c16:uniqueId val="{00000002-CD7D-4CDC-9E0D-E9C31D421C7C}"/>
            </c:ext>
          </c:extLst>
        </c:ser>
        <c:dLbls>
          <c:showLegendKey val="0"/>
          <c:showVal val="0"/>
          <c:showCatName val="0"/>
          <c:showSerName val="0"/>
          <c:showPercent val="0"/>
          <c:showBubbleSize val="0"/>
        </c:dLbls>
        <c:axId val="687064152"/>
        <c:axId val="687055296"/>
      </c:scatterChart>
      <c:valAx>
        <c:axId val="687064152"/>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55296"/>
        <c:crosses val="autoZero"/>
        <c:crossBetween val="midCat"/>
      </c:valAx>
      <c:valAx>
        <c:axId val="6870552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64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'Historic spend V1'!$Z$22:$Z$76</c:f>
              <c:numCache>
                <c:formatCode>_-* #,##0_-;\-* #,##0_-;_-* "-"??_-;_-@_-</c:formatCode>
                <c:ptCount val="55"/>
                <c:pt idx="0">
                  <c:v>506.97683174538605</c:v>
                </c:pt>
                <c:pt idx="1">
                  <c:v>524.69756069187895</c:v>
                </c:pt>
                <c:pt idx="2">
                  <c:v>552.42344757920648</c:v>
                </c:pt>
                <c:pt idx="3">
                  <c:v>583.36231590275668</c:v>
                </c:pt>
                <c:pt idx="4">
                  <c:v>634.31580415750432</c:v>
                </c:pt>
                <c:pt idx="5">
                  <c:v>693.79882955818664</c:v>
                </c:pt>
                <c:pt idx="6">
                  <c:v>722.15517202787305</c:v>
                </c:pt>
                <c:pt idx="7">
                  <c:v>736.56817933281377</c:v>
                </c:pt>
                <c:pt idx="8">
                  <c:v>723.46340606678905</c:v>
                </c:pt>
                <c:pt idx="9">
                  <c:v>740.83518209628926</c:v>
                </c:pt>
                <c:pt idx="10">
                  <c:v>755.42406310451088</c:v>
                </c:pt>
                <c:pt idx="11">
                  <c:v>780.56293193522856</c:v>
                </c:pt>
                <c:pt idx="12">
                  <c:v>797.91322541133695</c:v>
                </c:pt>
                <c:pt idx="13">
                  <c:v>806.30143200490204</c:v>
                </c:pt>
                <c:pt idx="14">
                  <c:v>822.46182968544952</c:v>
                </c:pt>
                <c:pt idx="15">
                  <c:v>824.94762323222619</c:v>
                </c:pt>
                <c:pt idx="16">
                  <c:v>836.43936859778682</c:v>
                </c:pt>
                <c:pt idx="17">
                  <c:v>871.23762876200442</c:v>
                </c:pt>
                <c:pt idx="18">
                  <c:v>941.36203033323045</c:v>
                </c:pt>
                <c:pt idx="19">
                  <c:v>972.86426154091214</c:v>
                </c:pt>
                <c:pt idx="20">
                  <c:v>965.10190710903441</c:v>
                </c:pt>
                <c:pt idx="21">
                  <c:v>986.55566624283404</c:v>
                </c:pt>
                <c:pt idx="22">
                  <c:v>1057.191972729798</c:v>
                </c:pt>
                <c:pt idx="23">
                  <c:v>1135.795654793199</c:v>
                </c:pt>
                <c:pt idx="24">
                  <c:v>1179.1574237320642</c:v>
                </c:pt>
                <c:pt idx="25">
                  <c:v>1245.5241767803154</c:v>
                </c:pt>
                <c:pt idx="26">
                  <c:v>1264.9353087037409</c:v>
                </c:pt>
                <c:pt idx="27">
                  <c:v>1261.8564742642</c:v>
                </c:pt>
                <c:pt idx="28">
                  <c:v>1308.8288781642459</c:v>
                </c:pt>
                <c:pt idx="29">
                  <c:v>1357.0781294216956</c:v>
                </c:pt>
                <c:pt idx="30">
                  <c:v>1405.5618702335225</c:v>
                </c:pt>
                <c:pt idx="31">
                  <c:v>1521.3292787029657</c:v>
                </c:pt>
                <c:pt idx="32">
                  <c:v>1644.1645027693226</c:v>
                </c:pt>
                <c:pt idx="33">
                  <c:v>1772.1115588999519</c:v>
                </c:pt>
                <c:pt idx="34">
                  <c:v>1951.5246849252069</c:v>
                </c:pt>
                <c:pt idx="35">
                  <c:v>2086.0238678018009</c:v>
                </c:pt>
                <c:pt idx="36">
                  <c:v>2182.6018457050372</c:v>
                </c:pt>
                <c:pt idx="37">
                  <c:v>2226.4989330685448</c:v>
                </c:pt>
                <c:pt idx="38">
                  <c:v>2302.2001321669582</c:v>
                </c:pt>
                <c:pt idx="39">
                  <c:v>2369.7233623115972</c:v>
                </c:pt>
                <c:pt idx="40">
                  <c:v>2496.8255901636931</c:v>
                </c:pt>
                <c:pt idx="41">
                  <c:v>2493.544580888512</c:v>
                </c:pt>
                <c:pt idx="42">
                  <c:v>2458.378530863044</c:v>
                </c:pt>
                <c:pt idx="43">
                  <c:v>2457.4709244354399</c:v>
                </c:pt>
                <c:pt idx="44">
                  <c:v>2494.349927459994</c:v>
                </c:pt>
                <c:pt idx="45">
                  <c:v>2534.4660164536413</c:v>
                </c:pt>
                <c:pt idx="46">
                  <c:v>2578.4402898256767</c:v>
                </c:pt>
                <c:pt idx="47">
                  <c:v>2574.4508678622515</c:v>
                </c:pt>
                <c:pt idx="48">
                  <c:v>2602.7551185351276</c:v>
                </c:pt>
                <c:pt idx="49">
                  <c:v>2630.4375420327669</c:v>
                </c:pt>
                <c:pt idx="50">
                  <c:v>2743.4538062232655</c:v>
                </c:pt>
                <c:pt idx="51">
                  <c:v>3449.8126950305968</c:v>
                </c:pt>
                <c:pt idx="52">
                  <c:v>3444.0386294898526</c:v>
                </c:pt>
                <c:pt idx="53">
                  <c:v>3130.1287535944325</c:v>
                </c:pt>
                <c:pt idx="54">
                  <c:v>3063.9798007048075</c:v>
                </c:pt>
              </c:numCache>
            </c:numRef>
          </c:val>
          <c:smooth val="0"/>
          <c:extLst>
            <c:ext xmlns:c16="http://schemas.microsoft.com/office/drawing/2014/chart" uri="{C3380CC4-5D6E-409C-BE32-E72D297353CC}">
              <c16:uniqueId val="{00000000-C6AD-4BCA-9B1B-8BA6A006CD80}"/>
            </c:ext>
          </c:extLst>
        </c:ser>
        <c:dLbls>
          <c:showLegendKey val="0"/>
          <c:showVal val="0"/>
          <c:showCatName val="0"/>
          <c:showSerName val="0"/>
          <c:showPercent val="0"/>
          <c:showBubbleSize val="0"/>
        </c:dLbls>
        <c:smooth val="0"/>
        <c:axId val="800091784"/>
        <c:axId val="800092144"/>
      </c:lineChart>
      <c:catAx>
        <c:axId val="8000917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092144"/>
        <c:crosses val="autoZero"/>
        <c:auto val="1"/>
        <c:lblAlgn val="ctr"/>
        <c:lblOffset val="100"/>
        <c:noMultiLvlLbl val="0"/>
      </c:catAx>
      <c:valAx>
        <c:axId val="80009214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09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val>
            <c:numRef>
              <c:f>'Historic spend V1'!$AB$36:$AB$71</c:f>
              <c:numCache>
                <c:formatCode>General</c:formatCode>
                <c:ptCount val="36"/>
                <c:pt idx="0">
                  <c:v>55</c:v>
                </c:pt>
                <c:pt idx="1">
                  <c:v>51</c:v>
                </c:pt>
                <c:pt idx="3">
                  <c:v>40</c:v>
                </c:pt>
                <c:pt idx="4">
                  <c:v>40</c:v>
                </c:pt>
                <c:pt idx="6">
                  <c:v>37</c:v>
                </c:pt>
                <c:pt idx="7">
                  <c:v>37</c:v>
                </c:pt>
                <c:pt idx="8">
                  <c:v>40</c:v>
                </c:pt>
                <c:pt idx="10">
                  <c:v>44</c:v>
                </c:pt>
                <c:pt idx="11">
                  <c:v>44</c:v>
                </c:pt>
                <c:pt idx="12">
                  <c:v>37</c:v>
                </c:pt>
                <c:pt idx="13">
                  <c:v>36</c:v>
                </c:pt>
                <c:pt idx="14">
                  <c:v>34</c:v>
                </c:pt>
                <c:pt idx="15">
                  <c:v>42</c:v>
                </c:pt>
                <c:pt idx="16">
                  <c:v>46</c:v>
                </c:pt>
                <c:pt idx="17">
                  <c:v>42</c:v>
                </c:pt>
                <c:pt idx="18">
                  <c:v>38</c:v>
                </c:pt>
                <c:pt idx="19">
                  <c:v>40</c:v>
                </c:pt>
                <c:pt idx="20">
                  <c:v>44</c:v>
                </c:pt>
                <c:pt idx="21">
                  <c:v>43</c:v>
                </c:pt>
                <c:pt idx="22">
                  <c:v>48</c:v>
                </c:pt>
                <c:pt idx="23">
                  <c:v>49</c:v>
                </c:pt>
                <c:pt idx="24">
                  <c:v>51</c:v>
                </c:pt>
                <c:pt idx="25">
                  <c:v>58</c:v>
                </c:pt>
                <c:pt idx="26">
                  <c:v>64</c:v>
                </c:pt>
                <c:pt idx="27">
                  <c:v>70</c:v>
                </c:pt>
                <c:pt idx="28">
                  <c:v>58</c:v>
                </c:pt>
                <c:pt idx="29">
                  <c:v>60</c:v>
                </c:pt>
                <c:pt idx="30">
                  <c:v>60</c:v>
                </c:pt>
                <c:pt idx="31">
                  <c:v>65</c:v>
                </c:pt>
                <c:pt idx="32">
                  <c:v>60</c:v>
                </c:pt>
                <c:pt idx="33">
                  <c:v>63</c:v>
                </c:pt>
                <c:pt idx="34">
                  <c:v>57</c:v>
                </c:pt>
                <c:pt idx="35">
                  <c:v>53</c:v>
                </c:pt>
              </c:numCache>
            </c:numRef>
          </c:val>
          <c:smooth val="0"/>
          <c:extLst>
            <c:ext xmlns:c16="http://schemas.microsoft.com/office/drawing/2014/chart" uri="{C3380CC4-5D6E-409C-BE32-E72D297353CC}">
              <c16:uniqueId val="{00000001-A42B-49BA-9EA4-4FE7F48D98C6}"/>
            </c:ext>
          </c:extLst>
        </c:ser>
        <c:dLbls>
          <c:showLegendKey val="0"/>
          <c:showVal val="0"/>
          <c:showCatName val="0"/>
          <c:showSerName val="0"/>
          <c:showPercent val="0"/>
          <c:showBubbleSize val="0"/>
        </c:dLbls>
        <c:smooth val="0"/>
        <c:axId val="801797896"/>
        <c:axId val="801800776"/>
      </c:lineChart>
      <c:catAx>
        <c:axId val="801797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00776"/>
        <c:crosses val="autoZero"/>
        <c:auto val="1"/>
        <c:lblAlgn val="ctr"/>
        <c:lblOffset val="100"/>
        <c:noMultiLvlLbl val="0"/>
      </c:catAx>
      <c:valAx>
        <c:axId val="801800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Univers Light" panose="020B0403020202020204" pitchFamily="34" charset="0"/>
                <a:ea typeface="+mn-ea"/>
                <a:cs typeface="+mn-cs"/>
              </a:defRPr>
            </a:pPr>
            <a:r>
              <a:rPr lang="en-US"/>
              <a:t>RDEL Expenditure Breakdown 2021-22</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nivers Light" panose="020B0403020202020204" pitchFamily="34" charset="0"/>
              <a:ea typeface="+mn-ea"/>
              <a:cs typeface="+mn-cs"/>
            </a:defRPr>
          </a:pPr>
          <a:endParaRPr lang="en-US"/>
        </a:p>
      </c:txPr>
    </c:title>
    <c:autoTitleDeleted val="0"/>
    <c:plotArea>
      <c:layout/>
      <c:pieChart>
        <c:varyColors val="1"/>
        <c:ser>
          <c:idx val="0"/>
          <c:order val="0"/>
          <c:tx>
            <c:strRef>
              <c:f>'RDEL &amp; CDEL breakdown'!$N$1</c:f>
              <c:strCache>
                <c:ptCount val="1"/>
                <c:pt idx="0">
                  <c:v>2020-21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07-42E7-B10D-69E954281A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07-42E7-B10D-69E954281A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07-42E7-B10D-69E954281AE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07-42E7-B10D-69E954281AE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07-42E7-B10D-69E954281AE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07-42E7-B10D-69E954281AE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907-42E7-B10D-69E954281AE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907-42E7-B10D-69E954281AE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907-42E7-B10D-69E954281AE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907-42E7-B10D-69E954281AE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F33-4B47-A5E3-5E3CD6F766A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F33-4B47-A5E3-5E3CD6F766A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F33-4B47-A5E3-5E3CD6F766A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F33-4B47-A5E3-5E3CD6F766A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F33-4B47-A5E3-5E3CD6F766A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F33-4B47-A5E3-5E3CD6F766AB}"/>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Univers Light" panose="020B0403020202020204" pitchFamily="34" charset="0"/>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'RDEL &amp; CDEL breakdown'!$B$4:$B$19</c:f>
              <c:strCache>
                <c:ptCount val="16"/>
                <c:pt idx="0">
                  <c:v>NHS provider staff costs</c:v>
                </c:pt>
                <c:pt idx="1">
                  <c:v>Other staff costs</c:v>
                </c:pt>
                <c:pt idx="2">
                  <c:v>Stocks consumed</c:v>
                </c:pt>
                <c:pt idx="3">
                  <c:v>Procurement</c:v>
                </c:pt>
                <c:pt idx="4">
                  <c:v>Primary care</c:v>
                </c:pt>
                <c:pt idx="5">
                  <c:v>Prescribing</c:v>
                </c:pt>
                <c:pt idx="6">
                  <c:v>Non-NHS healthcare</c:v>
                </c:pt>
                <c:pt idx="7">
                  <c:v>Non-NHS social care</c:v>
                </c:pt>
                <c:pt idx="8">
                  <c:v>Covid-19 inventory</c:v>
                </c:pt>
                <c:pt idx="9">
                  <c:v>Clinical negligence</c:v>
                </c:pt>
                <c:pt idx="10">
                  <c:v>LA grants</c:v>
                </c:pt>
                <c:pt idx="11">
                  <c:v>Depreciation</c:v>
                </c:pt>
                <c:pt idx="12">
                  <c:v>Other</c:v>
                </c:pt>
                <c:pt idx="14">
                  <c:v>RDEL net of depreciation</c:v>
                </c:pt>
                <c:pt idx="15">
                  <c:v>Income</c:v>
                </c:pt>
              </c:strCache>
            </c:strRef>
          </c:cat>
          <c:val>
            <c:numRef>
              <c:f>'RDEL &amp; CDEL breakdown'!$O$4:$O$19</c:f>
              <c:numCache>
                <c:formatCode>General</c:formatCode>
                <c:ptCount val="16"/>
                <c:pt idx="0" formatCode="0.0">
                  <c:v>71.5</c:v>
                </c:pt>
                <c:pt idx="1">
                  <c:v>5.2</c:v>
                </c:pt>
                <c:pt idx="2" formatCode="0.0">
                  <c:v>0</c:v>
                </c:pt>
                <c:pt idx="3" formatCode="0.0">
                  <c:v>32.1</c:v>
                </c:pt>
                <c:pt idx="4" formatCode="0.0">
                  <c:v>14.9</c:v>
                </c:pt>
                <c:pt idx="5" formatCode="0.0">
                  <c:v>9.1</c:v>
                </c:pt>
                <c:pt idx="6" formatCode="0.0">
                  <c:v>19.7</c:v>
                </c:pt>
                <c:pt idx="7" formatCode="0.0">
                  <c:v>1.1000000000000001</c:v>
                </c:pt>
                <c:pt idx="8" formatCode="0.0">
                  <c:v>9.3000000000000007</c:v>
                </c:pt>
                <c:pt idx="9" formatCode="0.0">
                  <c:v>2.5</c:v>
                </c:pt>
                <c:pt idx="10" formatCode="0.0">
                  <c:v>5.7</c:v>
                </c:pt>
                <c:pt idx="11" formatCode="#,##0.0">
                  <c:v>3.8</c:v>
                </c:pt>
                <c:pt idx="12" formatCode="#,##0.0">
                  <c:v>18.930000000000007</c:v>
                </c:pt>
                <c:pt idx="14" formatCode="#,##0.0">
                  <c:v>190.03</c:v>
                </c:pt>
                <c:pt idx="15" formatCode="0.0">
                  <c:v>10.3</c:v>
                </c:pt>
              </c:numCache>
            </c:numRef>
          </c:val>
          <c:extLst>
            <c:ext xmlns:c16="http://schemas.microsoft.com/office/drawing/2014/chart" uri="{C3380CC4-5D6E-409C-BE32-E72D297353CC}">
              <c16:uniqueId val="{00000000-7C37-4FF9-89E0-0414A7BB36C7}"/>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nivers Light" panose="020B040302020202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Univers Light" panose="020B0403020202020204" pitchFamily="34" charset="0"/>
                <a:ea typeface="+mn-ea"/>
                <a:cs typeface="+mn-cs"/>
              </a:defRPr>
            </a:pPr>
            <a:r>
              <a:rPr lang="en-US"/>
              <a:t>CDEL Expenditure Breakdown</a:t>
            </a:r>
            <a:r>
              <a:rPr lang="en-US" baseline="0"/>
              <a:t> 2020-21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nivers Light" panose="020B0403020202020204" pitchFamily="34" charset="0"/>
              <a:ea typeface="+mn-ea"/>
              <a:cs typeface="+mn-cs"/>
            </a:defRPr>
          </a:pPr>
          <a:endParaRPr lang="en-US"/>
        </a:p>
      </c:txPr>
    </c:title>
    <c:autoTitleDeleted val="0"/>
    <c:plotArea>
      <c:layout/>
      <c:pieChart>
        <c:varyColors val="1"/>
        <c:ser>
          <c:idx val="0"/>
          <c:order val="0"/>
          <c:tx>
            <c:strRef>
              <c:f>'RDEL &amp; CDEL breakdown'!$N$1</c:f>
              <c:strCache>
                <c:ptCount val="1"/>
                <c:pt idx="0">
                  <c:v>2020-21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3B-421E-B63F-90FB32941C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3B-421E-B63F-90FB32941C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3B-421E-B63F-90FB32941C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3B-421E-B63F-90FB32941C4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3B-421E-B63F-90FB32941C4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53B-421E-B63F-90FB32941C4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53B-421E-B63F-90FB32941C40}"/>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Univers Light" panose="020B0403020202020204" pitchFamily="34" charset="0"/>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'RDEL &amp; CDEL breakdown'!$B$25:$B$31</c:f>
              <c:strCache>
                <c:ptCount val="7"/>
                <c:pt idx="0">
                  <c:v>Land &amp; Building</c:v>
                </c:pt>
                <c:pt idx="1">
                  <c:v>Plant, Transport &amp; Equipment</c:v>
                </c:pt>
                <c:pt idx="2">
                  <c:v>R&amp;D</c:v>
                </c:pt>
                <c:pt idx="3">
                  <c:v>IT &amp; Software</c:v>
                </c:pt>
                <c:pt idx="4">
                  <c:v>Capital grants</c:v>
                </c:pt>
                <c:pt idx="5">
                  <c:v>Other IT</c:v>
                </c:pt>
                <c:pt idx="6">
                  <c:v>Other</c:v>
                </c:pt>
              </c:strCache>
            </c:strRef>
          </c:cat>
          <c:val>
            <c:numRef>
              <c:f>'RDEL &amp; CDEL breakdown'!$N$25:$N$31</c:f>
              <c:numCache>
                <c:formatCode>0.0</c:formatCode>
                <c:ptCount val="7"/>
                <c:pt idx="0">
                  <c:v>2.7</c:v>
                </c:pt>
                <c:pt idx="1">
                  <c:v>2.2000000000000002</c:v>
                </c:pt>
                <c:pt idx="2">
                  <c:v>1.3</c:v>
                </c:pt>
                <c:pt idx="3">
                  <c:v>1.2</c:v>
                </c:pt>
                <c:pt idx="4">
                  <c:v>0.9</c:v>
                </c:pt>
                <c:pt idx="5">
                  <c:v>0.6</c:v>
                </c:pt>
                <c:pt idx="6">
                  <c:v>2.8</c:v>
                </c:pt>
              </c:numCache>
            </c:numRef>
          </c:val>
          <c:extLst>
            <c:ext xmlns:c16="http://schemas.microsoft.com/office/drawing/2014/chart" uri="{C3380CC4-5D6E-409C-BE32-E72D297353CC}">
              <c16:uniqueId val="{00000014-F53B-421E-B63F-90FB32941C4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nivers Light" panose="020B0403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'Board meeting data'!$D$123:$G$123</c:f>
              <c:numCache>
                <c:formatCode>General</c:formatCode>
                <c:ptCount val="4"/>
              </c:numCache>
            </c:numRef>
          </c:val>
          <c:smooth val="0"/>
          <c:extLst>
            <c:ext xmlns:c16="http://schemas.microsoft.com/office/drawing/2014/chart" uri="{C3380CC4-5D6E-409C-BE32-E72D297353CC}">
              <c16:uniqueId val="{00000000-C2AF-4D2C-BB4C-4BF660EF245D}"/>
            </c:ext>
          </c:extLst>
        </c:ser>
        <c:dLbls>
          <c:showLegendKey val="0"/>
          <c:showVal val="0"/>
          <c:showCatName val="0"/>
          <c:showSerName val="0"/>
          <c:showPercent val="0"/>
          <c:showBubbleSize val="0"/>
        </c:dLbls>
        <c:smooth val="0"/>
        <c:axId val="750622168"/>
        <c:axId val="750623152"/>
      </c:lineChart>
      <c:catAx>
        <c:axId val="7506221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623152"/>
        <c:crosses val="autoZero"/>
        <c:auto val="1"/>
        <c:lblAlgn val="ctr"/>
        <c:lblOffset val="100"/>
        <c:noMultiLvlLbl val="0"/>
      </c:catAx>
      <c:valAx>
        <c:axId val="75062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622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NHSE RDEL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'NHSE details'!$K$61:$Q$61</c:f>
              <c:strCache>
                <c:ptCount val="7"/>
                <c:pt idx="0">
                  <c:v>2018-19</c:v>
                </c:pt>
                <c:pt idx="1">
                  <c:v>2019-20</c:v>
                </c:pt>
                <c:pt idx="2">
                  <c:v>2020-21</c:v>
                </c:pt>
                <c:pt idx="3">
                  <c:v>2021-22</c:v>
                </c:pt>
                <c:pt idx="4">
                  <c:v>2022-23</c:v>
                </c:pt>
                <c:pt idx="5">
                  <c:v>2023-24</c:v>
                </c:pt>
                <c:pt idx="6">
                  <c:v>2024-25</c:v>
                </c:pt>
              </c:strCache>
            </c:strRef>
          </c:cat>
          <c:val>
            <c:numRef>
              <c:f>'NHSE details'!$K$62:$Q$62</c:f>
              <c:numCache>
                <c:formatCode>0.00</c:formatCode>
                <c:ptCount val="7"/>
                <c:pt idx="0">
                  <c:v>114.60299999999999</c:v>
                </c:pt>
                <c:pt idx="1">
                  <c:v>117.74491868801583</c:v>
                </c:pt>
                <c:pt idx="2">
                  <c:v>133.09404664007948</c:v>
                </c:pt>
                <c:pt idx="3">
                  <c:v>133.73298640736562</c:v>
                </c:pt>
                <c:pt idx="4">
                  <c:v>128.84865590200002</c:v>
                </c:pt>
                <c:pt idx="5">
                  <c:v>133.21976784456174</c:v>
                </c:pt>
                <c:pt idx="6">
                  <c:v>135.67938945005801</c:v>
                </c:pt>
              </c:numCache>
            </c:numRef>
          </c:val>
          <c:smooth val="0"/>
          <c:extLst>
            <c:ext xmlns:c16="http://schemas.microsoft.com/office/drawing/2014/chart" uri="{C3380CC4-5D6E-409C-BE32-E72D297353CC}">
              <c16:uniqueId val="{00000000-EB5C-43C2-9E47-4FC657954385}"/>
            </c:ext>
          </c:extLst>
        </c:ser>
        <c:dLbls>
          <c:showLegendKey val="0"/>
          <c:showVal val="0"/>
          <c:showCatName val="0"/>
          <c:showSerName val="0"/>
          <c:showPercent val="0"/>
          <c:showBubbleSize val="0"/>
        </c:dLbls>
        <c:smooth val="0"/>
        <c:axId val="694858536"/>
        <c:axId val="694858896"/>
      </c:lineChart>
      <c:catAx>
        <c:axId val="694858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58896"/>
        <c:crosses val="autoZero"/>
        <c:auto val="1"/>
        <c:lblAlgn val="ctr"/>
        <c:lblOffset val="100"/>
        <c:noMultiLvlLbl val="0"/>
      </c:catAx>
      <c:valAx>
        <c:axId val="694858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bn,</a:t>
                </a:r>
                <a:r>
                  <a:rPr lang="en-GB" baseline="0"/>
                  <a:t> 2018/19 prices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58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Sheet1!$A$21</c:f>
              <c:strCache>
                <c:ptCount val="1"/>
                <c:pt idx="0">
                  <c:v>NHS settlement</c:v>
                </c:pt>
              </c:strCache>
            </c:strRef>
          </c:tx>
          <c:spPr>
            <a:ln w="28575" cap="rnd">
              <a:solidFill>
                <a:schemeClr val="accent1"/>
              </a:solidFill>
              <a:round/>
            </a:ln>
            <a:effectLst/>
          </c:spPr>
          <c:marker>
            <c:symbol val="none"/>
          </c:marker>
          <c:cat>
            <c:strRef>
              <c:f>Sheet1!$B$20:$H$20</c:f>
              <c:strCache>
                <c:ptCount val="7"/>
                <c:pt idx="0">
                  <c:v>2018-19</c:v>
                </c:pt>
                <c:pt idx="1">
                  <c:v>2019-20</c:v>
                </c:pt>
                <c:pt idx="2">
                  <c:v>2020-21</c:v>
                </c:pt>
                <c:pt idx="3">
                  <c:v>2021-22</c:v>
                </c:pt>
                <c:pt idx="4">
                  <c:v>2022-23</c:v>
                </c:pt>
                <c:pt idx="5">
                  <c:v>2023-24</c:v>
                </c:pt>
                <c:pt idx="6">
                  <c:v>2024-25</c:v>
                </c:pt>
              </c:strCache>
            </c:strRef>
          </c:cat>
          <c:val>
            <c:numRef>
              <c:f>Sheet1!$B$28:$H$28</c:f>
              <c:numCache>
                <c:formatCode>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2457-41AE-8050-21C00AC9166A}"/>
            </c:ext>
          </c:extLst>
        </c:ser>
        <c:ser>
          <c:idx val="1"/>
          <c:order val="1"/>
          <c:tx>
            <c:strRef>
              <c:f>Sheet1!$A$22</c:f>
              <c:strCache>
                <c:ptCount val="1"/>
                <c:pt idx="0">
                  <c:v>Current</c:v>
                </c:pt>
              </c:strCache>
            </c:strRef>
          </c:tx>
          <c:spPr>
            <a:ln w="28575" cap="rnd">
              <a:solidFill>
                <a:schemeClr val="accent2"/>
              </a:solidFill>
              <a:round/>
            </a:ln>
            <a:effectLst/>
          </c:spPr>
          <c:marker>
            <c:symbol val="none"/>
          </c:marker>
          <c:cat>
            <c:strRef>
              <c:f>Sheet1!$B$20:$H$20</c:f>
              <c:strCache>
                <c:ptCount val="7"/>
                <c:pt idx="0">
                  <c:v>2018-19</c:v>
                </c:pt>
                <c:pt idx="1">
                  <c:v>2019-20</c:v>
                </c:pt>
                <c:pt idx="2">
                  <c:v>2020-21</c:v>
                </c:pt>
                <c:pt idx="3">
                  <c:v>2021-22</c:v>
                </c:pt>
                <c:pt idx="4">
                  <c:v>2022-23</c:v>
                </c:pt>
                <c:pt idx="5">
                  <c:v>2023-24</c:v>
                </c:pt>
                <c:pt idx="6">
                  <c:v>2024-25</c:v>
                </c:pt>
              </c:strCache>
            </c:strRef>
          </c:cat>
          <c:val>
            <c:numRef>
              <c:f>Sheet1!$B$22:$H$22</c:f>
              <c:numCache>
                <c:formatCode>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2457-41AE-8050-21C00AC9166A}"/>
            </c:ext>
          </c:extLst>
        </c:ser>
        <c:ser>
          <c:idx val="2"/>
          <c:order val="2"/>
          <c:tx>
            <c:strRef>
              <c:f>Sheet1!$A$23</c:f>
              <c:strCache>
                <c:ptCount val="1"/>
                <c:pt idx="0">
                  <c:v>Current excl COVID</c:v>
                </c:pt>
              </c:strCache>
            </c:strRef>
          </c:tx>
          <c:spPr>
            <a:ln w="28575" cap="rnd">
              <a:solidFill>
                <a:schemeClr val="accent3"/>
              </a:solidFill>
              <a:round/>
            </a:ln>
            <a:effectLst/>
          </c:spPr>
          <c:marker>
            <c:symbol val="none"/>
          </c:marker>
          <c:cat>
            <c:strRef>
              <c:f>Sheet1!$B$20:$H$20</c:f>
              <c:strCache>
                <c:ptCount val="7"/>
                <c:pt idx="0">
                  <c:v>2018-19</c:v>
                </c:pt>
                <c:pt idx="1">
                  <c:v>2019-20</c:v>
                </c:pt>
                <c:pt idx="2">
                  <c:v>2020-21</c:v>
                </c:pt>
                <c:pt idx="3">
                  <c:v>2021-22</c:v>
                </c:pt>
                <c:pt idx="4">
                  <c:v>2022-23</c:v>
                </c:pt>
                <c:pt idx="5">
                  <c:v>2023-24</c:v>
                </c:pt>
                <c:pt idx="6">
                  <c:v>2024-25</c:v>
                </c:pt>
              </c:strCache>
            </c:strRef>
          </c:cat>
          <c:val>
            <c:numRef>
              <c:f>Sheet1!$B$29:$H$29</c:f>
              <c:numCache>
                <c:formatCode>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2457-41AE-8050-21C00AC9166A}"/>
            </c:ext>
          </c:extLst>
        </c:ser>
        <c:dLbls>
          <c:showLegendKey val="0"/>
          <c:showVal val="0"/>
          <c:showCatName val="0"/>
          <c:showSerName val="0"/>
          <c:showPercent val="0"/>
          <c:showBubbleSize val="0"/>
        </c:dLbls>
        <c:smooth val="0"/>
        <c:axId val="839698352"/>
        <c:axId val="839698712"/>
      </c:lineChart>
      <c:catAx>
        <c:axId val="83969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698712"/>
        <c:crosses val="autoZero"/>
        <c:auto val="1"/>
        <c:lblAlgn val="ctr"/>
        <c:lblOffset val="100"/>
        <c:noMultiLvlLbl val="0"/>
      </c:catAx>
      <c:valAx>
        <c:axId val="839698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698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 intermediate c'!$J$27</c:f>
              <c:strCache>
                <c:ptCount val="1"/>
                <c:pt idx="0">
                  <c:v>NHS Cost Inflation Index</c:v>
                </c:pt>
              </c:strCache>
            </c:strRef>
          </c:tx>
          <c:spPr>
            <a:ln w="28575" cap="rnd">
              <a:solidFill>
                <a:schemeClr val="accent1"/>
              </a:solidFill>
              <a:round/>
            </a:ln>
            <a:effectLst/>
          </c:spPr>
          <c:marker>
            <c:symbol val="none"/>
          </c:marker>
          <c:cat>
            <c:strRef>
              <c:f>'ONS intermediate c'!$I$28:$I$33</c:f>
              <c:strCache>
                <c:ptCount val="6"/>
                <c:pt idx="0">
                  <c:v>2018/19</c:v>
                </c:pt>
                <c:pt idx="1">
                  <c:v>2019/20</c:v>
                </c:pt>
                <c:pt idx="2">
                  <c:v>2020/21</c:v>
                </c:pt>
                <c:pt idx="3">
                  <c:v>2021/22</c:v>
                </c:pt>
                <c:pt idx="4">
                  <c:v>2022/23</c:v>
                </c:pt>
                <c:pt idx="5">
                  <c:v>2023/24</c:v>
                </c:pt>
              </c:strCache>
            </c:strRef>
          </c:cat>
          <c:val>
            <c:numRef>
              <c:f>'ONS intermediate c'!$J$28:$J$33</c:f>
              <c:numCache>
                <c:formatCode>General</c:formatCode>
                <c:ptCount val="6"/>
                <c:pt idx="0">
                  <c:v>100</c:v>
                </c:pt>
                <c:pt idx="1">
                  <c:v>102.4</c:v>
                </c:pt>
                <c:pt idx="2">
                  <c:v>101.7856</c:v>
                </c:pt>
              </c:numCache>
            </c:numRef>
          </c:val>
          <c:smooth val="0"/>
          <c:extLst>
            <c:ext xmlns:c16="http://schemas.microsoft.com/office/drawing/2014/chart" uri="{C3380CC4-5D6E-409C-BE32-E72D297353CC}">
              <c16:uniqueId val="{00000000-C674-468E-A87F-7E242D2F8B0E}"/>
            </c:ext>
          </c:extLst>
        </c:ser>
        <c:ser>
          <c:idx val="1"/>
          <c:order val="1"/>
          <c:tx>
            <c:strRef>
              <c:f>'ONS intermediate c'!$K$27</c:f>
              <c:strCache>
                <c:ptCount val="1"/>
                <c:pt idx="0">
                  <c:v>GDP deflator</c:v>
                </c:pt>
              </c:strCache>
            </c:strRef>
          </c:tx>
          <c:spPr>
            <a:ln w="28575" cap="rnd">
              <a:solidFill>
                <a:schemeClr val="accent2"/>
              </a:solidFill>
              <a:round/>
            </a:ln>
            <a:effectLst/>
          </c:spPr>
          <c:marker>
            <c:symbol val="none"/>
          </c:marker>
          <c:cat>
            <c:strRef>
              <c:f>'ONS intermediate c'!$I$28:$I$33</c:f>
              <c:strCache>
                <c:ptCount val="6"/>
                <c:pt idx="0">
                  <c:v>2018/19</c:v>
                </c:pt>
                <c:pt idx="1">
                  <c:v>2019/20</c:v>
                </c:pt>
                <c:pt idx="2">
                  <c:v>2020/21</c:v>
                </c:pt>
                <c:pt idx="3">
                  <c:v>2021/22</c:v>
                </c:pt>
                <c:pt idx="4">
                  <c:v>2022/23</c:v>
                </c:pt>
                <c:pt idx="5">
                  <c:v>2023/24</c:v>
                </c:pt>
              </c:strCache>
            </c:strRef>
          </c:cat>
          <c:val>
            <c:numRef>
              <c:f>'ONS intermediate c'!$K$28:$K$33</c:f>
              <c:numCache>
                <c:formatCode>General</c:formatCode>
                <c:ptCount val="6"/>
                <c:pt idx="0">
                  <c:v>100</c:v>
                </c:pt>
                <c:pt idx="1">
                  <c:v>102.36092603978342</c:v>
                </c:pt>
                <c:pt idx="2">
                  <c:v>107.93508396206794</c:v>
                </c:pt>
                <c:pt idx="3">
                  <c:v>107.05077950900419</c:v>
                </c:pt>
                <c:pt idx="4">
                  <c:v>114.28075123594633</c:v>
                </c:pt>
                <c:pt idx="5">
                  <c:v>121.75973037903613</c:v>
                </c:pt>
              </c:numCache>
            </c:numRef>
          </c:val>
          <c:smooth val="0"/>
          <c:extLst>
            <c:ext xmlns:c16="http://schemas.microsoft.com/office/drawing/2014/chart" uri="{C3380CC4-5D6E-409C-BE32-E72D297353CC}">
              <c16:uniqueId val="{00000001-C674-468E-A87F-7E242D2F8B0E}"/>
            </c:ext>
          </c:extLst>
        </c:ser>
        <c:ser>
          <c:idx val="2"/>
          <c:order val="2"/>
          <c:tx>
            <c:strRef>
              <c:f>'ONS intermediate c'!$L$27</c:f>
              <c:strCache>
                <c:ptCount val="1"/>
                <c:pt idx="0">
                  <c:v>Tariff</c:v>
                </c:pt>
              </c:strCache>
            </c:strRef>
          </c:tx>
          <c:spPr>
            <a:ln w="28575" cap="rnd">
              <a:solidFill>
                <a:schemeClr val="accent3"/>
              </a:solidFill>
              <a:round/>
            </a:ln>
            <a:effectLst/>
          </c:spPr>
          <c:marker>
            <c:symbol val="none"/>
          </c:marker>
          <c:cat>
            <c:strRef>
              <c:f>'ONS intermediate c'!$I$28:$I$33</c:f>
              <c:strCache>
                <c:ptCount val="6"/>
                <c:pt idx="0">
                  <c:v>2018/19</c:v>
                </c:pt>
                <c:pt idx="1">
                  <c:v>2019/20</c:v>
                </c:pt>
                <c:pt idx="2">
                  <c:v>2020/21</c:v>
                </c:pt>
                <c:pt idx="3">
                  <c:v>2021/22</c:v>
                </c:pt>
                <c:pt idx="4">
                  <c:v>2022/23</c:v>
                </c:pt>
                <c:pt idx="5">
                  <c:v>2023/24</c:v>
                </c:pt>
              </c:strCache>
            </c:strRef>
          </c:cat>
          <c:val>
            <c:numRef>
              <c:f>'ONS intermediate c'!$L$28:$L$33</c:f>
              <c:numCache>
                <c:formatCode>General</c:formatCode>
                <c:ptCount val="6"/>
                <c:pt idx="0">
                  <c:v>100</c:v>
                </c:pt>
                <c:pt idx="1">
                  <c:v>103.8</c:v>
                </c:pt>
                <c:pt idx="2">
                  <c:v>106.39499999999998</c:v>
                </c:pt>
                <c:pt idx="3">
                  <c:v>109.69324499999998</c:v>
                </c:pt>
                <c:pt idx="4">
                  <c:v>114.84882751499997</c:v>
                </c:pt>
                <c:pt idx="5">
                  <c:v>120.82096654577997</c:v>
                </c:pt>
              </c:numCache>
            </c:numRef>
          </c:val>
          <c:smooth val="0"/>
          <c:extLst>
            <c:ext xmlns:c16="http://schemas.microsoft.com/office/drawing/2014/chart" uri="{C3380CC4-5D6E-409C-BE32-E72D297353CC}">
              <c16:uniqueId val="{00000002-C674-468E-A87F-7E242D2F8B0E}"/>
            </c:ext>
          </c:extLst>
        </c:ser>
        <c:dLbls>
          <c:showLegendKey val="0"/>
          <c:showVal val="0"/>
          <c:showCatName val="0"/>
          <c:showSerName val="0"/>
          <c:showPercent val="0"/>
          <c:showBubbleSize val="0"/>
        </c:dLbls>
        <c:smooth val="0"/>
        <c:axId val="687597096"/>
        <c:axId val="687596736"/>
      </c:lineChart>
      <c:catAx>
        <c:axId val="68759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596736"/>
        <c:crosses val="autoZero"/>
        <c:auto val="1"/>
        <c:lblAlgn val="ctr"/>
        <c:lblOffset val="100"/>
        <c:noMultiLvlLbl val="0"/>
      </c:catAx>
      <c:valAx>
        <c:axId val="687596736"/>
        <c:scaling>
          <c:orientation val="minMax"/>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597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'[178]Table 1'!$B$3</c:f>
              <c:strCache>
                <c:ptCount val="1"/>
                <c:pt idx="0">
                  <c:v>England</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'[178]Table 1'!$A$4:$A$173</c:f>
              <c:strCache>
                <c:ptCount val="170"/>
                <c:pt idx="0">
                  <c:v>April 2009</c:v>
                </c:pt>
                <c:pt idx="1">
                  <c:v>May 2009</c:v>
                </c:pt>
                <c:pt idx="2">
                  <c:v>June 2009</c:v>
                </c:pt>
                <c:pt idx="3">
                  <c:v>July 2009</c:v>
                </c:pt>
                <c:pt idx="4">
                  <c:v>August 2009</c:v>
                </c:pt>
                <c:pt idx="5">
                  <c:v>September 2009</c:v>
                </c:pt>
                <c:pt idx="6">
                  <c:v>October 2009</c:v>
                </c:pt>
                <c:pt idx="7">
                  <c:v>November 2009</c:v>
                </c:pt>
                <c:pt idx="8">
                  <c:v>December 2009</c:v>
                </c:pt>
                <c:pt idx="9">
                  <c:v>January 2010</c:v>
                </c:pt>
                <c:pt idx="10">
                  <c:v>February 2010</c:v>
                </c:pt>
                <c:pt idx="11">
                  <c:v>March 2010</c:v>
                </c:pt>
                <c:pt idx="12">
                  <c:v>April 2010</c:v>
                </c:pt>
                <c:pt idx="13">
                  <c:v>May 2010</c:v>
                </c:pt>
                <c:pt idx="14">
                  <c:v>June 2010</c:v>
                </c:pt>
                <c:pt idx="15">
                  <c:v>July 2010</c:v>
                </c:pt>
                <c:pt idx="16">
                  <c:v>August 2010</c:v>
                </c:pt>
                <c:pt idx="17">
                  <c:v>September 2010</c:v>
                </c:pt>
                <c:pt idx="18">
                  <c:v>October 2010</c:v>
                </c:pt>
                <c:pt idx="19">
                  <c:v>November 2010</c:v>
                </c:pt>
                <c:pt idx="20">
                  <c:v>December 2010</c:v>
                </c:pt>
                <c:pt idx="21">
                  <c:v>January 2011</c:v>
                </c:pt>
                <c:pt idx="22">
                  <c:v>February  2011</c:v>
                </c:pt>
                <c:pt idx="23">
                  <c:v>March  2011</c:v>
                </c:pt>
                <c:pt idx="24">
                  <c:v>April 2011</c:v>
                </c:pt>
                <c:pt idx="25">
                  <c:v>May 2011</c:v>
                </c:pt>
                <c:pt idx="26">
                  <c:v>June 2011</c:v>
                </c:pt>
                <c:pt idx="27">
                  <c:v>July 2011</c:v>
                </c:pt>
                <c:pt idx="28">
                  <c:v>August 2011</c:v>
                </c:pt>
                <c:pt idx="29">
                  <c:v>September 2011</c:v>
                </c:pt>
                <c:pt idx="30">
                  <c:v>October 2011</c:v>
                </c:pt>
                <c:pt idx="31">
                  <c:v>November 2011</c:v>
                </c:pt>
                <c:pt idx="32">
                  <c:v>December 2011</c:v>
                </c:pt>
                <c:pt idx="33">
                  <c:v>January 2012</c:v>
                </c:pt>
                <c:pt idx="34">
                  <c:v>February 2012</c:v>
                </c:pt>
                <c:pt idx="35">
                  <c:v>March 2012</c:v>
                </c:pt>
                <c:pt idx="36">
                  <c:v>April 2012</c:v>
                </c:pt>
                <c:pt idx="37">
                  <c:v>May 2012</c:v>
                </c:pt>
                <c:pt idx="38">
                  <c:v>June 2012</c:v>
                </c:pt>
                <c:pt idx="39">
                  <c:v>July 2012</c:v>
                </c:pt>
                <c:pt idx="40">
                  <c:v>August 2012</c:v>
                </c:pt>
                <c:pt idx="41">
                  <c:v>September 2012</c:v>
                </c:pt>
                <c:pt idx="42">
                  <c:v>October 2012</c:v>
                </c:pt>
                <c:pt idx="43">
                  <c:v>November 2012</c:v>
                </c:pt>
                <c:pt idx="44">
                  <c:v>December 2012</c:v>
                </c:pt>
                <c:pt idx="45">
                  <c:v>January 2013</c:v>
                </c:pt>
                <c:pt idx="46">
                  <c:v>February 2013</c:v>
                </c:pt>
                <c:pt idx="47">
                  <c:v>March 2013</c:v>
                </c:pt>
                <c:pt idx="48">
                  <c:v>April 2013</c:v>
                </c:pt>
                <c:pt idx="49">
                  <c:v>May 2013</c:v>
                </c:pt>
                <c:pt idx="50">
                  <c:v>June 2013</c:v>
                </c:pt>
                <c:pt idx="51">
                  <c:v>July 2013</c:v>
                </c:pt>
                <c:pt idx="52">
                  <c:v>August 2013</c:v>
                </c:pt>
                <c:pt idx="53">
                  <c:v>September 2013</c:v>
                </c:pt>
                <c:pt idx="54">
                  <c:v>October 2013</c:v>
                </c:pt>
                <c:pt idx="55">
                  <c:v>November 2013</c:v>
                </c:pt>
                <c:pt idx="56">
                  <c:v>December 2013</c:v>
                </c:pt>
                <c:pt idx="57">
                  <c:v>January 2014</c:v>
                </c:pt>
                <c:pt idx="58">
                  <c:v>February 2014</c:v>
                </c:pt>
                <c:pt idx="59">
                  <c:v>March 2014</c:v>
                </c:pt>
                <c:pt idx="60">
                  <c:v>April 2014</c:v>
                </c:pt>
                <c:pt idx="61">
                  <c:v>May 2014</c:v>
                </c:pt>
                <c:pt idx="62">
                  <c:v>June 2014</c:v>
                </c:pt>
                <c:pt idx="63">
                  <c:v>July 2014</c:v>
                </c:pt>
                <c:pt idx="64">
                  <c:v>August 2014</c:v>
                </c:pt>
                <c:pt idx="65">
                  <c:v>September 2014</c:v>
                </c:pt>
                <c:pt idx="66">
                  <c:v>October 2014</c:v>
                </c:pt>
                <c:pt idx="67">
                  <c:v>November 2014</c:v>
                </c:pt>
                <c:pt idx="68">
                  <c:v>December 2014</c:v>
                </c:pt>
                <c:pt idx="69">
                  <c:v>January 2015</c:v>
                </c:pt>
                <c:pt idx="70">
                  <c:v>February 2015</c:v>
                </c:pt>
                <c:pt idx="71">
                  <c:v>March 2015</c:v>
                </c:pt>
                <c:pt idx="72">
                  <c:v>April 2015</c:v>
                </c:pt>
                <c:pt idx="73">
                  <c:v>May 2015</c:v>
                </c:pt>
                <c:pt idx="74">
                  <c:v>June 2015</c:v>
                </c:pt>
                <c:pt idx="75">
                  <c:v>July 2015</c:v>
                </c:pt>
                <c:pt idx="76">
                  <c:v>August 2015</c:v>
                </c:pt>
                <c:pt idx="77">
                  <c:v>September 2015</c:v>
                </c:pt>
                <c:pt idx="78">
                  <c:v>October 2015</c:v>
                </c:pt>
                <c:pt idx="79">
                  <c:v>November 2015</c:v>
                </c:pt>
                <c:pt idx="80">
                  <c:v>December 2015</c:v>
                </c:pt>
                <c:pt idx="81">
                  <c:v>January 2016</c:v>
                </c:pt>
                <c:pt idx="82">
                  <c:v>February 2016</c:v>
                </c:pt>
                <c:pt idx="83">
                  <c:v>March 2016</c:v>
                </c:pt>
                <c:pt idx="84">
                  <c:v>April 2016</c:v>
                </c:pt>
                <c:pt idx="85">
                  <c:v>May 2016</c:v>
                </c:pt>
                <c:pt idx="86">
                  <c:v>June 2016</c:v>
                </c:pt>
                <c:pt idx="87">
                  <c:v>July 2016</c:v>
                </c:pt>
                <c:pt idx="88">
                  <c:v>August 2016</c:v>
                </c:pt>
                <c:pt idx="89">
                  <c:v>September 2016</c:v>
                </c:pt>
                <c:pt idx="90">
                  <c:v>October 2016</c:v>
                </c:pt>
                <c:pt idx="91">
                  <c:v>November 2016</c:v>
                </c:pt>
                <c:pt idx="92">
                  <c:v>December 2016</c:v>
                </c:pt>
                <c:pt idx="93">
                  <c:v>January 2017</c:v>
                </c:pt>
                <c:pt idx="94">
                  <c:v>February 2017</c:v>
                </c:pt>
                <c:pt idx="95">
                  <c:v>March 2017</c:v>
                </c:pt>
                <c:pt idx="96">
                  <c:v>April 2017</c:v>
                </c:pt>
                <c:pt idx="97">
                  <c:v>May 2017</c:v>
                </c:pt>
                <c:pt idx="98">
                  <c:v>June 2017</c:v>
                </c:pt>
                <c:pt idx="99">
                  <c:v>July 2017</c:v>
                </c:pt>
                <c:pt idx="100">
                  <c:v>August 2017</c:v>
                </c:pt>
                <c:pt idx="101">
                  <c:v>September 2017</c:v>
                </c:pt>
                <c:pt idx="102">
                  <c:v>October 2017</c:v>
                </c:pt>
                <c:pt idx="103">
                  <c:v>November 2017</c:v>
                </c:pt>
                <c:pt idx="104">
                  <c:v>December 2017</c:v>
                </c:pt>
                <c:pt idx="105">
                  <c:v>January 2018</c:v>
                </c:pt>
                <c:pt idx="106">
                  <c:v>February 2018</c:v>
                </c:pt>
                <c:pt idx="107">
                  <c:v>March 2018</c:v>
                </c:pt>
                <c:pt idx="108">
                  <c:v>April 2018</c:v>
                </c:pt>
                <c:pt idx="109">
                  <c:v>May 2018</c:v>
                </c:pt>
                <c:pt idx="110">
                  <c:v>June 2018</c:v>
                </c:pt>
                <c:pt idx="111">
                  <c:v>July 2018</c:v>
                </c:pt>
                <c:pt idx="112">
                  <c:v>August 2018</c:v>
                </c:pt>
                <c:pt idx="113">
                  <c:v>September 2018</c:v>
                </c:pt>
                <c:pt idx="114">
                  <c:v>October 2018</c:v>
                </c:pt>
                <c:pt idx="115">
                  <c:v>November 2018</c:v>
                </c:pt>
                <c:pt idx="116">
                  <c:v>December 2018</c:v>
                </c:pt>
                <c:pt idx="117">
                  <c:v>January 2019</c:v>
                </c:pt>
                <c:pt idx="118">
                  <c:v>February 2019</c:v>
                </c:pt>
                <c:pt idx="119">
                  <c:v>March 2019</c:v>
                </c:pt>
                <c:pt idx="120">
                  <c:v>April 2019</c:v>
                </c:pt>
                <c:pt idx="121">
                  <c:v>May 2019</c:v>
                </c:pt>
                <c:pt idx="122">
                  <c:v>June 2019</c:v>
                </c:pt>
                <c:pt idx="123">
                  <c:v>July 2019</c:v>
                </c:pt>
                <c:pt idx="124">
                  <c:v>August 2019</c:v>
                </c:pt>
                <c:pt idx="125">
                  <c:v>September 2019</c:v>
                </c:pt>
                <c:pt idx="126">
                  <c:v>October 2019</c:v>
                </c:pt>
                <c:pt idx="127">
                  <c:v>November 2019</c:v>
                </c:pt>
                <c:pt idx="128">
                  <c:v>December 2019</c:v>
                </c:pt>
                <c:pt idx="129">
                  <c:v>January 2020</c:v>
                </c:pt>
                <c:pt idx="130">
                  <c:v>February 2020</c:v>
                </c:pt>
                <c:pt idx="131">
                  <c:v>March 2020</c:v>
                </c:pt>
                <c:pt idx="132">
                  <c:v>April 2020</c:v>
                </c:pt>
                <c:pt idx="133">
                  <c:v>May 2020</c:v>
                </c:pt>
                <c:pt idx="134">
                  <c:v>June 2020</c:v>
                </c:pt>
                <c:pt idx="135">
                  <c:v>July 2020</c:v>
                </c:pt>
                <c:pt idx="136">
                  <c:v>August 2020</c:v>
                </c:pt>
                <c:pt idx="137">
                  <c:v>September 2020</c:v>
                </c:pt>
                <c:pt idx="138">
                  <c:v>October 2020</c:v>
                </c:pt>
                <c:pt idx="139">
                  <c:v>November 2020</c:v>
                </c:pt>
                <c:pt idx="140">
                  <c:v>December 2020</c:v>
                </c:pt>
                <c:pt idx="141">
                  <c:v>January 2021</c:v>
                </c:pt>
                <c:pt idx="142">
                  <c:v>February 2021</c:v>
                </c:pt>
                <c:pt idx="143">
                  <c:v>March 2021</c:v>
                </c:pt>
                <c:pt idx="144">
                  <c:v>April 2021</c:v>
                </c:pt>
                <c:pt idx="145">
                  <c:v>May 2021</c:v>
                </c:pt>
                <c:pt idx="146">
                  <c:v>June 2021</c:v>
                </c:pt>
                <c:pt idx="147">
                  <c:v>July 2021</c:v>
                </c:pt>
                <c:pt idx="148">
                  <c:v>August 2021</c:v>
                </c:pt>
                <c:pt idx="149">
                  <c:v>September 2021</c:v>
                </c:pt>
                <c:pt idx="150">
                  <c:v>October 2021</c:v>
                </c:pt>
                <c:pt idx="151">
                  <c:v>November 2021</c:v>
                </c:pt>
                <c:pt idx="152">
                  <c:v>December 2021</c:v>
                </c:pt>
                <c:pt idx="153">
                  <c:v>January 2022</c:v>
                </c:pt>
                <c:pt idx="154">
                  <c:v>February 2022</c:v>
                </c:pt>
                <c:pt idx="155">
                  <c:v>March 2022</c:v>
                </c:pt>
                <c:pt idx="156">
                  <c:v>April 2022</c:v>
                </c:pt>
                <c:pt idx="157">
                  <c:v>May 2022</c:v>
                </c:pt>
                <c:pt idx="158">
                  <c:v>June 2022</c:v>
                </c:pt>
                <c:pt idx="159">
                  <c:v>July 2022</c:v>
                </c:pt>
                <c:pt idx="160">
                  <c:v>August 2022</c:v>
                </c:pt>
                <c:pt idx="161">
                  <c:v>September 2022</c:v>
                </c:pt>
                <c:pt idx="162">
                  <c:v>October 2022</c:v>
                </c:pt>
                <c:pt idx="163">
                  <c:v>November 2022</c:v>
                </c:pt>
                <c:pt idx="164">
                  <c:v>December 2022</c:v>
                </c:pt>
                <c:pt idx="165">
                  <c:v>January 2023</c:v>
                </c:pt>
                <c:pt idx="166">
                  <c:v>February 2023</c:v>
                </c:pt>
                <c:pt idx="167">
                  <c:v>March 2023</c:v>
                </c:pt>
                <c:pt idx="168">
                  <c:v>April 2023</c:v>
                </c:pt>
                <c:pt idx="169">
                  <c:v>May 2023</c:v>
                </c:pt>
              </c:strCache>
            </c:strRef>
          </c:cat>
          <c:val>
            <c:numRef>
              <c:f>'[178]Table 1'!$B$4:$B$173</c:f>
              <c:numCache>
                <c:formatCode>General</c:formatCode>
                <c:ptCount val="170"/>
                <c:pt idx="0">
                  <c:v>3.97</c:v>
                </c:pt>
                <c:pt idx="1">
                  <c:v>4.04</c:v>
                </c:pt>
                <c:pt idx="2">
                  <c:v>4.13</c:v>
                </c:pt>
                <c:pt idx="3">
                  <c:v>4.66</c:v>
                </c:pt>
                <c:pt idx="4">
                  <c:v>4.28</c:v>
                </c:pt>
                <c:pt idx="5">
                  <c:v>4.21</c:v>
                </c:pt>
                <c:pt idx="6">
                  <c:v>4.6900000000000004</c:v>
                </c:pt>
                <c:pt idx="7">
                  <c:v>4.75</c:v>
                </c:pt>
                <c:pt idx="8">
                  <c:v>4.66</c:v>
                </c:pt>
                <c:pt idx="9">
                  <c:v>4.8099999999999996</c:v>
                </c:pt>
                <c:pt idx="10">
                  <c:v>4.42</c:v>
                </c:pt>
                <c:pt idx="11">
                  <c:v>4.21</c:v>
                </c:pt>
                <c:pt idx="12">
                  <c:v>3.91</c:v>
                </c:pt>
                <c:pt idx="13">
                  <c:v>3.9</c:v>
                </c:pt>
                <c:pt idx="14">
                  <c:v>3.91</c:v>
                </c:pt>
                <c:pt idx="15">
                  <c:v>3.96</c:v>
                </c:pt>
                <c:pt idx="16">
                  <c:v>3.83</c:v>
                </c:pt>
                <c:pt idx="17">
                  <c:v>4.07</c:v>
                </c:pt>
                <c:pt idx="18">
                  <c:v>4.28</c:v>
                </c:pt>
                <c:pt idx="19">
                  <c:v>4.32</c:v>
                </c:pt>
                <c:pt idx="20">
                  <c:v>4.95</c:v>
                </c:pt>
                <c:pt idx="21">
                  <c:v>4.6399999999999997</c:v>
                </c:pt>
                <c:pt idx="22">
                  <c:v>4.07</c:v>
                </c:pt>
                <c:pt idx="23">
                  <c:v>3.93</c:v>
                </c:pt>
                <c:pt idx="24">
                  <c:v>3.73</c:v>
                </c:pt>
                <c:pt idx="25">
                  <c:v>3.69</c:v>
                </c:pt>
                <c:pt idx="26">
                  <c:v>3.9</c:v>
                </c:pt>
                <c:pt idx="27">
                  <c:v>3.97</c:v>
                </c:pt>
                <c:pt idx="28">
                  <c:v>3.92</c:v>
                </c:pt>
                <c:pt idx="29">
                  <c:v>4.03</c:v>
                </c:pt>
                <c:pt idx="30">
                  <c:v>4.2699999999999996</c:v>
                </c:pt>
                <c:pt idx="31">
                  <c:v>4.43</c:v>
                </c:pt>
                <c:pt idx="32">
                  <c:v>4.41</c:v>
                </c:pt>
                <c:pt idx="33">
                  <c:v>4.49</c:v>
                </c:pt>
                <c:pt idx="34">
                  <c:v>4.51</c:v>
                </c:pt>
                <c:pt idx="35">
                  <c:v>4.2</c:v>
                </c:pt>
                <c:pt idx="36">
                  <c:v>4.03</c:v>
                </c:pt>
                <c:pt idx="37">
                  <c:v>4.1500000000000004</c:v>
                </c:pt>
                <c:pt idx="38">
                  <c:v>3.97</c:v>
                </c:pt>
                <c:pt idx="39">
                  <c:v>4.1900000000000004</c:v>
                </c:pt>
                <c:pt idx="40">
                  <c:v>4.04</c:v>
                </c:pt>
                <c:pt idx="41">
                  <c:v>4.07</c:v>
                </c:pt>
                <c:pt idx="42">
                  <c:v>4.4400000000000004</c:v>
                </c:pt>
                <c:pt idx="43">
                  <c:v>4.53</c:v>
                </c:pt>
                <c:pt idx="44">
                  <c:v>4.6500000000000004</c:v>
                </c:pt>
                <c:pt idx="45">
                  <c:v>4.7699999999999996</c:v>
                </c:pt>
                <c:pt idx="46">
                  <c:v>4.3600000000000003</c:v>
                </c:pt>
                <c:pt idx="47">
                  <c:v>4.13</c:v>
                </c:pt>
                <c:pt idx="48">
                  <c:v>3.98</c:v>
                </c:pt>
                <c:pt idx="49">
                  <c:v>3.78</c:v>
                </c:pt>
                <c:pt idx="50">
                  <c:v>3.8</c:v>
                </c:pt>
                <c:pt idx="51">
                  <c:v>3.87</c:v>
                </c:pt>
                <c:pt idx="52">
                  <c:v>3.8</c:v>
                </c:pt>
                <c:pt idx="53">
                  <c:v>3.94</c:v>
                </c:pt>
                <c:pt idx="54">
                  <c:v>4.17</c:v>
                </c:pt>
                <c:pt idx="55">
                  <c:v>4.2300000000000004</c:v>
                </c:pt>
                <c:pt idx="56">
                  <c:v>4.34</c:v>
                </c:pt>
                <c:pt idx="57">
                  <c:v>4.4400000000000004</c:v>
                </c:pt>
                <c:pt idx="58">
                  <c:v>4.3</c:v>
                </c:pt>
                <c:pt idx="59">
                  <c:v>4.04</c:v>
                </c:pt>
                <c:pt idx="60">
                  <c:v>3.95</c:v>
                </c:pt>
                <c:pt idx="61">
                  <c:v>3.85</c:v>
                </c:pt>
                <c:pt idx="62">
                  <c:v>3.95</c:v>
                </c:pt>
                <c:pt idx="63">
                  <c:v>4.08</c:v>
                </c:pt>
                <c:pt idx="64">
                  <c:v>3.98</c:v>
                </c:pt>
                <c:pt idx="65">
                  <c:v>4.1500000000000004</c:v>
                </c:pt>
                <c:pt idx="66">
                  <c:v>4.42</c:v>
                </c:pt>
                <c:pt idx="67">
                  <c:v>4.47</c:v>
                </c:pt>
                <c:pt idx="68">
                  <c:v>4.78</c:v>
                </c:pt>
                <c:pt idx="69">
                  <c:v>4.72</c:v>
                </c:pt>
                <c:pt idx="70">
                  <c:v>4.42</c:v>
                </c:pt>
                <c:pt idx="71">
                  <c:v>4.18</c:v>
                </c:pt>
                <c:pt idx="72">
                  <c:v>3.99</c:v>
                </c:pt>
                <c:pt idx="73">
                  <c:v>3.9</c:v>
                </c:pt>
                <c:pt idx="74">
                  <c:v>3.93</c:v>
                </c:pt>
                <c:pt idx="75">
                  <c:v>3.98</c:v>
                </c:pt>
                <c:pt idx="76">
                  <c:v>3.92</c:v>
                </c:pt>
                <c:pt idx="77">
                  <c:v>4</c:v>
                </c:pt>
                <c:pt idx="78">
                  <c:v>4.24</c:v>
                </c:pt>
                <c:pt idx="79">
                  <c:v>4.29</c:v>
                </c:pt>
                <c:pt idx="80">
                  <c:v>4.3899999999999997</c:v>
                </c:pt>
                <c:pt idx="81">
                  <c:v>4.49</c:v>
                </c:pt>
                <c:pt idx="82">
                  <c:v>4.42</c:v>
                </c:pt>
                <c:pt idx="83">
                  <c:v>4.21</c:v>
                </c:pt>
                <c:pt idx="84">
                  <c:v>4.01</c:v>
                </c:pt>
                <c:pt idx="85">
                  <c:v>3.84</c:v>
                </c:pt>
                <c:pt idx="86">
                  <c:v>3.94</c:v>
                </c:pt>
                <c:pt idx="87">
                  <c:v>4.04</c:v>
                </c:pt>
                <c:pt idx="88">
                  <c:v>3.92</c:v>
                </c:pt>
                <c:pt idx="89">
                  <c:v>3.99</c:v>
                </c:pt>
                <c:pt idx="90">
                  <c:v>4.3</c:v>
                </c:pt>
                <c:pt idx="91">
                  <c:v>4.46</c:v>
                </c:pt>
                <c:pt idx="92">
                  <c:v>4.55</c:v>
                </c:pt>
                <c:pt idx="93">
                  <c:v>4.66</c:v>
                </c:pt>
                <c:pt idx="94">
                  <c:v>4.29</c:v>
                </c:pt>
                <c:pt idx="95">
                  <c:v>3.93</c:v>
                </c:pt>
                <c:pt idx="96">
                  <c:v>3.69</c:v>
                </c:pt>
                <c:pt idx="97">
                  <c:v>3.84</c:v>
                </c:pt>
                <c:pt idx="98">
                  <c:v>3.85</c:v>
                </c:pt>
                <c:pt idx="99">
                  <c:v>4.0199999999999996</c:v>
                </c:pt>
                <c:pt idx="100">
                  <c:v>4</c:v>
                </c:pt>
                <c:pt idx="101">
                  <c:v>3.99</c:v>
                </c:pt>
                <c:pt idx="102">
                  <c:v>4.25</c:v>
                </c:pt>
                <c:pt idx="103">
                  <c:v>4.43</c:v>
                </c:pt>
                <c:pt idx="104">
                  <c:v>4.6100000000000003</c:v>
                </c:pt>
                <c:pt idx="105">
                  <c:v>5.03</c:v>
                </c:pt>
                <c:pt idx="106">
                  <c:v>4.45</c:v>
                </c:pt>
                <c:pt idx="107">
                  <c:v>4.05</c:v>
                </c:pt>
                <c:pt idx="108">
                  <c:v>3.83</c:v>
                </c:pt>
                <c:pt idx="109">
                  <c:v>3.79</c:v>
                </c:pt>
                <c:pt idx="110">
                  <c:v>3.9</c:v>
                </c:pt>
                <c:pt idx="111">
                  <c:v>4.09</c:v>
                </c:pt>
                <c:pt idx="112">
                  <c:v>4.05</c:v>
                </c:pt>
                <c:pt idx="113">
                  <c:v>4.12</c:v>
                </c:pt>
                <c:pt idx="114">
                  <c:v>4.34</c:v>
                </c:pt>
                <c:pt idx="115">
                  <c:v>4.46</c:v>
                </c:pt>
                <c:pt idx="116">
                  <c:v>4.51</c:v>
                </c:pt>
                <c:pt idx="117">
                  <c:v>4.7699999999999996</c:v>
                </c:pt>
                <c:pt idx="118">
                  <c:v>4.51</c:v>
                </c:pt>
                <c:pt idx="119">
                  <c:v>4.08</c:v>
                </c:pt>
                <c:pt idx="120">
                  <c:v>4.0599999999999996</c:v>
                </c:pt>
                <c:pt idx="121">
                  <c:v>4.01</c:v>
                </c:pt>
                <c:pt idx="122">
                  <c:v>4.12</c:v>
                </c:pt>
                <c:pt idx="123">
                  <c:v>4.2300000000000004</c:v>
                </c:pt>
                <c:pt idx="124">
                  <c:v>4.1399999999999997</c:v>
                </c:pt>
                <c:pt idx="125">
                  <c:v>4.25</c:v>
                </c:pt>
                <c:pt idx="126">
                  <c:v>4.5999999999999996</c:v>
                </c:pt>
                <c:pt idx="127">
                  <c:v>4.7300000000000004</c:v>
                </c:pt>
                <c:pt idx="128">
                  <c:v>4.8600000000000003</c:v>
                </c:pt>
                <c:pt idx="129">
                  <c:v>4.8099999999999996</c:v>
                </c:pt>
                <c:pt idx="130">
                  <c:v>4.51</c:v>
                </c:pt>
                <c:pt idx="131">
                  <c:v>5.36</c:v>
                </c:pt>
                <c:pt idx="132">
                  <c:v>6.2</c:v>
                </c:pt>
                <c:pt idx="133">
                  <c:v>4.72</c:v>
                </c:pt>
                <c:pt idx="134">
                  <c:v>4.04</c:v>
                </c:pt>
                <c:pt idx="135">
                  <c:v>3.88</c:v>
                </c:pt>
                <c:pt idx="136">
                  <c:v>3.9</c:v>
                </c:pt>
                <c:pt idx="137">
                  <c:v>4.1900000000000004</c:v>
                </c:pt>
                <c:pt idx="138">
                  <c:v>4.5199999999999996</c:v>
                </c:pt>
                <c:pt idx="139">
                  <c:v>4.92</c:v>
                </c:pt>
                <c:pt idx="140">
                  <c:v>5.09</c:v>
                </c:pt>
                <c:pt idx="141">
                  <c:v>5.75</c:v>
                </c:pt>
                <c:pt idx="142">
                  <c:v>4.6500000000000004</c:v>
                </c:pt>
                <c:pt idx="143">
                  <c:v>3.99</c:v>
                </c:pt>
                <c:pt idx="144">
                  <c:v>4.0599999999999996</c:v>
                </c:pt>
                <c:pt idx="145">
                  <c:v>4.34</c:v>
                </c:pt>
                <c:pt idx="146">
                  <c:v>4.63</c:v>
                </c:pt>
                <c:pt idx="147">
                  <c:v>5.07</c:v>
                </c:pt>
                <c:pt idx="148">
                  <c:v>5.14</c:v>
                </c:pt>
                <c:pt idx="149">
                  <c:v>5.38</c:v>
                </c:pt>
                <c:pt idx="150">
                  <c:v>5.66</c:v>
                </c:pt>
                <c:pt idx="151">
                  <c:v>5.59</c:v>
                </c:pt>
                <c:pt idx="152">
                  <c:v>6.17</c:v>
                </c:pt>
                <c:pt idx="153">
                  <c:v>6.69</c:v>
                </c:pt>
                <c:pt idx="154">
                  <c:v>5.61</c:v>
                </c:pt>
                <c:pt idx="155">
                  <c:v>6.02</c:v>
                </c:pt>
                <c:pt idx="156">
                  <c:v>5.77</c:v>
                </c:pt>
                <c:pt idx="157">
                  <c:v>4.9000000000000004</c:v>
                </c:pt>
                <c:pt idx="158">
                  <c:v>5.22</c:v>
                </c:pt>
                <c:pt idx="159">
                  <c:v>6.05</c:v>
                </c:pt>
                <c:pt idx="160">
                  <c:v>5.01</c:v>
                </c:pt>
                <c:pt idx="161">
                  <c:v>5.01</c:v>
                </c:pt>
                <c:pt idx="162">
                  <c:v>5.6</c:v>
                </c:pt>
                <c:pt idx="163">
                  <c:v>5.44</c:v>
                </c:pt>
                <c:pt idx="164">
                  <c:v>6.28</c:v>
                </c:pt>
                <c:pt idx="165">
                  <c:v>5.32</c:v>
                </c:pt>
                <c:pt idx="166">
                  <c:v>5</c:v>
                </c:pt>
                <c:pt idx="167">
                  <c:v>4.9400000000000004</c:v>
                </c:pt>
                <c:pt idx="168">
                  <c:v>4.51</c:v>
                </c:pt>
                <c:pt idx="169">
                  <c:v>4.46</c:v>
                </c:pt>
              </c:numCache>
            </c:numRef>
          </c:val>
          <c:smooth val="0"/>
          <c:extLst>
            <c:ext xmlns:c16="http://schemas.microsoft.com/office/drawing/2014/chart" uri="{C3380CC4-5D6E-409C-BE32-E72D297353CC}">
              <c16:uniqueId val="{00000001-2332-499F-9554-A4A862EAD927}"/>
            </c:ext>
          </c:extLst>
        </c:ser>
        <c:ser>
          <c:idx val="1"/>
          <c:order val="1"/>
          <c:tx>
            <c:strRef>
              <c:f>'[178]Table 1'!$C$3</c:f>
              <c:strCache>
                <c:ptCount val="1"/>
                <c:pt idx="0">
                  <c:v>COVID</c:v>
                </c:pt>
              </c:strCache>
            </c:strRef>
          </c:tx>
          <c:spPr>
            <a:ln w="28575" cap="rnd">
              <a:solidFill>
                <a:schemeClr val="accent2"/>
              </a:solidFill>
              <a:round/>
            </a:ln>
            <a:effectLst/>
          </c:spPr>
          <c:marker>
            <c:symbol val="none"/>
          </c:marker>
          <c:cat>
            <c:strRef>
              <c:f>'[178]Table 1'!$A$4:$A$173</c:f>
              <c:strCache>
                <c:ptCount val="170"/>
                <c:pt idx="0">
                  <c:v>April 2009</c:v>
                </c:pt>
                <c:pt idx="1">
                  <c:v>May 2009</c:v>
                </c:pt>
                <c:pt idx="2">
                  <c:v>June 2009</c:v>
                </c:pt>
                <c:pt idx="3">
                  <c:v>July 2009</c:v>
                </c:pt>
                <c:pt idx="4">
                  <c:v>August 2009</c:v>
                </c:pt>
                <c:pt idx="5">
                  <c:v>September 2009</c:v>
                </c:pt>
                <c:pt idx="6">
                  <c:v>October 2009</c:v>
                </c:pt>
                <c:pt idx="7">
                  <c:v>November 2009</c:v>
                </c:pt>
                <c:pt idx="8">
                  <c:v>December 2009</c:v>
                </c:pt>
                <c:pt idx="9">
                  <c:v>January 2010</c:v>
                </c:pt>
                <c:pt idx="10">
                  <c:v>February 2010</c:v>
                </c:pt>
                <c:pt idx="11">
                  <c:v>March 2010</c:v>
                </c:pt>
                <c:pt idx="12">
                  <c:v>April 2010</c:v>
                </c:pt>
                <c:pt idx="13">
                  <c:v>May 2010</c:v>
                </c:pt>
                <c:pt idx="14">
                  <c:v>June 2010</c:v>
                </c:pt>
                <c:pt idx="15">
                  <c:v>July 2010</c:v>
                </c:pt>
                <c:pt idx="16">
                  <c:v>August 2010</c:v>
                </c:pt>
                <c:pt idx="17">
                  <c:v>September 2010</c:v>
                </c:pt>
                <c:pt idx="18">
                  <c:v>October 2010</c:v>
                </c:pt>
                <c:pt idx="19">
                  <c:v>November 2010</c:v>
                </c:pt>
                <c:pt idx="20">
                  <c:v>December 2010</c:v>
                </c:pt>
                <c:pt idx="21">
                  <c:v>January 2011</c:v>
                </c:pt>
                <c:pt idx="22">
                  <c:v>February  2011</c:v>
                </c:pt>
                <c:pt idx="23">
                  <c:v>March  2011</c:v>
                </c:pt>
                <c:pt idx="24">
                  <c:v>April 2011</c:v>
                </c:pt>
                <c:pt idx="25">
                  <c:v>May 2011</c:v>
                </c:pt>
                <c:pt idx="26">
                  <c:v>June 2011</c:v>
                </c:pt>
                <c:pt idx="27">
                  <c:v>July 2011</c:v>
                </c:pt>
                <c:pt idx="28">
                  <c:v>August 2011</c:v>
                </c:pt>
                <c:pt idx="29">
                  <c:v>September 2011</c:v>
                </c:pt>
                <c:pt idx="30">
                  <c:v>October 2011</c:v>
                </c:pt>
                <c:pt idx="31">
                  <c:v>November 2011</c:v>
                </c:pt>
                <c:pt idx="32">
                  <c:v>December 2011</c:v>
                </c:pt>
                <c:pt idx="33">
                  <c:v>January 2012</c:v>
                </c:pt>
                <c:pt idx="34">
                  <c:v>February 2012</c:v>
                </c:pt>
                <c:pt idx="35">
                  <c:v>March 2012</c:v>
                </c:pt>
                <c:pt idx="36">
                  <c:v>April 2012</c:v>
                </c:pt>
                <c:pt idx="37">
                  <c:v>May 2012</c:v>
                </c:pt>
                <c:pt idx="38">
                  <c:v>June 2012</c:v>
                </c:pt>
                <c:pt idx="39">
                  <c:v>July 2012</c:v>
                </c:pt>
                <c:pt idx="40">
                  <c:v>August 2012</c:v>
                </c:pt>
                <c:pt idx="41">
                  <c:v>September 2012</c:v>
                </c:pt>
                <c:pt idx="42">
                  <c:v>October 2012</c:v>
                </c:pt>
                <c:pt idx="43">
                  <c:v>November 2012</c:v>
                </c:pt>
                <c:pt idx="44">
                  <c:v>December 2012</c:v>
                </c:pt>
                <c:pt idx="45">
                  <c:v>January 2013</c:v>
                </c:pt>
                <c:pt idx="46">
                  <c:v>February 2013</c:v>
                </c:pt>
                <c:pt idx="47">
                  <c:v>March 2013</c:v>
                </c:pt>
                <c:pt idx="48">
                  <c:v>April 2013</c:v>
                </c:pt>
                <c:pt idx="49">
                  <c:v>May 2013</c:v>
                </c:pt>
                <c:pt idx="50">
                  <c:v>June 2013</c:v>
                </c:pt>
                <c:pt idx="51">
                  <c:v>July 2013</c:v>
                </c:pt>
                <c:pt idx="52">
                  <c:v>August 2013</c:v>
                </c:pt>
                <c:pt idx="53">
                  <c:v>September 2013</c:v>
                </c:pt>
                <c:pt idx="54">
                  <c:v>October 2013</c:v>
                </c:pt>
                <c:pt idx="55">
                  <c:v>November 2013</c:v>
                </c:pt>
                <c:pt idx="56">
                  <c:v>December 2013</c:v>
                </c:pt>
                <c:pt idx="57">
                  <c:v>January 2014</c:v>
                </c:pt>
                <c:pt idx="58">
                  <c:v>February 2014</c:v>
                </c:pt>
                <c:pt idx="59">
                  <c:v>March 2014</c:v>
                </c:pt>
                <c:pt idx="60">
                  <c:v>April 2014</c:v>
                </c:pt>
                <c:pt idx="61">
                  <c:v>May 2014</c:v>
                </c:pt>
                <c:pt idx="62">
                  <c:v>June 2014</c:v>
                </c:pt>
                <c:pt idx="63">
                  <c:v>July 2014</c:v>
                </c:pt>
                <c:pt idx="64">
                  <c:v>August 2014</c:v>
                </c:pt>
                <c:pt idx="65">
                  <c:v>September 2014</c:v>
                </c:pt>
                <c:pt idx="66">
                  <c:v>October 2014</c:v>
                </c:pt>
                <c:pt idx="67">
                  <c:v>November 2014</c:v>
                </c:pt>
                <c:pt idx="68">
                  <c:v>December 2014</c:v>
                </c:pt>
                <c:pt idx="69">
                  <c:v>January 2015</c:v>
                </c:pt>
                <c:pt idx="70">
                  <c:v>February 2015</c:v>
                </c:pt>
                <c:pt idx="71">
                  <c:v>March 2015</c:v>
                </c:pt>
                <c:pt idx="72">
                  <c:v>April 2015</c:v>
                </c:pt>
                <c:pt idx="73">
                  <c:v>May 2015</c:v>
                </c:pt>
                <c:pt idx="74">
                  <c:v>June 2015</c:v>
                </c:pt>
                <c:pt idx="75">
                  <c:v>July 2015</c:v>
                </c:pt>
                <c:pt idx="76">
                  <c:v>August 2015</c:v>
                </c:pt>
                <c:pt idx="77">
                  <c:v>September 2015</c:v>
                </c:pt>
                <c:pt idx="78">
                  <c:v>October 2015</c:v>
                </c:pt>
                <c:pt idx="79">
                  <c:v>November 2015</c:v>
                </c:pt>
                <c:pt idx="80">
                  <c:v>December 2015</c:v>
                </c:pt>
                <c:pt idx="81">
                  <c:v>January 2016</c:v>
                </c:pt>
                <c:pt idx="82">
                  <c:v>February 2016</c:v>
                </c:pt>
                <c:pt idx="83">
                  <c:v>March 2016</c:v>
                </c:pt>
                <c:pt idx="84">
                  <c:v>April 2016</c:v>
                </c:pt>
                <c:pt idx="85">
                  <c:v>May 2016</c:v>
                </c:pt>
                <c:pt idx="86">
                  <c:v>June 2016</c:v>
                </c:pt>
                <c:pt idx="87">
                  <c:v>July 2016</c:v>
                </c:pt>
                <c:pt idx="88">
                  <c:v>August 2016</c:v>
                </c:pt>
                <c:pt idx="89">
                  <c:v>September 2016</c:v>
                </c:pt>
                <c:pt idx="90">
                  <c:v>October 2016</c:v>
                </c:pt>
                <c:pt idx="91">
                  <c:v>November 2016</c:v>
                </c:pt>
                <c:pt idx="92">
                  <c:v>December 2016</c:v>
                </c:pt>
                <c:pt idx="93">
                  <c:v>January 2017</c:v>
                </c:pt>
                <c:pt idx="94">
                  <c:v>February 2017</c:v>
                </c:pt>
                <c:pt idx="95">
                  <c:v>March 2017</c:v>
                </c:pt>
                <c:pt idx="96">
                  <c:v>April 2017</c:v>
                </c:pt>
                <c:pt idx="97">
                  <c:v>May 2017</c:v>
                </c:pt>
                <c:pt idx="98">
                  <c:v>June 2017</c:v>
                </c:pt>
                <c:pt idx="99">
                  <c:v>July 2017</c:v>
                </c:pt>
                <c:pt idx="100">
                  <c:v>August 2017</c:v>
                </c:pt>
                <c:pt idx="101">
                  <c:v>September 2017</c:v>
                </c:pt>
                <c:pt idx="102">
                  <c:v>October 2017</c:v>
                </c:pt>
                <c:pt idx="103">
                  <c:v>November 2017</c:v>
                </c:pt>
                <c:pt idx="104">
                  <c:v>December 2017</c:v>
                </c:pt>
                <c:pt idx="105">
                  <c:v>January 2018</c:v>
                </c:pt>
                <c:pt idx="106">
                  <c:v>February 2018</c:v>
                </c:pt>
                <c:pt idx="107">
                  <c:v>March 2018</c:v>
                </c:pt>
                <c:pt idx="108">
                  <c:v>April 2018</c:v>
                </c:pt>
                <c:pt idx="109">
                  <c:v>May 2018</c:v>
                </c:pt>
                <c:pt idx="110">
                  <c:v>June 2018</c:v>
                </c:pt>
                <c:pt idx="111">
                  <c:v>July 2018</c:v>
                </c:pt>
                <c:pt idx="112">
                  <c:v>August 2018</c:v>
                </c:pt>
                <c:pt idx="113">
                  <c:v>September 2018</c:v>
                </c:pt>
                <c:pt idx="114">
                  <c:v>October 2018</c:v>
                </c:pt>
                <c:pt idx="115">
                  <c:v>November 2018</c:v>
                </c:pt>
                <c:pt idx="116">
                  <c:v>December 2018</c:v>
                </c:pt>
                <c:pt idx="117">
                  <c:v>January 2019</c:v>
                </c:pt>
                <c:pt idx="118">
                  <c:v>February 2019</c:v>
                </c:pt>
                <c:pt idx="119">
                  <c:v>March 2019</c:v>
                </c:pt>
                <c:pt idx="120">
                  <c:v>April 2019</c:v>
                </c:pt>
                <c:pt idx="121">
                  <c:v>May 2019</c:v>
                </c:pt>
                <c:pt idx="122">
                  <c:v>June 2019</c:v>
                </c:pt>
                <c:pt idx="123">
                  <c:v>July 2019</c:v>
                </c:pt>
                <c:pt idx="124">
                  <c:v>August 2019</c:v>
                </c:pt>
                <c:pt idx="125">
                  <c:v>September 2019</c:v>
                </c:pt>
                <c:pt idx="126">
                  <c:v>October 2019</c:v>
                </c:pt>
                <c:pt idx="127">
                  <c:v>November 2019</c:v>
                </c:pt>
                <c:pt idx="128">
                  <c:v>December 2019</c:v>
                </c:pt>
                <c:pt idx="129">
                  <c:v>January 2020</c:v>
                </c:pt>
                <c:pt idx="130">
                  <c:v>February 2020</c:v>
                </c:pt>
                <c:pt idx="131">
                  <c:v>March 2020</c:v>
                </c:pt>
                <c:pt idx="132">
                  <c:v>April 2020</c:v>
                </c:pt>
                <c:pt idx="133">
                  <c:v>May 2020</c:v>
                </c:pt>
                <c:pt idx="134">
                  <c:v>June 2020</c:v>
                </c:pt>
                <c:pt idx="135">
                  <c:v>July 2020</c:v>
                </c:pt>
                <c:pt idx="136">
                  <c:v>August 2020</c:v>
                </c:pt>
                <c:pt idx="137">
                  <c:v>September 2020</c:v>
                </c:pt>
                <c:pt idx="138">
                  <c:v>October 2020</c:v>
                </c:pt>
                <c:pt idx="139">
                  <c:v>November 2020</c:v>
                </c:pt>
                <c:pt idx="140">
                  <c:v>December 2020</c:v>
                </c:pt>
                <c:pt idx="141">
                  <c:v>January 2021</c:v>
                </c:pt>
                <c:pt idx="142">
                  <c:v>February 2021</c:v>
                </c:pt>
                <c:pt idx="143">
                  <c:v>March 2021</c:v>
                </c:pt>
                <c:pt idx="144">
                  <c:v>April 2021</c:v>
                </c:pt>
                <c:pt idx="145">
                  <c:v>May 2021</c:v>
                </c:pt>
                <c:pt idx="146">
                  <c:v>June 2021</c:v>
                </c:pt>
                <c:pt idx="147">
                  <c:v>July 2021</c:v>
                </c:pt>
                <c:pt idx="148">
                  <c:v>August 2021</c:v>
                </c:pt>
                <c:pt idx="149">
                  <c:v>September 2021</c:v>
                </c:pt>
                <c:pt idx="150">
                  <c:v>October 2021</c:v>
                </c:pt>
                <c:pt idx="151">
                  <c:v>November 2021</c:v>
                </c:pt>
                <c:pt idx="152">
                  <c:v>December 2021</c:v>
                </c:pt>
                <c:pt idx="153">
                  <c:v>January 2022</c:v>
                </c:pt>
                <c:pt idx="154">
                  <c:v>February 2022</c:v>
                </c:pt>
                <c:pt idx="155">
                  <c:v>March 2022</c:v>
                </c:pt>
                <c:pt idx="156">
                  <c:v>April 2022</c:v>
                </c:pt>
                <c:pt idx="157">
                  <c:v>May 2022</c:v>
                </c:pt>
                <c:pt idx="158">
                  <c:v>June 2022</c:v>
                </c:pt>
                <c:pt idx="159">
                  <c:v>July 2022</c:v>
                </c:pt>
                <c:pt idx="160">
                  <c:v>August 2022</c:v>
                </c:pt>
                <c:pt idx="161">
                  <c:v>September 2022</c:v>
                </c:pt>
                <c:pt idx="162">
                  <c:v>October 2022</c:v>
                </c:pt>
                <c:pt idx="163">
                  <c:v>November 2022</c:v>
                </c:pt>
                <c:pt idx="164">
                  <c:v>December 2022</c:v>
                </c:pt>
                <c:pt idx="165">
                  <c:v>January 2023</c:v>
                </c:pt>
                <c:pt idx="166">
                  <c:v>February 2023</c:v>
                </c:pt>
                <c:pt idx="167">
                  <c:v>March 2023</c:v>
                </c:pt>
                <c:pt idx="168">
                  <c:v>April 2023</c:v>
                </c:pt>
                <c:pt idx="169">
                  <c:v>May 2023</c:v>
                </c:pt>
              </c:strCache>
            </c:strRef>
          </c:cat>
          <c:val>
            <c:numRef>
              <c:f>'[178]Table 1'!$C$4:$C$173</c:f>
              <c:numCache>
                <c:formatCode>General</c:formatCode>
                <c:ptCount val="170"/>
                <c:pt idx="0">
                  <c:v>3.19</c:v>
                </c:pt>
                <c:pt idx="1">
                  <c:v>3.31</c:v>
                </c:pt>
                <c:pt idx="2">
                  <c:v>3.51</c:v>
                </c:pt>
                <c:pt idx="3">
                  <c:v>3.96</c:v>
                </c:pt>
                <c:pt idx="4">
                  <c:v>3.45</c:v>
                </c:pt>
                <c:pt idx="5">
                  <c:v>3.47</c:v>
                </c:pt>
                <c:pt idx="6">
                  <c:v>3.82</c:v>
                </c:pt>
                <c:pt idx="7">
                  <c:v>3.89</c:v>
                </c:pt>
                <c:pt idx="8">
                  <c:v>3.71</c:v>
                </c:pt>
                <c:pt idx="9">
                  <c:v>3.86</c:v>
                </c:pt>
                <c:pt idx="10">
                  <c:v>3.61</c:v>
                </c:pt>
                <c:pt idx="11">
                  <c:v>3.48</c:v>
                </c:pt>
                <c:pt idx="12">
                  <c:v>3.17</c:v>
                </c:pt>
                <c:pt idx="13">
                  <c:v>3.21</c:v>
                </c:pt>
                <c:pt idx="14">
                  <c:v>3.29</c:v>
                </c:pt>
                <c:pt idx="15">
                  <c:v>3.33</c:v>
                </c:pt>
                <c:pt idx="16">
                  <c:v>3.29</c:v>
                </c:pt>
                <c:pt idx="17">
                  <c:v>3.49</c:v>
                </c:pt>
                <c:pt idx="18">
                  <c:v>3.59</c:v>
                </c:pt>
                <c:pt idx="19">
                  <c:v>3.58</c:v>
                </c:pt>
                <c:pt idx="20">
                  <c:v>4.12</c:v>
                </c:pt>
                <c:pt idx="21">
                  <c:v>3.72</c:v>
                </c:pt>
                <c:pt idx="22">
                  <c:v>3.38</c:v>
                </c:pt>
                <c:pt idx="23">
                  <c:v>3.31</c:v>
                </c:pt>
                <c:pt idx="24">
                  <c:v>3.09</c:v>
                </c:pt>
                <c:pt idx="25">
                  <c:v>3.15</c:v>
                </c:pt>
                <c:pt idx="26">
                  <c:v>3.43</c:v>
                </c:pt>
                <c:pt idx="27">
                  <c:v>3.5</c:v>
                </c:pt>
                <c:pt idx="28">
                  <c:v>3.44</c:v>
                </c:pt>
                <c:pt idx="29">
                  <c:v>3.47</c:v>
                </c:pt>
                <c:pt idx="30">
                  <c:v>3.61</c:v>
                </c:pt>
                <c:pt idx="31">
                  <c:v>3.7</c:v>
                </c:pt>
                <c:pt idx="32">
                  <c:v>3.69</c:v>
                </c:pt>
                <c:pt idx="33">
                  <c:v>3.77</c:v>
                </c:pt>
                <c:pt idx="34">
                  <c:v>3.83</c:v>
                </c:pt>
                <c:pt idx="35">
                  <c:v>3.49</c:v>
                </c:pt>
                <c:pt idx="36">
                  <c:v>3.3</c:v>
                </c:pt>
                <c:pt idx="37">
                  <c:v>3.44</c:v>
                </c:pt>
                <c:pt idx="38">
                  <c:v>3.32</c:v>
                </c:pt>
                <c:pt idx="39">
                  <c:v>3.51</c:v>
                </c:pt>
                <c:pt idx="40">
                  <c:v>3.36</c:v>
                </c:pt>
                <c:pt idx="41">
                  <c:v>3.41</c:v>
                </c:pt>
                <c:pt idx="42">
                  <c:v>3.72</c:v>
                </c:pt>
                <c:pt idx="43">
                  <c:v>3.78</c:v>
                </c:pt>
                <c:pt idx="44">
                  <c:v>3.81</c:v>
                </c:pt>
                <c:pt idx="45">
                  <c:v>3.93</c:v>
                </c:pt>
                <c:pt idx="46">
                  <c:v>3.68</c:v>
                </c:pt>
                <c:pt idx="47">
                  <c:v>3.35</c:v>
                </c:pt>
                <c:pt idx="48">
                  <c:v>3.29</c:v>
                </c:pt>
                <c:pt idx="49">
                  <c:v>3.24</c:v>
                </c:pt>
                <c:pt idx="50">
                  <c:v>3.32</c:v>
                </c:pt>
                <c:pt idx="51">
                  <c:v>3.36</c:v>
                </c:pt>
                <c:pt idx="52">
                  <c:v>3.26</c:v>
                </c:pt>
                <c:pt idx="53">
                  <c:v>3.47</c:v>
                </c:pt>
                <c:pt idx="54">
                  <c:v>3.69</c:v>
                </c:pt>
                <c:pt idx="55">
                  <c:v>3.66</c:v>
                </c:pt>
                <c:pt idx="56">
                  <c:v>3.63</c:v>
                </c:pt>
                <c:pt idx="57">
                  <c:v>3.66</c:v>
                </c:pt>
                <c:pt idx="58">
                  <c:v>3.63</c:v>
                </c:pt>
                <c:pt idx="59">
                  <c:v>3.37</c:v>
                </c:pt>
                <c:pt idx="60">
                  <c:v>3.29</c:v>
                </c:pt>
                <c:pt idx="61">
                  <c:v>3.25</c:v>
                </c:pt>
                <c:pt idx="62">
                  <c:v>3.33</c:v>
                </c:pt>
                <c:pt idx="63">
                  <c:v>3.43</c:v>
                </c:pt>
                <c:pt idx="64">
                  <c:v>3.38</c:v>
                </c:pt>
                <c:pt idx="65">
                  <c:v>3.52</c:v>
                </c:pt>
                <c:pt idx="66">
                  <c:v>3.71</c:v>
                </c:pt>
                <c:pt idx="67">
                  <c:v>3.7</c:v>
                </c:pt>
                <c:pt idx="68">
                  <c:v>3.95</c:v>
                </c:pt>
                <c:pt idx="69">
                  <c:v>3.79</c:v>
                </c:pt>
                <c:pt idx="70">
                  <c:v>3.64</c:v>
                </c:pt>
                <c:pt idx="71">
                  <c:v>3.48</c:v>
                </c:pt>
                <c:pt idx="72">
                  <c:v>3.3</c:v>
                </c:pt>
                <c:pt idx="73">
                  <c:v>3.19</c:v>
                </c:pt>
                <c:pt idx="74">
                  <c:v>3.31</c:v>
                </c:pt>
                <c:pt idx="75">
                  <c:v>3.37</c:v>
                </c:pt>
                <c:pt idx="76">
                  <c:v>3.29</c:v>
                </c:pt>
                <c:pt idx="77">
                  <c:v>3.43</c:v>
                </c:pt>
                <c:pt idx="78">
                  <c:v>3.52</c:v>
                </c:pt>
                <c:pt idx="79">
                  <c:v>3.5</c:v>
                </c:pt>
                <c:pt idx="80">
                  <c:v>3.53</c:v>
                </c:pt>
                <c:pt idx="81">
                  <c:v>3.61</c:v>
                </c:pt>
                <c:pt idx="82">
                  <c:v>3.61</c:v>
                </c:pt>
                <c:pt idx="83">
                  <c:v>3.39</c:v>
                </c:pt>
                <c:pt idx="84">
                  <c:v>3.26</c:v>
                </c:pt>
                <c:pt idx="85">
                  <c:v>3.11</c:v>
                </c:pt>
                <c:pt idx="86">
                  <c:v>3.26</c:v>
                </c:pt>
                <c:pt idx="87">
                  <c:v>3.26</c:v>
                </c:pt>
                <c:pt idx="88">
                  <c:v>3.18</c:v>
                </c:pt>
                <c:pt idx="89">
                  <c:v>3.22</c:v>
                </c:pt>
                <c:pt idx="90">
                  <c:v>3.51</c:v>
                </c:pt>
                <c:pt idx="91">
                  <c:v>3.66</c:v>
                </c:pt>
                <c:pt idx="92">
                  <c:v>3.64</c:v>
                </c:pt>
                <c:pt idx="93">
                  <c:v>3.83</c:v>
                </c:pt>
                <c:pt idx="94">
                  <c:v>3.54</c:v>
                </c:pt>
                <c:pt idx="95">
                  <c:v>3.15</c:v>
                </c:pt>
                <c:pt idx="96">
                  <c:v>2.96</c:v>
                </c:pt>
                <c:pt idx="97">
                  <c:v>3.13</c:v>
                </c:pt>
                <c:pt idx="98">
                  <c:v>3.13</c:v>
                </c:pt>
                <c:pt idx="99">
                  <c:v>3.29</c:v>
                </c:pt>
                <c:pt idx="100">
                  <c:v>3.33</c:v>
                </c:pt>
                <c:pt idx="101">
                  <c:v>3.38</c:v>
                </c:pt>
                <c:pt idx="102">
                  <c:v>3.54</c:v>
                </c:pt>
                <c:pt idx="103">
                  <c:v>3.66</c:v>
                </c:pt>
                <c:pt idx="104">
                  <c:v>3.73</c:v>
                </c:pt>
                <c:pt idx="105">
                  <c:v>4.03</c:v>
                </c:pt>
                <c:pt idx="106">
                  <c:v>3.73</c:v>
                </c:pt>
                <c:pt idx="107">
                  <c:v>3.36</c:v>
                </c:pt>
                <c:pt idx="108">
                  <c:v>3.23</c:v>
                </c:pt>
                <c:pt idx="109">
                  <c:v>3.19</c:v>
                </c:pt>
                <c:pt idx="110">
                  <c:v>3.33</c:v>
                </c:pt>
                <c:pt idx="111">
                  <c:v>3.48</c:v>
                </c:pt>
                <c:pt idx="112">
                  <c:v>3.44</c:v>
                </c:pt>
                <c:pt idx="113">
                  <c:v>3.5</c:v>
                </c:pt>
                <c:pt idx="114">
                  <c:v>3.67</c:v>
                </c:pt>
                <c:pt idx="115">
                  <c:v>3.8</c:v>
                </c:pt>
                <c:pt idx="116">
                  <c:v>3.73</c:v>
                </c:pt>
                <c:pt idx="117">
                  <c:v>3.9</c:v>
                </c:pt>
                <c:pt idx="118">
                  <c:v>3.73</c:v>
                </c:pt>
                <c:pt idx="119">
                  <c:v>3.4</c:v>
                </c:pt>
                <c:pt idx="120">
                  <c:v>3.35</c:v>
                </c:pt>
                <c:pt idx="121">
                  <c:v>3.31</c:v>
                </c:pt>
                <c:pt idx="122">
                  <c:v>3.47</c:v>
                </c:pt>
                <c:pt idx="123">
                  <c:v>3.56</c:v>
                </c:pt>
                <c:pt idx="124">
                  <c:v>3.52</c:v>
                </c:pt>
                <c:pt idx="125">
                  <c:v>3.61</c:v>
                </c:pt>
                <c:pt idx="126">
                  <c:v>3.91</c:v>
                </c:pt>
                <c:pt idx="127">
                  <c:v>4</c:v>
                </c:pt>
                <c:pt idx="128">
                  <c:v>4.0199999999999996</c:v>
                </c:pt>
                <c:pt idx="129">
                  <c:v>4.8099999999999996</c:v>
                </c:pt>
                <c:pt idx="130">
                  <c:v>4.51</c:v>
                </c:pt>
                <c:pt idx="131">
                  <c:v>5.36</c:v>
                </c:pt>
                <c:pt idx="132">
                  <c:v>6.2</c:v>
                </c:pt>
                <c:pt idx="133">
                  <c:v>4.72</c:v>
                </c:pt>
                <c:pt idx="134">
                  <c:v>4.04</c:v>
                </c:pt>
                <c:pt idx="135">
                  <c:v>3.88</c:v>
                </c:pt>
                <c:pt idx="136">
                  <c:v>3.9</c:v>
                </c:pt>
                <c:pt idx="137">
                  <c:v>4.1900000000000004</c:v>
                </c:pt>
                <c:pt idx="138">
                  <c:v>4.5199999999999996</c:v>
                </c:pt>
                <c:pt idx="139">
                  <c:v>4.92</c:v>
                </c:pt>
                <c:pt idx="140">
                  <c:v>5.09</c:v>
                </c:pt>
                <c:pt idx="141">
                  <c:v>5.75</c:v>
                </c:pt>
                <c:pt idx="142">
                  <c:v>4.6500000000000004</c:v>
                </c:pt>
                <c:pt idx="143">
                  <c:v>3.99</c:v>
                </c:pt>
                <c:pt idx="144">
                  <c:v>4.0599999999999996</c:v>
                </c:pt>
                <c:pt idx="145">
                  <c:v>4.34</c:v>
                </c:pt>
                <c:pt idx="146">
                  <c:v>4.63</c:v>
                </c:pt>
                <c:pt idx="147">
                  <c:v>5.07</c:v>
                </c:pt>
                <c:pt idx="148">
                  <c:v>5.14</c:v>
                </c:pt>
                <c:pt idx="149">
                  <c:v>5.38</c:v>
                </c:pt>
                <c:pt idx="150">
                  <c:v>5.66</c:v>
                </c:pt>
                <c:pt idx="151">
                  <c:v>5.59</c:v>
                </c:pt>
                <c:pt idx="152">
                  <c:v>6.17</c:v>
                </c:pt>
                <c:pt idx="153">
                  <c:v>6.69</c:v>
                </c:pt>
                <c:pt idx="154">
                  <c:v>5.61</c:v>
                </c:pt>
                <c:pt idx="155">
                  <c:v>6.02</c:v>
                </c:pt>
                <c:pt idx="156">
                  <c:v>5.77</c:v>
                </c:pt>
                <c:pt idx="157">
                  <c:v>4.9000000000000004</c:v>
                </c:pt>
                <c:pt idx="158">
                  <c:v>5.22</c:v>
                </c:pt>
                <c:pt idx="159">
                  <c:v>6.05</c:v>
                </c:pt>
                <c:pt idx="160">
                  <c:v>5.01</c:v>
                </c:pt>
                <c:pt idx="161">
                  <c:v>5.01</c:v>
                </c:pt>
                <c:pt idx="162">
                  <c:v>5.6</c:v>
                </c:pt>
                <c:pt idx="163">
                  <c:v>5.44</c:v>
                </c:pt>
                <c:pt idx="164">
                  <c:v>6.28</c:v>
                </c:pt>
                <c:pt idx="165">
                  <c:v>5.32</c:v>
                </c:pt>
                <c:pt idx="166">
                  <c:v>5</c:v>
                </c:pt>
                <c:pt idx="167">
                  <c:v>4.9400000000000004</c:v>
                </c:pt>
                <c:pt idx="168">
                  <c:v>4.51</c:v>
                </c:pt>
                <c:pt idx="169">
                  <c:v>4.46</c:v>
                </c:pt>
              </c:numCache>
            </c:numRef>
          </c:val>
          <c:smooth val="0"/>
          <c:extLst>
            <c:ext xmlns:c16="http://schemas.microsoft.com/office/drawing/2014/chart" uri="{C3380CC4-5D6E-409C-BE32-E72D297353CC}">
              <c16:uniqueId val="{00000002-2332-499F-9554-A4A862EAD927}"/>
            </c:ext>
          </c:extLst>
        </c:ser>
        <c:dLbls>
          <c:showLegendKey val="0"/>
          <c:showVal val="0"/>
          <c:showCatName val="0"/>
          <c:showSerName val="0"/>
          <c:showPercent val="0"/>
          <c:showBubbleSize val="0"/>
        </c:dLbls>
        <c:smooth val="0"/>
        <c:axId val="946924072"/>
        <c:axId val="946924432"/>
      </c:lineChart>
      <c:catAx>
        <c:axId val="946924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924432"/>
        <c:crosses val="autoZero"/>
        <c:auto val="1"/>
        <c:lblAlgn val="ctr"/>
        <c:lblOffset val="100"/>
        <c:noMultiLvlLbl val="0"/>
      </c:catAx>
      <c:valAx>
        <c:axId val="94692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924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'Prod estimates'!$N$4</c:f>
              <c:strCache>
                <c:ptCount val="1"/>
                <c:pt idx="0">
                  <c:v>Prod (pre pandemic)</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cat>
            <c:strRef>
              <c:f>'Prod estimates'!$M$7:$M$14</c:f>
              <c:strCache>
                <c:ptCount val="8"/>
                <c:pt idx="0">
                  <c:v>2016/17</c:v>
                </c:pt>
                <c:pt idx="1">
                  <c:v>2017/18</c:v>
                </c:pt>
                <c:pt idx="2">
                  <c:v>2018/19</c:v>
                </c:pt>
                <c:pt idx="3">
                  <c:v>2019/20</c:v>
                </c:pt>
                <c:pt idx="4">
                  <c:v>2020/21</c:v>
                </c:pt>
                <c:pt idx="5">
                  <c:v> 2021/22</c:v>
                </c:pt>
                <c:pt idx="6">
                  <c:v> 2022/23</c:v>
                </c:pt>
                <c:pt idx="7">
                  <c:v>2023/24 (Q1)</c:v>
                </c:pt>
              </c:strCache>
            </c:strRef>
          </c:cat>
          <c:val>
            <c:numRef>
              <c:f>'Prod estimates'!$N$7:$N$14</c:f>
              <c:numCache>
                <c:formatCode>General</c:formatCode>
                <c:ptCount val="8"/>
                <c:pt idx="0">
                  <c:v>100.4355400696864</c:v>
                </c:pt>
                <c:pt idx="1">
                  <c:v>100.9581881533101</c:v>
                </c:pt>
                <c:pt idx="2">
                  <c:v>100</c:v>
                </c:pt>
              </c:numCache>
            </c:numRef>
          </c:val>
          <c:smooth val="0"/>
          <c:extLst>
            <c:ext xmlns:c16="http://schemas.microsoft.com/office/drawing/2014/chart" uri="{C3380CC4-5D6E-409C-BE32-E72D297353CC}">
              <c16:uniqueId val="{00000000-4A0A-4766-B76D-FA94109DE74D}"/>
            </c:ext>
          </c:extLst>
        </c:ser>
        <c:ser>
          <c:idx val="1"/>
          <c:order val="1"/>
          <c:tx>
            <c:strRef>
              <c:f>'Prod estimates'!$O$4</c:f>
              <c:strCache>
                <c:ptCount val="1"/>
                <c:pt idx="0">
                  <c:v>Prod</c:v>
                </c:pt>
              </c:strCache>
            </c:strRef>
          </c:tx>
          <c:spPr>
            <a:ln w="28575" cap="rnd">
              <a:solidFill>
                <a:schemeClr val="accent2"/>
              </a:solidFill>
              <a:round/>
            </a:ln>
            <a:effectLst/>
          </c:spPr>
          <c:marker>
            <c:symbol val="none"/>
          </c:marker>
          <c:cat>
            <c:strRef>
              <c:f>'Prod estimates'!$M$7:$M$14</c:f>
              <c:strCache>
                <c:ptCount val="8"/>
                <c:pt idx="0">
                  <c:v>2016/17</c:v>
                </c:pt>
                <c:pt idx="1">
                  <c:v>2017/18</c:v>
                </c:pt>
                <c:pt idx="2">
                  <c:v>2018/19</c:v>
                </c:pt>
                <c:pt idx="3">
                  <c:v>2019/20</c:v>
                </c:pt>
                <c:pt idx="4">
                  <c:v>2020/21</c:v>
                </c:pt>
                <c:pt idx="5">
                  <c:v> 2021/22</c:v>
                </c:pt>
                <c:pt idx="6">
                  <c:v> 2022/23</c:v>
                </c:pt>
                <c:pt idx="7">
                  <c:v>2023/24 (Q1)</c:v>
                </c:pt>
              </c:strCache>
            </c:strRef>
          </c:cat>
          <c:val>
            <c:numRef>
              <c:f>'Prod estimates'!$O$7:$O$14</c:f>
              <c:numCache>
                <c:formatCode>General</c:formatCode>
                <c:ptCount val="8"/>
                <c:pt idx="3">
                  <c:v>98.170731707317088</c:v>
                </c:pt>
                <c:pt idx="4">
                  <c:v>72.822299651567945</c:v>
                </c:pt>
              </c:numCache>
            </c:numRef>
          </c:val>
          <c:smooth val="0"/>
          <c:extLst>
            <c:ext xmlns:c16="http://schemas.microsoft.com/office/drawing/2014/chart" uri="{C3380CC4-5D6E-409C-BE32-E72D297353CC}">
              <c16:uniqueId val="{00000001-4A0A-4766-B76D-FA94109DE74D}"/>
            </c:ext>
          </c:extLst>
        </c:ser>
        <c:ser>
          <c:idx val="2"/>
          <c:order val="2"/>
          <c:tx>
            <c:strRef>
              <c:f>'Prod estimates'!$P$4</c:f>
              <c:strCache>
                <c:ptCount val="1"/>
                <c:pt idx="0">
                  <c:v>Prod estimate (excl COVID)</c:v>
                </c:pt>
              </c:strCache>
            </c:strRef>
          </c:tx>
          <c:spPr>
            <a:ln w="28575" cap="rnd">
              <a:solidFill>
                <a:schemeClr val="accent3"/>
              </a:solidFill>
              <a:round/>
            </a:ln>
            <a:effectLst/>
          </c:spPr>
          <c:marker>
            <c:symbol val="none"/>
          </c:marker>
          <c:cat>
            <c:strRef>
              <c:f>'Prod estimates'!$M$7:$M$14</c:f>
              <c:strCache>
                <c:ptCount val="8"/>
                <c:pt idx="0">
                  <c:v>2016/17</c:v>
                </c:pt>
                <c:pt idx="1">
                  <c:v>2017/18</c:v>
                </c:pt>
                <c:pt idx="2">
                  <c:v>2018/19</c:v>
                </c:pt>
                <c:pt idx="3">
                  <c:v>2019/20</c:v>
                </c:pt>
                <c:pt idx="4">
                  <c:v>2020/21</c:v>
                </c:pt>
                <c:pt idx="5">
                  <c:v> 2021/22</c:v>
                </c:pt>
                <c:pt idx="6">
                  <c:v> 2022/23</c:v>
                </c:pt>
                <c:pt idx="7">
                  <c:v>2023/24 (Q1)</c:v>
                </c:pt>
              </c:strCache>
            </c:strRef>
          </c:cat>
          <c:val>
            <c:numRef>
              <c:f>'Prod estimates'!$P$7:$P$14</c:f>
              <c:numCache>
                <c:formatCode>General</c:formatCode>
                <c:ptCount val="8"/>
                <c:pt idx="2">
                  <c:v>100</c:v>
                </c:pt>
                <c:pt idx="3">
                  <c:v>0</c:v>
                </c:pt>
                <c:pt idx="4">
                  <c:v>0</c:v>
                </c:pt>
                <c:pt idx="5">
                  <c:v>0</c:v>
                </c:pt>
                <c:pt idx="6">
                  <c:v>0</c:v>
                </c:pt>
                <c:pt idx="7">
                  <c:v>0</c:v>
                </c:pt>
              </c:numCache>
            </c:numRef>
          </c:val>
          <c:smooth val="0"/>
          <c:extLst>
            <c:ext xmlns:c16="http://schemas.microsoft.com/office/drawing/2014/chart" uri="{C3380CC4-5D6E-409C-BE32-E72D297353CC}">
              <c16:uniqueId val="{00000003-4A0A-4766-B76D-FA94109DE74D}"/>
            </c:ext>
          </c:extLst>
        </c:ser>
        <c:dLbls>
          <c:showLegendKey val="0"/>
          <c:showVal val="0"/>
          <c:showCatName val="0"/>
          <c:showSerName val="0"/>
          <c:showPercent val="0"/>
          <c:showBubbleSize val="0"/>
        </c:dLbls>
        <c:smooth val="0"/>
        <c:axId val="812403920"/>
        <c:axId val="812405360"/>
      </c:lineChart>
      <c:catAx>
        <c:axId val="81240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05360"/>
        <c:crosses val="autoZero"/>
        <c:auto val="1"/>
        <c:lblAlgn val="ctr"/>
        <c:lblOffset val="100"/>
        <c:noMultiLvlLbl val="0"/>
      </c:catAx>
      <c:valAx>
        <c:axId val="812405360"/>
        <c:scaling>
          <c:orientation val="minMax"/>
          <c:min val="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03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ustomXml" Target="../ink/ink4.xml"/><Relationship Id="rId18" Type="http://schemas.openxmlformats.org/officeDocument/2006/relationships/image" Target="../media/image11.png"/><Relationship Id="rId26" Type="http://schemas.openxmlformats.org/officeDocument/2006/relationships/image" Target="../media/image16.png"/><Relationship Id="rId39" Type="http://schemas.openxmlformats.org/officeDocument/2006/relationships/customXml" Target="../ink/ink15.xml"/><Relationship Id="rId3" Type="http://schemas.openxmlformats.org/officeDocument/2006/relationships/image" Target="../media/image3.png"/><Relationship Id="rId21" Type="http://schemas.openxmlformats.org/officeDocument/2006/relationships/customXml" Target="../ink/ink7.xml"/><Relationship Id="rId34" Type="http://schemas.openxmlformats.org/officeDocument/2006/relationships/image" Target="../media/image21.png"/><Relationship Id="rId42" Type="http://schemas.openxmlformats.org/officeDocument/2006/relationships/image" Target="../media/image26.png"/><Relationship Id="rId7" Type="http://schemas.openxmlformats.org/officeDocument/2006/relationships/image" Target="../media/image5.png"/><Relationship Id="rId12" Type="http://schemas.openxmlformats.org/officeDocument/2006/relationships/image" Target="../media/image8.png"/><Relationship Id="rId17" Type="http://schemas.openxmlformats.org/officeDocument/2006/relationships/customXml" Target="../ink/ink6.xml"/><Relationship Id="rId25" Type="http://schemas.openxmlformats.org/officeDocument/2006/relationships/customXml" Target="../ink/ink9.xml"/><Relationship Id="rId33" Type="http://schemas.openxmlformats.org/officeDocument/2006/relationships/customXml" Target="../ink/ink12.xml"/><Relationship Id="rId38" Type="http://schemas.openxmlformats.org/officeDocument/2006/relationships/image" Target="../media/image23.png"/><Relationship Id="rId2" Type="http://schemas.openxmlformats.org/officeDocument/2006/relationships/image" Target="../media/image2.png"/><Relationship Id="rId16" Type="http://schemas.openxmlformats.org/officeDocument/2006/relationships/image" Target="../media/image10.png"/><Relationship Id="rId20" Type="http://schemas.openxmlformats.org/officeDocument/2006/relationships/image" Target="../media/image13.png"/><Relationship Id="rId29" Type="http://schemas.openxmlformats.org/officeDocument/2006/relationships/customXml" Target="../ink/ink10.xml"/><Relationship Id="rId41" Type="http://schemas.openxmlformats.org/officeDocument/2006/relationships/image" Target="../media/image25.png"/><Relationship Id="rId1" Type="http://schemas.openxmlformats.org/officeDocument/2006/relationships/chart" Target="../charts/chart9.xml"/><Relationship Id="rId6" Type="http://schemas.openxmlformats.org/officeDocument/2006/relationships/image" Target="../media/image4.png"/><Relationship Id="rId11" Type="http://schemas.openxmlformats.org/officeDocument/2006/relationships/customXml" Target="../ink/ink3.xml"/><Relationship Id="rId24" Type="http://schemas.openxmlformats.org/officeDocument/2006/relationships/image" Target="../media/image15.png"/><Relationship Id="rId32" Type="http://schemas.openxmlformats.org/officeDocument/2006/relationships/image" Target="../media/image20.png"/><Relationship Id="rId37" Type="http://schemas.openxmlformats.org/officeDocument/2006/relationships/customXml" Target="../ink/ink14.xml"/><Relationship Id="rId40" Type="http://schemas.openxmlformats.org/officeDocument/2006/relationships/image" Target="../media/image24.png"/><Relationship Id="rId5" Type="http://schemas.openxmlformats.org/officeDocument/2006/relationships/image" Target="../media/image30.png"/><Relationship Id="rId15" Type="http://schemas.openxmlformats.org/officeDocument/2006/relationships/customXml" Target="../ink/ink5.xml"/><Relationship Id="rId23" Type="http://schemas.openxmlformats.org/officeDocument/2006/relationships/customXml" Target="../ink/ink8.xml"/><Relationship Id="rId28" Type="http://schemas.openxmlformats.org/officeDocument/2006/relationships/image" Target="../media/image18.png"/><Relationship Id="rId36" Type="http://schemas.openxmlformats.org/officeDocument/2006/relationships/image" Target="../media/image22.png"/><Relationship Id="rId10" Type="http://schemas.openxmlformats.org/officeDocument/2006/relationships/image" Target="../media/image7.png"/><Relationship Id="rId19" Type="http://schemas.openxmlformats.org/officeDocument/2006/relationships/image" Target="../media/image12.png"/><Relationship Id="rId31" Type="http://schemas.openxmlformats.org/officeDocument/2006/relationships/customXml" Target="../ink/ink11.xml"/><Relationship Id="rId4" Type="http://schemas.openxmlformats.org/officeDocument/2006/relationships/customXml" Target="../ink/ink1.xml"/><Relationship Id="rId9" Type="http://schemas.openxmlformats.org/officeDocument/2006/relationships/customXml" Target="../ink/ink2.xml"/><Relationship Id="rId14" Type="http://schemas.openxmlformats.org/officeDocument/2006/relationships/image" Target="../media/image9.png"/><Relationship Id="rId22" Type="http://schemas.openxmlformats.org/officeDocument/2006/relationships/image" Target="../media/image14.png"/><Relationship Id="rId27" Type="http://schemas.openxmlformats.org/officeDocument/2006/relationships/image" Target="../media/image17.png"/><Relationship Id="rId30" Type="http://schemas.openxmlformats.org/officeDocument/2006/relationships/image" Target="../media/image19.png"/><Relationship Id="rId35" Type="http://schemas.openxmlformats.org/officeDocument/2006/relationships/customXml" Target="../ink/ink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23</xdr:col>
      <xdr:colOff>0</xdr:colOff>
      <xdr:row>8</xdr:row>
      <xdr:rowOff>0</xdr:rowOff>
    </xdr:from>
    <xdr:to>
      <xdr:col>37</xdr:col>
      <xdr:colOff>9939</xdr:colOff>
      <xdr:row>29</xdr:row>
      <xdr:rowOff>161925</xdr:rowOff>
    </xdr:to>
    <xdr:pic>
      <xdr:nvPicPr>
        <xdr:cNvPr id="2" name="Picture 1">
          <a:extLst>
            <a:ext uri="{FF2B5EF4-FFF2-40B4-BE49-F238E27FC236}">
              <a16:creationId xmlns:a16="http://schemas.microsoft.com/office/drawing/2014/main" id="{AF32C71A-21CB-4BAB-8639-17F466138633}"/>
            </a:ext>
          </a:extLst>
        </xdr:cNvPr>
        <xdr:cNvPicPr>
          <a:picLocks noChangeAspect="1"/>
        </xdr:cNvPicPr>
      </xdr:nvPicPr>
      <xdr:blipFill>
        <a:blip xmlns:r="http://schemas.openxmlformats.org/officeDocument/2006/relationships" r:embed="rId1"/>
        <a:stretch>
          <a:fillRect/>
        </a:stretch>
      </xdr:blipFill>
      <xdr:spPr>
        <a:xfrm>
          <a:off x="14020800" y="1524000"/>
          <a:ext cx="8544339" cy="4162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115586</xdr:colOff>
      <xdr:row>14</xdr:row>
      <xdr:rowOff>32921</xdr:rowOff>
    </xdr:from>
    <xdr:to>
      <xdr:col>8</xdr:col>
      <xdr:colOff>592275</xdr:colOff>
      <xdr:row>32</xdr:row>
      <xdr:rowOff>2196</xdr:rowOff>
    </xdr:to>
    <xdr:graphicFrame macro="">
      <xdr:nvGraphicFramePr>
        <xdr:cNvPr id="27" name="Chart 1">
          <a:extLst>
            <a:ext uri="{FF2B5EF4-FFF2-40B4-BE49-F238E27FC236}">
              <a16:creationId xmlns:a16="http://schemas.microsoft.com/office/drawing/2014/main" id="{382927BD-CF68-DFD7-61C9-8E5050D97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656890</xdr:colOff>
      <xdr:row>30</xdr:row>
      <xdr:rowOff>117977</xdr:rowOff>
    </xdr:from>
    <xdr:to>
      <xdr:col>24</xdr:col>
      <xdr:colOff>761665</xdr:colOff>
      <xdr:row>46</xdr:row>
      <xdr:rowOff>11531</xdr:rowOff>
    </xdr:to>
    <xdr:graphicFrame macro="">
      <xdr:nvGraphicFramePr>
        <xdr:cNvPr id="5" name="Chart 2">
          <a:extLst>
            <a:ext uri="{FF2B5EF4-FFF2-40B4-BE49-F238E27FC236}">
              <a16:creationId xmlns:a16="http://schemas.microsoft.com/office/drawing/2014/main" id="{977E1A25-BC14-474B-BCBE-CAECD35CF4D1}"/>
            </a:ext>
            <a:ext uri="{147F2762-F138-4A5C-976F-8EAC2B608ADB}">
              <a16:predDERef xmlns:a16="http://schemas.microsoft.com/office/drawing/2014/main" pred="{FEAABA5F-19F9-4F1A-8F60-2DD95D815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55</xdr:col>
      <xdr:colOff>1535270</xdr:colOff>
      <xdr:row>3</xdr:row>
      <xdr:rowOff>55391</xdr:rowOff>
    </xdr:from>
    <xdr:to>
      <xdr:col>59</xdr:col>
      <xdr:colOff>720143</xdr:colOff>
      <xdr:row>22</xdr:row>
      <xdr:rowOff>209145</xdr:rowOff>
    </xdr:to>
    <xdr:graphicFrame macro="">
      <xdr:nvGraphicFramePr>
        <xdr:cNvPr id="6" name="Chart 5">
          <a:extLst>
            <a:ext uri="{FF2B5EF4-FFF2-40B4-BE49-F238E27FC236}">
              <a16:creationId xmlns:a16="http://schemas.microsoft.com/office/drawing/2014/main" id="{7516EA1C-AF34-4315-AE88-49E27F777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1761581</xdr:colOff>
      <xdr:row>33</xdr:row>
      <xdr:rowOff>20139</xdr:rowOff>
    </xdr:from>
    <xdr:to>
      <xdr:col>59</xdr:col>
      <xdr:colOff>770115</xdr:colOff>
      <xdr:row>52</xdr:row>
      <xdr:rowOff>214596</xdr:rowOff>
    </xdr:to>
    <xdr:graphicFrame macro="">
      <xdr:nvGraphicFramePr>
        <xdr:cNvPr id="2" name="Chart 1">
          <a:extLst>
            <a:ext uri="{FF2B5EF4-FFF2-40B4-BE49-F238E27FC236}">
              <a16:creationId xmlns:a16="http://schemas.microsoft.com/office/drawing/2014/main" id="{6A045CCB-789F-4D4B-BDE6-5B7C7D36A18F}"/>
            </a:ext>
            <a:ext uri="{147F2762-F138-4A5C-976F-8EAC2B608ADB}">
              <a16:predDERef xmlns:a16="http://schemas.microsoft.com/office/drawing/2014/main" pred="{7516EA1C-AF34-4315-AE88-49E27F777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796636</xdr:colOff>
      <xdr:row>53</xdr:row>
      <xdr:rowOff>7504</xdr:rowOff>
    </xdr:from>
    <xdr:to>
      <xdr:col>27</xdr:col>
      <xdr:colOff>160193</xdr:colOff>
      <xdr:row>64</xdr:row>
      <xdr:rowOff>68984</xdr:rowOff>
    </xdr:to>
    <xdr:graphicFrame macro="">
      <xdr:nvGraphicFramePr>
        <xdr:cNvPr id="3" name="Chart 2">
          <a:extLst>
            <a:ext uri="{FF2B5EF4-FFF2-40B4-BE49-F238E27FC236}">
              <a16:creationId xmlns:a16="http://schemas.microsoft.com/office/drawing/2014/main" id="{232B17A7-3C95-089D-344D-60D0E335FD2E}"/>
            </a:ext>
            <a:ext uri="{147F2762-F138-4A5C-976F-8EAC2B608ADB}">
              <a16:predDERef xmlns:a16="http://schemas.microsoft.com/office/drawing/2014/main" pred="{6A045CCB-789F-4D4B-BDE6-5B7C7D36A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782782</xdr:colOff>
      <xdr:row>40</xdr:row>
      <xdr:rowOff>115189</xdr:rowOff>
    </xdr:from>
    <xdr:to>
      <xdr:col>28</xdr:col>
      <xdr:colOff>760911</xdr:colOff>
      <xdr:row>57</xdr:row>
      <xdr:rowOff>111925</xdr:rowOff>
    </xdr:to>
    <xdr:graphicFrame macro="">
      <xdr:nvGraphicFramePr>
        <xdr:cNvPr id="5" name="Chart 4">
          <a:extLst>
            <a:ext uri="{FF2B5EF4-FFF2-40B4-BE49-F238E27FC236}">
              <a16:creationId xmlns:a16="http://schemas.microsoft.com/office/drawing/2014/main" id="{7CC18F18-2CCB-EF93-8C91-5605A8E7122D}"/>
            </a:ext>
            <a:ext uri="{147F2762-F138-4A5C-976F-8EAC2B608ADB}">
              <a16:predDERef xmlns:a16="http://schemas.microsoft.com/office/drawing/2014/main" pred="{232B17A7-3C95-089D-344D-60D0E335F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352985</xdr:colOff>
      <xdr:row>46</xdr:row>
      <xdr:rowOff>132885</xdr:rowOff>
    </xdr:from>
    <xdr:to>
      <xdr:col>23</xdr:col>
      <xdr:colOff>515167</xdr:colOff>
      <xdr:row>74</xdr:row>
      <xdr:rowOff>136072</xdr:rowOff>
    </xdr:to>
    <xdr:graphicFrame macro="">
      <xdr:nvGraphicFramePr>
        <xdr:cNvPr id="7" name="Chart 6">
          <a:extLst>
            <a:ext uri="{FF2B5EF4-FFF2-40B4-BE49-F238E27FC236}">
              <a16:creationId xmlns:a16="http://schemas.microsoft.com/office/drawing/2014/main" id="{3C97A69E-4CC1-476A-BB22-105A2FDE1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396511</xdr:colOff>
      <xdr:row>75</xdr:row>
      <xdr:rowOff>40822</xdr:rowOff>
    </xdr:from>
    <xdr:to>
      <xdr:col>23</xdr:col>
      <xdr:colOff>558693</xdr:colOff>
      <xdr:row>102</xdr:row>
      <xdr:rowOff>141435</xdr:rowOff>
    </xdr:to>
    <xdr:graphicFrame macro="">
      <xdr:nvGraphicFramePr>
        <xdr:cNvPr id="12" name="Chart 11">
          <a:extLst>
            <a:ext uri="{FF2B5EF4-FFF2-40B4-BE49-F238E27FC236}">
              <a16:creationId xmlns:a16="http://schemas.microsoft.com/office/drawing/2014/main" id="{35281F0B-1472-40EA-8E7D-8BA3D3AC677F}"/>
            </a:ext>
            <a:ext uri="{147F2762-F138-4A5C-976F-8EAC2B608ADB}">
              <a16:predDERef xmlns:a16="http://schemas.microsoft.com/office/drawing/2014/main" pred="{3C97A69E-4CC1-476A-BB22-105A2FDE1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286044</xdr:colOff>
      <xdr:row>144</xdr:row>
      <xdr:rowOff>149677</xdr:rowOff>
    </xdr:from>
    <xdr:to>
      <xdr:col>10</xdr:col>
      <xdr:colOff>386626</xdr:colOff>
      <xdr:row>159</xdr:row>
      <xdr:rowOff>51965</xdr:rowOff>
    </xdr:to>
    <xdr:graphicFrame macro="">
      <xdr:nvGraphicFramePr>
        <xdr:cNvPr id="2" name="Chart 1">
          <a:extLst>
            <a:ext uri="{FF2B5EF4-FFF2-40B4-BE49-F238E27FC236}">
              <a16:creationId xmlns:a16="http://schemas.microsoft.com/office/drawing/2014/main" id="{19587B8A-5E3A-4A8E-83EC-696A223ED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742800</xdr:colOff>
      <xdr:row>4</xdr:row>
      <xdr:rowOff>132426</xdr:rowOff>
    </xdr:from>
    <xdr:ext cx="5286356" cy="3251386"/>
    <xdr:pic>
      <xdr:nvPicPr>
        <xdr:cNvPr id="3" name="Picture 2">
          <a:extLst>
            <a:ext uri="{FF2B5EF4-FFF2-40B4-BE49-F238E27FC236}">
              <a16:creationId xmlns:a16="http://schemas.microsoft.com/office/drawing/2014/main" id="{C0ED528E-F8FA-4F64-8D7E-7324D9E99AC0}"/>
            </a:ext>
            <a:ext uri="{147F2762-F138-4A5C-976F-8EAC2B608ADB}">
              <a16:predDERef xmlns:a16="http://schemas.microsoft.com/office/drawing/2014/main" pred="{C4274F2C-229D-49BD-9360-BA9AEB26E342}"/>
            </a:ext>
          </a:extLst>
        </xdr:cNvPr>
        <xdr:cNvPicPr>
          <a:picLocks noChangeAspect="1"/>
        </xdr:cNvPicPr>
      </xdr:nvPicPr>
      <xdr:blipFill>
        <a:blip xmlns:r="http://schemas.openxmlformats.org/officeDocument/2006/relationships" r:embed="rId2"/>
        <a:stretch>
          <a:fillRect/>
        </a:stretch>
      </xdr:blipFill>
      <xdr:spPr>
        <a:xfrm>
          <a:off x="12610950" y="903951"/>
          <a:ext cx="5286356" cy="3251386"/>
        </a:xfrm>
        <a:prstGeom prst="rect">
          <a:avLst/>
        </a:prstGeom>
      </xdr:spPr>
    </xdr:pic>
    <xdr:clientData/>
  </xdr:oneCellAnchor>
  <xdr:oneCellAnchor>
    <xdr:from>
      <xdr:col>23</xdr:col>
      <xdr:colOff>599326</xdr:colOff>
      <xdr:row>5</xdr:row>
      <xdr:rowOff>19288</xdr:rowOff>
    </xdr:from>
    <xdr:ext cx="8209323" cy="2981106"/>
    <xdr:pic>
      <xdr:nvPicPr>
        <xdr:cNvPr id="4" name="Picture 3">
          <a:extLst>
            <a:ext uri="{FF2B5EF4-FFF2-40B4-BE49-F238E27FC236}">
              <a16:creationId xmlns:a16="http://schemas.microsoft.com/office/drawing/2014/main" id="{B3C8054D-81CA-4181-98CA-DAFB2AFC4A3E}"/>
            </a:ext>
          </a:extLst>
        </xdr:cNvPr>
        <xdr:cNvPicPr>
          <a:picLocks noChangeAspect="1"/>
        </xdr:cNvPicPr>
      </xdr:nvPicPr>
      <xdr:blipFill>
        <a:blip xmlns:r="http://schemas.openxmlformats.org/officeDocument/2006/relationships" r:embed="rId3"/>
        <a:stretch>
          <a:fillRect/>
        </a:stretch>
      </xdr:blipFill>
      <xdr:spPr>
        <a:xfrm>
          <a:off x="18992101" y="990838"/>
          <a:ext cx="8209323" cy="2981106"/>
        </a:xfrm>
        <a:prstGeom prst="rect">
          <a:avLst/>
        </a:prstGeom>
      </xdr:spPr>
    </xdr:pic>
    <xdr:clientData/>
  </xdr:oneCellAnchor>
  <xdr:oneCellAnchor>
    <xdr:from>
      <xdr:col>16</xdr:col>
      <xdr:colOff>272234</xdr:colOff>
      <xdr:row>20</xdr:row>
      <xdr:rowOff>192287</xdr:rowOff>
    </xdr:from>
    <xdr:ext cx="3535" cy="14535"/>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 name="Ink 4">
              <a:extLst>
                <a:ext uri="{FF2B5EF4-FFF2-40B4-BE49-F238E27FC236}">
                  <a16:creationId xmlns:a16="http://schemas.microsoft.com/office/drawing/2014/main" id="{400C53DE-5D8F-43B3-876E-F2FB9E30D8F0}"/>
                </a:ext>
              </a:extLst>
            </xdr14:cNvPr>
            <xdr14:cNvContentPartPr/>
          </xdr14:nvContentPartPr>
          <xdr14:nvPr macro=""/>
          <xdr14:xfrm>
            <a:off x="10162840" y="4069635"/>
            <a:ext cx="360" cy="360"/>
          </xdr14:xfrm>
        </xdr:contentPart>
      </mc:Choice>
      <mc:Fallback xmlns="">
        <xdr:pic>
          <xdr:nvPicPr>
            <xdr:cNvPr id="17" name="Ink 16">
              <a:extLst>
                <a:ext uri="{FF2B5EF4-FFF2-40B4-BE49-F238E27FC236}">
                  <a16:creationId xmlns:a16="http://schemas.microsoft.com/office/drawing/2014/main" id="{7744320C-1BD8-4F57-A2A4-EC431A539C98}"/>
                </a:ext>
              </a:extLst>
            </xdr:cNvPr>
            <xdr:cNvPicPr/>
          </xdr:nvPicPr>
          <xdr:blipFill>
            <a:blip xmlns:r="http://schemas.openxmlformats.org/officeDocument/2006/relationships" r:embed="rId5"/>
            <a:stretch>
              <a:fillRect/>
            </a:stretch>
          </xdr:blipFill>
          <xdr:spPr>
            <a:xfrm>
              <a:off x="10109200" y="3961995"/>
              <a:ext cx="108000" cy="216000"/>
            </a:xfrm>
            <a:prstGeom prst="rect">
              <a:avLst/>
            </a:prstGeom>
          </xdr:spPr>
        </xdr:pic>
      </mc:Fallback>
    </mc:AlternateContent>
    <xdr:clientData/>
  </xdr:oneCellAnchor>
  <xdr:oneCellAnchor>
    <xdr:from>
      <xdr:col>23</xdr:col>
      <xdr:colOff>394139</xdr:colOff>
      <xdr:row>34</xdr:row>
      <xdr:rowOff>19597</xdr:rowOff>
    </xdr:from>
    <xdr:ext cx="6051586" cy="1443656"/>
    <xdr:pic>
      <xdr:nvPicPr>
        <xdr:cNvPr id="6" name="Picture 5">
          <a:extLst>
            <a:ext uri="{FF2B5EF4-FFF2-40B4-BE49-F238E27FC236}">
              <a16:creationId xmlns:a16="http://schemas.microsoft.com/office/drawing/2014/main" id="{0F9E3513-821C-4610-A522-C183AFC0F74A}"/>
            </a:ext>
          </a:extLst>
        </xdr:cNvPr>
        <xdr:cNvPicPr>
          <a:picLocks noChangeAspect="1"/>
        </xdr:cNvPicPr>
      </xdr:nvPicPr>
      <xdr:blipFill>
        <a:blip xmlns:r="http://schemas.openxmlformats.org/officeDocument/2006/relationships" r:embed="rId6"/>
        <a:stretch>
          <a:fillRect/>
        </a:stretch>
      </xdr:blipFill>
      <xdr:spPr>
        <a:xfrm>
          <a:off x="18786914" y="6591847"/>
          <a:ext cx="6051586" cy="1443656"/>
        </a:xfrm>
        <a:prstGeom prst="rect">
          <a:avLst/>
        </a:prstGeom>
      </xdr:spPr>
    </xdr:pic>
    <xdr:clientData/>
  </xdr:oneCellAnchor>
  <xdr:oneCellAnchor>
    <xdr:from>
      <xdr:col>23</xdr:col>
      <xdr:colOff>315201</xdr:colOff>
      <xdr:row>45</xdr:row>
      <xdr:rowOff>161049</xdr:rowOff>
    </xdr:from>
    <xdr:ext cx="6375157" cy="1218319"/>
    <xdr:pic>
      <xdr:nvPicPr>
        <xdr:cNvPr id="7" name="Picture 6">
          <a:extLst>
            <a:ext uri="{FF2B5EF4-FFF2-40B4-BE49-F238E27FC236}">
              <a16:creationId xmlns:a16="http://schemas.microsoft.com/office/drawing/2014/main" id="{F2E63B2C-5833-4A60-B03E-4F31BF12A9BD}"/>
            </a:ext>
          </a:extLst>
        </xdr:cNvPr>
        <xdr:cNvPicPr>
          <a:picLocks noChangeAspect="1"/>
        </xdr:cNvPicPr>
      </xdr:nvPicPr>
      <xdr:blipFill>
        <a:blip xmlns:r="http://schemas.openxmlformats.org/officeDocument/2006/relationships" r:embed="rId7"/>
        <a:stretch>
          <a:fillRect/>
        </a:stretch>
      </xdr:blipFill>
      <xdr:spPr>
        <a:xfrm>
          <a:off x="18707976" y="8885949"/>
          <a:ext cx="6375157" cy="1218319"/>
        </a:xfrm>
        <a:prstGeom prst="rect">
          <a:avLst/>
        </a:prstGeom>
      </xdr:spPr>
    </xdr:pic>
    <xdr:clientData/>
  </xdr:oneCellAnchor>
  <xdr:oneCellAnchor>
    <xdr:from>
      <xdr:col>23</xdr:col>
      <xdr:colOff>509096</xdr:colOff>
      <xdr:row>57</xdr:row>
      <xdr:rowOff>16422</xdr:rowOff>
    </xdr:from>
    <xdr:ext cx="5880157" cy="1259660"/>
    <xdr:pic>
      <xdr:nvPicPr>
        <xdr:cNvPr id="8" name="Picture 7">
          <a:extLst>
            <a:ext uri="{FF2B5EF4-FFF2-40B4-BE49-F238E27FC236}">
              <a16:creationId xmlns:a16="http://schemas.microsoft.com/office/drawing/2014/main" id="{B82EF30B-AF0A-48AB-B72F-4BEFA6B65028}"/>
            </a:ext>
          </a:extLst>
        </xdr:cNvPr>
        <xdr:cNvPicPr>
          <a:picLocks noChangeAspect="1"/>
        </xdr:cNvPicPr>
      </xdr:nvPicPr>
      <xdr:blipFill>
        <a:blip xmlns:r="http://schemas.openxmlformats.org/officeDocument/2006/relationships" r:embed="rId8"/>
        <a:stretch>
          <a:fillRect/>
        </a:stretch>
      </xdr:blipFill>
      <xdr:spPr>
        <a:xfrm>
          <a:off x="18901871" y="11055897"/>
          <a:ext cx="5880157" cy="1259660"/>
        </a:xfrm>
        <a:prstGeom prst="rect">
          <a:avLst/>
        </a:prstGeom>
      </xdr:spPr>
    </xdr:pic>
    <xdr:clientData/>
  </xdr:oneCellAnchor>
  <xdr:oneCellAnchor>
    <xdr:from>
      <xdr:col>28</xdr:col>
      <xdr:colOff>250648</xdr:colOff>
      <xdr:row>41</xdr:row>
      <xdr:rowOff>84933</xdr:rowOff>
    </xdr:from>
    <xdr:ext cx="235145" cy="599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 name="Ink 8">
              <a:extLst>
                <a:ext uri="{FF2B5EF4-FFF2-40B4-BE49-F238E27FC236}">
                  <a16:creationId xmlns:a16="http://schemas.microsoft.com/office/drawing/2014/main" id="{A5ECFFD7-CBA3-4D1F-A02F-B105FAD37732}"/>
                </a:ext>
              </a:extLst>
            </xdr14:cNvPr>
            <xdr14:cNvContentPartPr/>
          </xdr14:nvContentPartPr>
          <xdr14:nvPr macro=""/>
          <xdr14:xfrm>
            <a:off x="17436704" y="7902002"/>
            <a:ext cx="238320" cy="360"/>
          </xdr14:xfrm>
        </xdr:contentPart>
      </mc:Choice>
      <mc:Fallback xmlns="">
        <xdr:pic>
          <xdr:nvPicPr>
            <xdr:cNvPr id="24" name="Ink 23">
              <a:extLst>
                <a:ext uri="{FF2B5EF4-FFF2-40B4-BE49-F238E27FC236}">
                  <a16:creationId xmlns:a16="http://schemas.microsoft.com/office/drawing/2014/main" id="{E87FDFC2-B8B6-4275-BC64-F2C42704B9A2}"/>
                </a:ext>
              </a:extLst>
            </xdr:cNvPr>
            <xdr:cNvPicPr/>
          </xdr:nvPicPr>
          <xdr:blipFill>
            <a:blip xmlns:r="http://schemas.openxmlformats.org/officeDocument/2006/relationships" r:embed="rId10"/>
            <a:stretch>
              <a:fillRect/>
            </a:stretch>
          </xdr:blipFill>
          <xdr:spPr>
            <a:xfrm>
              <a:off x="17383064" y="7794002"/>
              <a:ext cx="345960" cy="216000"/>
            </a:xfrm>
            <a:prstGeom prst="rect">
              <a:avLst/>
            </a:prstGeom>
          </xdr:spPr>
        </xdr:pic>
      </mc:Fallback>
    </mc:AlternateContent>
    <xdr:clientData/>
  </xdr:oneCellAnchor>
  <xdr:oneCellAnchor>
    <xdr:from>
      <xdr:col>29</xdr:col>
      <xdr:colOff>521694</xdr:colOff>
      <xdr:row>52</xdr:row>
      <xdr:rowOff>89766</xdr:rowOff>
    </xdr:from>
    <xdr:ext cx="351353" cy="2448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6BB45EDC-5741-4C23-9A61-07C56151646E}"/>
                </a:ext>
              </a:extLst>
            </xdr14:cNvPr>
            <xdr14:cNvContentPartPr/>
          </xdr14:nvContentPartPr>
          <xdr14:nvPr macro=""/>
          <xdr14:xfrm>
            <a:off x="18315379" y="9984270"/>
            <a:ext cx="351590" cy="27655"/>
          </xdr14:xfrm>
        </xdr:contentPart>
      </mc:Choice>
      <mc:Fallback xmlns="">
        <xdr:pic>
          <xdr:nvPicPr>
            <xdr:cNvPr id="25" name="Ink 24">
              <a:extLst>
                <a:ext uri="{FF2B5EF4-FFF2-40B4-BE49-F238E27FC236}">
                  <a16:creationId xmlns:a16="http://schemas.microsoft.com/office/drawing/2014/main" id="{0A498348-B31A-4F75-9CBE-EEEBD3269E32}"/>
                </a:ext>
              </a:extLst>
            </xdr:cNvPr>
            <xdr:cNvPicPr/>
          </xdr:nvPicPr>
          <xdr:blipFill>
            <a:blip xmlns:r="http://schemas.openxmlformats.org/officeDocument/2006/relationships" r:embed="rId12"/>
            <a:stretch>
              <a:fillRect/>
            </a:stretch>
          </xdr:blipFill>
          <xdr:spPr>
            <a:xfrm>
              <a:off x="18260386" y="9862669"/>
              <a:ext cx="461210" cy="271263"/>
            </a:xfrm>
            <a:prstGeom prst="rect">
              <a:avLst/>
            </a:prstGeom>
          </xdr:spPr>
        </xdr:pic>
      </mc:Fallback>
    </mc:AlternateContent>
    <xdr:clientData/>
  </xdr:oneCellAnchor>
  <xdr:oneCellAnchor>
    <xdr:from>
      <xdr:col>30</xdr:col>
      <xdr:colOff>431157</xdr:colOff>
      <xdr:row>63</xdr:row>
      <xdr:rowOff>171211</xdr:rowOff>
    </xdr:from>
    <xdr:ext cx="298857"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0">
              <a:extLst>
                <a:ext uri="{FF2B5EF4-FFF2-40B4-BE49-F238E27FC236}">
                  <a16:creationId xmlns:a16="http://schemas.microsoft.com/office/drawing/2014/main" id="{BA6E3723-B05F-4EB8-8D66-8FE4CA99775E}"/>
                </a:ext>
              </a:extLst>
            </xdr14:cNvPr>
            <xdr14:cNvContentPartPr/>
          </xdr14:nvContentPartPr>
          <xdr14:nvPr macro=""/>
          <xdr14:xfrm>
            <a:off x="18832472" y="12143151"/>
            <a:ext cx="302270" cy="360"/>
          </xdr14:xfrm>
        </xdr:contentPart>
      </mc:Choice>
      <mc:Fallback xmlns="">
        <xdr:pic>
          <xdr:nvPicPr>
            <xdr:cNvPr id="26" name="Ink 25">
              <a:extLst>
                <a:ext uri="{FF2B5EF4-FFF2-40B4-BE49-F238E27FC236}">
                  <a16:creationId xmlns:a16="http://schemas.microsoft.com/office/drawing/2014/main" id="{44FC8C46-5124-4559-9A5B-0619413A7CCB}"/>
                </a:ext>
              </a:extLst>
            </xdr:cNvPr>
            <xdr:cNvPicPr/>
          </xdr:nvPicPr>
          <xdr:blipFill>
            <a:blip xmlns:r="http://schemas.openxmlformats.org/officeDocument/2006/relationships" r:embed="rId14"/>
            <a:stretch>
              <a:fillRect/>
            </a:stretch>
          </xdr:blipFill>
          <xdr:spPr>
            <a:xfrm>
              <a:off x="18777681" y="12035511"/>
              <a:ext cx="412220" cy="216000"/>
            </a:xfrm>
            <a:prstGeom prst="rect">
              <a:avLst/>
            </a:prstGeom>
          </xdr:spPr>
        </xdr:pic>
      </mc:Fallback>
    </mc:AlternateContent>
    <xdr:clientData/>
  </xdr:oneCellAnchor>
  <xdr:oneCellAnchor>
    <xdr:from>
      <xdr:col>16</xdr:col>
      <xdr:colOff>212919</xdr:colOff>
      <xdr:row>8</xdr:row>
      <xdr:rowOff>89707</xdr:rowOff>
    </xdr:from>
    <xdr:ext cx="3232688" cy="62575"/>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2" name="Ink 11">
              <a:extLst>
                <a:ext uri="{FF2B5EF4-FFF2-40B4-BE49-F238E27FC236}">
                  <a16:creationId xmlns:a16="http://schemas.microsoft.com/office/drawing/2014/main" id="{F65F3067-D9F4-4510-BE33-DEC51562F7B3}"/>
                </a:ext>
              </a:extLst>
            </xdr14:cNvPr>
            <xdr14:cNvContentPartPr/>
          </xdr14:nvContentPartPr>
          <xdr14:nvPr macro=""/>
          <xdr14:xfrm>
            <a:off x="10107423" y="1616991"/>
            <a:ext cx="3233880" cy="59400"/>
          </xdr14:xfrm>
        </xdr:contentPart>
      </mc:Choice>
      <mc:Fallback xmlns="">
        <xdr:pic>
          <xdr:nvPicPr>
            <xdr:cNvPr id="27" name="Ink 26">
              <a:extLst>
                <a:ext uri="{FF2B5EF4-FFF2-40B4-BE49-F238E27FC236}">
                  <a16:creationId xmlns:a16="http://schemas.microsoft.com/office/drawing/2014/main" id="{B2F94343-BFC2-45A7-AB14-4115D9F46C06}"/>
                </a:ext>
              </a:extLst>
            </xdr:cNvPr>
            <xdr:cNvPicPr/>
          </xdr:nvPicPr>
          <xdr:blipFill>
            <a:blip xmlns:r="http://schemas.openxmlformats.org/officeDocument/2006/relationships" r:embed="rId16"/>
            <a:stretch>
              <a:fillRect/>
            </a:stretch>
          </xdr:blipFill>
          <xdr:spPr>
            <a:xfrm>
              <a:off x="10053423" y="1509351"/>
              <a:ext cx="3341520" cy="275040"/>
            </a:xfrm>
            <a:prstGeom prst="rect">
              <a:avLst/>
            </a:prstGeom>
          </xdr:spPr>
        </xdr:pic>
      </mc:Fallback>
    </mc:AlternateContent>
    <xdr:clientData/>
  </xdr:oneCellAnchor>
  <xdr:oneCellAnchor>
    <xdr:from>
      <xdr:col>16</xdr:col>
      <xdr:colOff>229479</xdr:colOff>
      <xdr:row>20</xdr:row>
      <xdr:rowOff>33507</xdr:rowOff>
    </xdr:from>
    <xdr:ext cx="3225488" cy="52727"/>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3" name="Ink 12">
              <a:extLst>
                <a:ext uri="{FF2B5EF4-FFF2-40B4-BE49-F238E27FC236}">
                  <a16:creationId xmlns:a16="http://schemas.microsoft.com/office/drawing/2014/main" id="{6B3EBEF5-F072-4541-B829-8D362CCDA2FD}"/>
                </a:ext>
                <a:ext uri="{147F2762-F138-4A5C-976F-8EAC2B608ADB}">
                  <a16:predDERef xmlns:a16="http://schemas.microsoft.com/office/drawing/2014/main" pred="{B2F94343-BFC2-45A7-AB14-4115D9F46C06}"/>
                </a:ext>
              </a:extLst>
            </xdr14:cNvPr>
            <xdr14:cNvContentPartPr/>
          </xdr14:nvContentPartPr>
          <xdr14:nvPr macro=""/>
          <xdr14:xfrm>
            <a:off x="14355054" y="3672057"/>
            <a:ext cx="3236531" cy="52727"/>
          </xdr14:xfrm>
        </xdr:contentPart>
      </mc:Choice>
      <mc:Fallback xmlns="">
        <xdr:pic>
          <xdr:nvPicPr>
            <xdr:cNvPr id="28" name="Ink 27">
              <a:extLst>
                <a:ext uri="{FF2B5EF4-FFF2-40B4-BE49-F238E27FC236}">
                  <a16:creationId xmlns:a16="http://schemas.microsoft.com/office/drawing/2014/main" id="{A6F6C96A-4A86-44B9-AACB-14996594E173}"/>
                </a:ext>
              </a:extLst>
            </xdr:cNvPr>
            <xdr:cNvPicPr/>
          </xdr:nvPicPr>
          <xdr:blipFill>
            <a:blip xmlns:r="http://schemas.openxmlformats.org/officeDocument/2006/relationships" r:embed="rId18"/>
            <a:stretch>
              <a:fillRect/>
            </a:stretch>
          </xdr:blipFill>
          <xdr:spPr>
            <a:xfrm>
              <a:off x="10070343" y="3832071"/>
              <a:ext cx="3334320" cy="282600"/>
            </a:xfrm>
            <a:prstGeom prst="rect">
              <a:avLst/>
            </a:prstGeom>
          </xdr:spPr>
        </xdr:pic>
      </mc:Fallback>
    </mc:AlternateContent>
    <xdr:clientData/>
  </xdr:oneCellAnchor>
  <xdr:oneCellAnchor>
    <xdr:from>
      <xdr:col>14</xdr:col>
      <xdr:colOff>0</xdr:colOff>
      <xdr:row>67</xdr:row>
      <xdr:rowOff>188857</xdr:rowOff>
    </xdr:from>
    <xdr:ext cx="6149493" cy="1926456"/>
    <xdr:pic>
      <xdr:nvPicPr>
        <xdr:cNvPr id="14" name="Picture 13">
          <a:extLst>
            <a:ext uri="{FF2B5EF4-FFF2-40B4-BE49-F238E27FC236}">
              <a16:creationId xmlns:a16="http://schemas.microsoft.com/office/drawing/2014/main" id="{014F0924-54DF-4823-BE6B-6CB72ABED800}"/>
            </a:ext>
          </a:extLst>
        </xdr:cNvPr>
        <xdr:cNvPicPr>
          <a:picLocks noChangeAspect="1"/>
        </xdr:cNvPicPr>
      </xdr:nvPicPr>
      <xdr:blipFill>
        <a:blip xmlns:r="http://schemas.openxmlformats.org/officeDocument/2006/relationships" r:embed="rId19"/>
        <a:stretch>
          <a:fillRect/>
        </a:stretch>
      </xdr:blipFill>
      <xdr:spPr>
        <a:xfrm>
          <a:off x="12668250" y="13152382"/>
          <a:ext cx="6149493" cy="1926456"/>
        </a:xfrm>
        <a:prstGeom prst="rect">
          <a:avLst/>
        </a:prstGeom>
      </xdr:spPr>
    </xdr:pic>
    <xdr:clientData/>
  </xdr:oneCellAnchor>
  <xdr:oneCellAnchor>
    <xdr:from>
      <xdr:col>25</xdr:col>
      <xdr:colOff>0</xdr:colOff>
      <xdr:row>67</xdr:row>
      <xdr:rowOff>188857</xdr:rowOff>
    </xdr:from>
    <xdr:ext cx="6029604" cy="2664970"/>
    <xdr:pic>
      <xdr:nvPicPr>
        <xdr:cNvPr id="15" name="Picture 14">
          <a:extLst>
            <a:ext uri="{FF2B5EF4-FFF2-40B4-BE49-F238E27FC236}">
              <a16:creationId xmlns:a16="http://schemas.microsoft.com/office/drawing/2014/main" id="{7F1CC88F-E554-4E97-AE2E-64370733116A}"/>
            </a:ext>
          </a:extLst>
        </xdr:cNvPr>
        <xdr:cNvPicPr>
          <a:picLocks noChangeAspect="1"/>
        </xdr:cNvPicPr>
      </xdr:nvPicPr>
      <xdr:blipFill>
        <a:blip xmlns:r="http://schemas.openxmlformats.org/officeDocument/2006/relationships" r:embed="rId20"/>
        <a:stretch>
          <a:fillRect/>
        </a:stretch>
      </xdr:blipFill>
      <xdr:spPr>
        <a:xfrm>
          <a:off x="19611975" y="13152382"/>
          <a:ext cx="6029604" cy="2664970"/>
        </a:xfrm>
        <a:prstGeom prst="rect">
          <a:avLst/>
        </a:prstGeom>
      </xdr:spPr>
    </xdr:pic>
    <xdr:clientData/>
  </xdr:oneCellAnchor>
  <xdr:oneCellAnchor>
    <xdr:from>
      <xdr:col>17</xdr:col>
      <xdr:colOff>524865</xdr:colOff>
      <xdr:row>74</xdr:row>
      <xdr:rowOff>122298</xdr:rowOff>
    </xdr:from>
    <xdr:ext cx="2872689" cy="60283"/>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6" name="Ink 15">
              <a:extLst>
                <a:ext uri="{FF2B5EF4-FFF2-40B4-BE49-F238E27FC236}">
                  <a16:creationId xmlns:a16="http://schemas.microsoft.com/office/drawing/2014/main" id="{4D77DCFF-ECCE-4A8C-898B-348F3861EAE6}"/>
                </a:ext>
              </a:extLst>
            </xdr14:cNvPr>
            <xdr14:cNvContentPartPr/>
          </xdr14:nvContentPartPr>
          <xdr14:nvPr macro=""/>
          <xdr14:xfrm>
            <a:off x="11026999" y="14171673"/>
            <a:ext cx="2873880" cy="59040"/>
          </xdr14:xfrm>
        </xdr:contentPart>
      </mc:Choice>
      <mc:Fallback xmlns="">
        <xdr:pic>
          <xdr:nvPicPr>
            <xdr:cNvPr id="31" name="Ink 30">
              <a:extLst>
                <a:ext uri="{FF2B5EF4-FFF2-40B4-BE49-F238E27FC236}">
                  <a16:creationId xmlns:a16="http://schemas.microsoft.com/office/drawing/2014/main" id="{FF871D58-325C-401A-9E3E-C5731BDB201A}"/>
                </a:ext>
              </a:extLst>
            </xdr:cNvPr>
            <xdr:cNvPicPr/>
          </xdr:nvPicPr>
          <xdr:blipFill>
            <a:blip xmlns:r="http://schemas.openxmlformats.org/officeDocument/2006/relationships" r:embed="rId22"/>
            <a:stretch>
              <a:fillRect/>
            </a:stretch>
          </xdr:blipFill>
          <xdr:spPr>
            <a:xfrm>
              <a:off x="10972999" y="14063673"/>
              <a:ext cx="2981520" cy="274680"/>
            </a:xfrm>
            <a:prstGeom prst="rect">
              <a:avLst/>
            </a:prstGeom>
          </xdr:spPr>
        </xdr:pic>
      </mc:Fallback>
    </mc:AlternateContent>
    <xdr:clientData/>
  </xdr:oneCellAnchor>
  <xdr:oneCellAnchor>
    <xdr:from>
      <xdr:col>29</xdr:col>
      <xdr:colOff>361314</xdr:colOff>
      <xdr:row>76</xdr:row>
      <xdr:rowOff>129062</xdr:rowOff>
    </xdr:from>
    <xdr:ext cx="2865426" cy="53314"/>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7" name="Ink 16">
              <a:extLst>
                <a:ext uri="{FF2B5EF4-FFF2-40B4-BE49-F238E27FC236}">
                  <a16:creationId xmlns:a16="http://schemas.microsoft.com/office/drawing/2014/main" id="{967DD138-1ED7-4BC5-A8AF-88FAA424C508}"/>
                </a:ext>
              </a:extLst>
            </xdr14:cNvPr>
            <xdr14:cNvContentPartPr/>
          </xdr14:nvContentPartPr>
          <xdr14:nvPr macro=""/>
          <xdr14:xfrm>
            <a:off x="18154999" y="14556153"/>
            <a:ext cx="2863440" cy="69480"/>
          </xdr14:xfrm>
        </xdr:contentPart>
      </mc:Choice>
      <mc:Fallback xmlns="">
        <xdr:pic>
          <xdr:nvPicPr>
            <xdr:cNvPr id="35" name="Ink 34">
              <a:extLst>
                <a:ext uri="{FF2B5EF4-FFF2-40B4-BE49-F238E27FC236}">
                  <a16:creationId xmlns:a16="http://schemas.microsoft.com/office/drawing/2014/main" id="{CFA58AC8-9063-4047-88D2-83F8D1D75007}"/>
                </a:ext>
              </a:extLst>
            </xdr:cNvPr>
            <xdr:cNvPicPr/>
          </xdr:nvPicPr>
          <xdr:blipFill>
            <a:blip xmlns:r="http://schemas.openxmlformats.org/officeDocument/2006/relationships" r:embed="rId24"/>
            <a:stretch>
              <a:fillRect/>
            </a:stretch>
          </xdr:blipFill>
          <xdr:spPr>
            <a:xfrm>
              <a:off x="18118999" y="14484153"/>
              <a:ext cx="2935080" cy="213120"/>
            </a:xfrm>
            <a:prstGeom prst="rect">
              <a:avLst/>
            </a:prstGeom>
          </xdr:spPr>
        </xdr:pic>
      </mc:Fallback>
    </mc:AlternateContent>
    <xdr:clientData/>
  </xdr:oneCellAnchor>
  <xdr:oneCellAnchor>
    <xdr:from>
      <xdr:col>29</xdr:col>
      <xdr:colOff>361314</xdr:colOff>
      <xdr:row>75</xdr:row>
      <xdr:rowOff>40000</xdr:rowOff>
    </xdr:from>
    <xdr:ext cx="2807596" cy="54295"/>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8" name="Ink 17">
              <a:extLst>
                <a:ext uri="{FF2B5EF4-FFF2-40B4-BE49-F238E27FC236}">
                  <a16:creationId xmlns:a16="http://schemas.microsoft.com/office/drawing/2014/main" id="{5985956C-1086-4BF0-91BB-4B73F5289956}"/>
                </a:ext>
              </a:extLst>
            </xdr14:cNvPr>
            <xdr14:cNvContentPartPr/>
          </xdr14:nvContentPartPr>
          <xdr14:nvPr macro=""/>
          <xdr14:xfrm>
            <a:off x="18154999" y="14278233"/>
            <a:ext cx="2811960" cy="51120"/>
          </xdr14:xfrm>
        </xdr:contentPart>
      </mc:Choice>
      <mc:Fallback xmlns="">
        <xdr:pic>
          <xdr:nvPicPr>
            <xdr:cNvPr id="36" name="Ink 35">
              <a:extLst>
                <a:ext uri="{FF2B5EF4-FFF2-40B4-BE49-F238E27FC236}">
                  <a16:creationId xmlns:a16="http://schemas.microsoft.com/office/drawing/2014/main" id="{7F39B839-93DC-49F6-B8D1-5D53EC62134F}"/>
                </a:ext>
              </a:extLst>
            </xdr:cNvPr>
            <xdr:cNvPicPr/>
          </xdr:nvPicPr>
          <xdr:blipFill>
            <a:blip xmlns:r="http://schemas.openxmlformats.org/officeDocument/2006/relationships" r:embed="rId26"/>
            <a:stretch>
              <a:fillRect/>
            </a:stretch>
          </xdr:blipFill>
          <xdr:spPr>
            <a:xfrm>
              <a:off x="18118999" y="14206233"/>
              <a:ext cx="2883600" cy="194760"/>
            </a:xfrm>
            <a:prstGeom prst="rect">
              <a:avLst/>
            </a:prstGeom>
          </xdr:spPr>
        </xdr:pic>
      </mc:Fallback>
    </mc:AlternateContent>
    <xdr:clientData/>
  </xdr:oneCellAnchor>
  <xdr:oneCellAnchor>
    <xdr:from>
      <xdr:col>13</xdr:col>
      <xdr:colOff>812909</xdr:colOff>
      <xdr:row>34</xdr:row>
      <xdr:rowOff>121307</xdr:rowOff>
    </xdr:from>
    <xdr:ext cx="4568569" cy="3862933"/>
    <xdr:pic>
      <xdr:nvPicPr>
        <xdr:cNvPr id="19" name="Picture 18">
          <a:extLst>
            <a:ext uri="{FF2B5EF4-FFF2-40B4-BE49-F238E27FC236}">
              <a16:creationId xmlns:a16="http://schemas.microsoft.com/office/drawing/2014/main" id="{40F560C4-F6D9-4933-AC60-3F85B381ACF4}"/>
            </a:ext>
            <a:ext uri="{147F2762-F138-4A5C-976F-8EAC2B608ADB}">
              <a16:predDERef xmlns:a16="http://schemas.microsoft.com/office/drawing/2014/main" pred="{2CF80C54-4403-437A-9451-5DA20D0CFAB2}"/>
            </a:ext>
          </a:extLst>
        </xdr:cNvPr>
        <xdr:cNvPicPr>
          <a:picLocks noChangeAspect="1"/>
        </xdr:cNvPicPr>
      </xdr:nvPicPr>
      <xdr:blipFill>
        <a:blip xmlns:r="http://schemas.openxmlformats.org/officeDocument/2006/relationships" r:embed="rId27"/>
        <a:stretch>
          <a:fillRect/>
        </a:stretch>
      </xdr:blipFill>
      <xdr:spPr>
        <a:xfrm>
          <a:off x="12671534" y="6693557"/>
          <a:ext cx="4568569" cy="3862933"/>
        </a:xfrm>
        <a:prstGeom prst="rect">
          <a:avLst/>
        </a:prstGeom>
      </xdr:spPr>
    </xdr:pic>
    <xdr:clientData/>
  </xdr:oneCellAnchor>
  <xdr:oneCellAnchor>
    <xdr:from>
      <xdr:col>39</xdr:col>
      <xdr:colOff>17810</xdr:colOff>
      <xdr:row>4</xdr:row>
      <xdr:rowOff>131381</xdr:rowOff>
    </xdr:from>
    <xdr:ext cx="8364544" cy="3799905"/>
    <xdr:pic>
      <xdr:nvPicPr>
        <xdr:cNvPr id="20" name="Picture 19">
          <a:extLst>
            <a:ext uri="{FF2B5EF4-FFF2-40B4-BE49-F238E27FC236}">
              <a16:creationId xmlns:a16="http://schemas.microsoft.com/office/drawing/2014/main" id="{F2DB9813-A7D3-46B2-B4DD-D56CD9D03911}"/>
            </a:ext>
          </a:extLst>
        </xdr:cNvPr>
        <xdr:cNvPicPr>
          <a:picLocks noChangeAspect="1"/>
        </xdr:cNvPicPr>
      </xdr:nvPicPr>
      <xdr:blipFill>
        <a:blip xmlns:r="http://schemas.openxmlformats.org/officeDocument/2006/relationships" r:embed="rId28"/>
        <a:stretch>
          <a:fillRect/>
        </a:stretch>
      </xdr:blipFill>
      <xdr:spPr>
        <a:xfrm>
          <a:off x="28164185" y="902906"/>
          <a:ext cx="8364544" cy="3799905"/>
        </a:xfrm>
        <a:prstGeom prst="rect">
          <a:avLst/>
        </a:prstGeom>
      </xdr:spPr>
    </xdr:pic>
    <xdr:clientData/>
  </xdr:oneCellAnchor>
  <xdr:oneCellAnchor>
    <xdr:from>
      <xdr:col>47</xdr:col>
      <xdr:colOff>599694</xdr:colOff>
      <xdr:row>20</xdr:row>
      <xdr:rowOff>15291</xdr:rowOff>
    </xdr:from>
    <xdr:ext cx="294176" cy="3535"/>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1" name="Ink 20">
              <a:extLst>
                <a:ext uri="{FF2B5EF4-FFF2-40B4-BE49-F238E27FC236}">
                  <a16:creationId xmlns:a16="http://schemas.microsoft.com/office/drawing/2014/main" id="{91313D94-70A9-4E8D-8188-740EEC6C6D50}"/>
                </a:ext>
              </a:extLst>
            </xdr14:cNvPr>
            <xdr14:cNvContentPartPr/>
          </xdr14:nvContentPartPr>
          <xdr14:nvPr macro=""/>
          <xdr14:xfrm>
            <a:off x="29330707" y="3817080"/>
            <a:ext cx="291240" cy="360"/>
          </xdr14:xfrm>
        </xdr:contentPart>
      </mc:Choice>
      <mc:Fallback xmlns="">
        <xdr:pic>
          <xdr:nvPicPr>
            <xdr:cNvPr id="41" name="Ink 40">
              <a:extLst>
                <a:ext uri="{FF2B5EF4-FFF2-40B4-BE49-F238E27FC236}">
                  <a16:creationId xmlns:a16="http://schemas.microsoft.com/office/drawing/2014/main" id="{1C61A2B7-D605-4A4C-A401-2989417FA5FD}"/>
                </a:ext>
              </a:extLst>
            </xdr:cNvPr>
            <xdr:cNvPicPr/>
          </xdr:nvPicPr>
          <xdr:blipFill>
            <a:blip xmlns:r="http://schemas.openxmlformats.org/officeDocument/2006/relationships" r:embed="rId30"/>
            <a:stretch>
              <a:fillRect/>
            </a:stretch>
          </xdr:blipFill>
          <xdr:spPr>
            <a:xfrm>
              <a:off x="29294707" y="3745440"/>
              <a:ext cx="362880" cy="144000"/>
            </a:xfrm>
            <a:prstGeom prst="rect">
              <a:avLst/>
            </a:prstGeom>
          </xdr:spPr>
        </xdr:pic>
      </mc:Fallback>
    </mc:AlternateContent>
    <xdr:clientData/>
  </xdr:oneCellAnchor>
  <xdr:oneCellAnchor>
    <xdr:from>
      <xdr:col>48</xdr:col>
      <xdr:colOff>7905</xdr:colOff>
      <xdr:row>24</xdr:row>
      <xdr:rowOff>89438</xdr:rowOff>
    </xdr:from>
    <xdr:ext cx="259265" cy="3348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2" name="Ink 21">
              <a:extLst>
                <a:ext uri="{FF2B5EF4-FFF2-40B4-BE49-F238E27FC236}">
                  <a16:creationId xmlns:a16="http://schemas.microsoft.com/office/drawing/2014/main" id="{AFC74C7E-23D1-468C-A4F5-644FD5B553E6}"/>
                </a:ext>
              </a:extLst>
            </xdr14:cNvPr>
            <xdr14:cNvContentPartPr/>
          </xdr14:nvContentPartPr>
          <xdr14:nvPr macro=""/>
          <xdr14:xfrm>
            <a:off x="29346547" y="4663080"/>
            <a:ext cx="262440" cy="33480"/>
          </xdr14:xfrm>
        </xdr:contentPart>
      </mc:Choice>
      <mc:Fallback xmlns="">
        <xdr:pic>
          <xdr:nvPicPr>
            <xdr:cNvPr id="42" name="Ink 41">
              <a:extLst>
                <a:ext uri="{FF2B5EF4-FFF2-40B4-BE49-F238E27FC236}">
                  <a16:creationId xmlns:a16="http://schemas.microsoft.com/office/drawing/2014/main" id="{329D9C38-0C0B-4ED4-A311-BEFB88CF1A4D}"/>
                </a:ext>
              </a:extLst>
            </xdr:cNvPr>
            <xdr:cNvPicPr/>
          </xdr:nvPicPr>
          <xdr:blipFill>
            <a:blip xmlns:r="http://schemas.openxmlformats.org/officeDocument/2006/relationships" r:embed="rId32"/>
            <a:stretch>
              <a:fillRect/>
            </a:stretch>
          </xdr:blipFill>
          <xdr:spPr>
            <a:xfrm>
              <a:off x="29310547" y="4591080"/>
              <a:ext cx="334080" cy="177120"/>
            </a:xfrm>
            <a:prstGeom prst="rect">
              <a:avLst/>
            </a:prstGeom>
          </xdr:spPr>
        </xdr:pic>
      </mc:Fallback>
    </mc:AlternateContent>
    <xdr:clientData/>
  </xdr:oneCellAnchor>
  <xdr:oneCellAnchor>
    <xdr:from>
      <xdr:col>48</xdr:col>
      <xdr:colOff>106545</xdr:colOff>
      <xdr:row>25</xdr:row>
      <xdr:rowOff>96420</xdr:rowOff>
    </xdr:from>
    <xdr:ext cx="180000" cy="972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3" name="Ink 22">
              <a:extLst>
                <a:ext uri="{FF2B5EF4-FFF2-40B4-BE49-F238E27FC236}">
                  <a16:creationId xmlns:a16="http://schemas.microsoft.com/office/drawing/2014/main" id="{F7F01424-C862-4ECA-9B60-B9505AC67DDC}"/>
                </a:ext>
              </a:extLst>
            </xdr14:cNvPr>
            <xdr14:cNvContentPartPr/>
          </xdr14:nvContentPartPr>
          <xdr14:nvPr macro=""/>
          <xdr14:xfrm>
            <a:off x="29445187" y="4858920"/>
            <a:ext cx="180000" cy="9720"/>
          </xdr14:xfrm>
        </xdr:contentPart>
      </mc:Choice>
      <mc:Fallback xmlns="">
        <xdr:pic>
          <xdr:nvPicPr>
            <xdr:cNvPr id="43" name="Ink 42">
              <a:extLst>
                <a:ext uri="{FF2B5EF4-FFF2-40B4-BE49-F238E27FC236}">
                  <a16:creationId xmlns:a16="http://schemas.microsoft.com/office/drawing/2014/main" id="{41A00BC2-6BF2-4859-9004-EB670EE86DF5}"/>
                </a:ext>
              </a:extLst>
            </xdr:cNvPr>
            <xdr:cNvPicPr/>
          </xdr:nvPicPr>
          <xdr:blipFill>
            <a:blip xmlns:r="http://schemas.openxmlformats.org/officeDocument/2006/relationships" r:embed="rId34"/>
            <a:stretch>
              <a:fillRect/>
            </a:stretch>
          </xdr:blipFill>
          <xdr:spPr>
            <a:xfrm>
              <a:off x="29409187" y="4787280"/>
              <a:ext cx="251640" cy="153360"/>
            </a:xfrm>
            <a:prstGeom prst="rect">
              <a:avLst/>
            </a:prstGeom>
          </xdr:spPr>
        </xdr:pic>
      </mc:Fallback>
    </mc:AlternateContent>
    <xdr:clientData/>
  </xdr:oneCellAnchor>
  <xdr:oneCellAnchor>
    <xdr:from>
      <xdr:col>16</xdr:col>
      <xdr:colOff>590496</xdr:colOff>
      <xdr:row>48</xdr:row>
      <xdr:rowOff>90111</xdr:rowOff>
    </xdr:from>
    <xdr:ext cx="2257984" cy="23465"/>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4" name="Ink 23">
              <a:extLst>
                <a:ext uri="{FF2B5EF4-FFF2-40B4-BE49-F238E27FC236}">
                  <a16:creationId xmlns:a16="http://schemas.microsoft.com/office/drawing/2014/main" id="{E21E5BA4-D8A1-40CA-B31C-88CF0BFEE280}"/>
                </a:ext>
              </a:extLst>
            </xdr14:cNvPr>
            <xdr14:cNvContentPartPr/>
          </xdr14:nvContentPartPr>
          <xdr14:nvPr macro=""/>
          <xdr14:xfrm>
            <a:off x="10485000" y="9229184"/>
            <a:ext cx="2255760" cy="26640"/>
          </xdr14:xfrm>
        </xdr:contentPart>
      </mc:Choice>
      <mc:Fallback xmlns="">
        <xdr:pic>
          <xdr:nvPicPr>
            <xdr:cNvPr id="44" name="Ink 43">
              <a:extLst>
                <a:ext uri="{FF2B5EF4-FFF2-40B4-BE49-F238E27FC236}">
                  <a16:creationId xmlns:a16="http://schemas.microsoft.com/office/drawing/2014/main" id="{8B6061AB-1161-412F-9E2A-B236BDF7BEB2}"/>
                </a:ext>
              </a:extLst>
            </xdr:cNvPr>
            <xdr:cNvPicPr/>
          </xdr:nvPicPr>
          <xdr:blipFill>
            <a:blip xmlns:r="http://schemas.openxmlformats.org/officeDocument/2006/relationships" r:embed="rId36"/>
            <a:stretch>
              <a:fillRect/>
            </a:stretch>
          </xdr:blipFill>
          <xdr:spPr>
            <a:xfrm>
              <a:off x="10449360" y="9157184"/>
              <a:ext cx="2327400" cy="170280"/>
            </a:xfrm>
            <a:prstGeom prst="rect">
              <a:avLst/>
            </a:prstGeom>
          </xdr:spPr>
        </xdr:pic>
      </mc:Fallback>
    </mc:AlternateContent>
    <xdr:clientData/>
  </xdr:oneCellAnchor>
  <xdr:oneCellAnchor>
    <xdr:from>
      <xdr:col>24</xdr:col>
      <xdr:colOff>139286</xdr:colOff>
      <xdr:row>15</xdr:row>
      <xdr:rowOff>89100</xdr:rowOff>
    </xdr:from>
    <xdr:ext cx="2253606" cy="55145"/>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5" name="Ink 24">
              <a:extLst>
                <a:ext uri="{FF2B5EF4-FFF2-40B4-BE49-F238E27FC236}">
                  <a16:creationId xmlns:a16="http://schemas.microsoft.com/office/drawing/2014/main" id="{2BDD4A17-CC23-4F4A-BC80-F6085F8773E0}"/>
                </a:ext>
              </a:extLst>
            </xdr14:cNvPr>
            <xdr14:cNvContentPartPr/>
          </xdr14:nvContentPartPr>
          <xdr14:nvPr macro=""/>
          <xdr14:xfrm>
            <a:off x="14894825" y="2946600"/>
            <a:ext cx="2254320" cy="58320"/>
          </xdr14:xfrm>
        </xdr:contentPart>
      </mc:Choice>
      <mc:Fallback xmlns="">
        <xdr:pic>
          <xdr:nvPicPr>
            <xdr:cNvPr id="45" name="Ink 44">
              <a:extLst>
                <a:ext uri="{FF2B5EF4-FFF2-40B4-BE49-F238E27FC236}">
                  <a16:creationId xmlns:a16="http://schemas.microsoft.com/office/drawing/2014/main" id="{66A6A24D-7933-4902-AA3F-DC0115BE0C66}"/>
                </a:ext>
              </a:extLst>
            </xdr:cNvPr>
            <xdr:cNvPicPr/>
          </xdr:nvPicPr>
          <xdr:blipFill>
            <a:blip xmlns:r="http://schemas.openxmlformats.org/officeDocument/2006/relationships" r:embed="rId38"/>
            <a:stretch>
              <a:fillRect/>
            </a:stretch>
          </xdr:blipFill>
          <xdr:spPr>
            <a:xfrm>
              <a:off x="14858825" y="2874960"/>
              <a:ext cx="2325960" cy="201960"/>
            </a:xfrm>
            <a:prstGeom prst="rect">
              <a:avLst/>
            </a:prstGeom>
          </xdr:spPr>
        </xdr:pic>
      </mc:Fallback>
    </mc:AlternateContent>
    <xdr:clientData/>
  </xdr:oneCellAnchor>
  <xdr:oneCellAnchor>
    <xdr:from>
      <xdr:col>31</xdr:col>
      <xdr:colOff>188241</xdr:colOff>
      <xdr:row>15</xdr:row>
      <xdr:rowOff>97740</xdr:rowOff>
    </xdr:from>
    <xdr:ext cx="298735" cy="2592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6" name="Ink 25">
              <a:extLst>
                <a:ext uri="{FF2B5EF4-FFF2-40B4-BE49-F238E27FC236}">
                  <a16:creationId xmlns:a16="http://schemas.microsoft.com/office/drawing/2014/main" id="{C06F567F-AE29-4662-88A0-DC194353DE88}"/>
                </a:ext>
              </a:extLst>
            </xdr14:cNvPr>
            <xdr14:cNvContentPartPr/>
          </xdr14:nvContentPartPr>
          <xdr14:nvPr macro=""/>
          <xdr14:xfrm>
            <a:off x="19197185" y="2955240"/>
            <a:ext cx="295560" cy="25920"/>
          </xdr14:xfrm>
        </xdr:contentPart>
      </mc:Choice>
      <mc:Fallback xmlns="">
        <xdr:pic>
          <xdr:nvPicPr>
            <xdr:cNvPr id="46" name="Ink 45">
              <a:extLst>
                <a:ext uri="{FF2B5EF4-FFF2-40B4-BE49-F238E27FC236}">
                  <a16:creationId xmlns:a16="http://schemas.microsoft.com/office/drawing/2014/main" id="{D42F7D7C-73CC-4146-A8CA-9A9DA0630EA4}"/>
                </a:ext>
              </a:extLst>
            </xdr:cNvPr>
            <xdr:cNvPicPr/>
          </xdr:nvPicPr>
          <xdr:blipFill>
            <a:blip xmlns:r="http://schemas.openxmlformats.org/officeDocument/2006/relationships" r:embed="rId40"/>
            <a:stretch>
              <a:fillRect/>
            </a:stretch>
          </xdr:blipFill>
          <xdr:spPr>
            <a:xfrm>
              <a:off x="19161185" y="2883240"/>
              <a:ext cx="367200" cy="169560"/>
            </a:xfrm>
            <a:prstGeom prst="rect">
              <a:avLst/>
            </a:prstGeom>
          </xdr:spPr>
        </xdr:pic>
      </mc:Fallback>
    </mc:AlternateContent>
    <xdr:clientData/>
  </xdr:oneCellAnchor>
  <xdr:twoCellAnchor editAs="oneCell">
    <xdr:from>
      <xdr:col>14</xdr:col>
      <xdr:colOff>0</xdr:colOff>
      <xdr:row>85</xdr:row>
      <xdr:rowOff>0</xdr:rowOff>
    </xdr:from>
    <xdr:to>
      <xdr:col>29</xdr:col>
      <xdr:colOff>307725</xdr:colOff>
      <xdr:row>98</xdr:row>
      <xdr:rowOff>56832</xdr:rowOff>
    </xdr:to>
    <xdr:pic>
      <xdr:nvPicPr>
        <xdr:cNvPr id="27" name="Picture 26">
          <a:extLst>
            <a:ext uri="{FF2B5EF4-FFF2-40B4-BE49-F238E27FC236}">
              <a16:creationId xmlns:a16="http://schemas.microsoft.com/office/drawing/2014/main" id="{35BA43B6-29AE-4173-B545-4A4A022423AD}"/>
            </a:ext>
          </a:extLst>
        </xdr:cNvPr>
        <xdr:cNvPicPr>
          <a:picLocks noChangeAspect="1"/>
        </xdr:cNvPicPr>
      </xdr:nvPicPr>
      <xdr:blipFill>
        <a:blip xmlns:r="http://schemas.openxmlformats.org/officeDocument/2006/relationships" r:embed="rId41"/>
        <a:stretch>
          <a:fillRect/>
        </a:stretch>
      </xdr:blipFill>
      <xdr:spPr>
        <a:xfrm>
          <a:off x="12688957" y="16333304"/>
          <a:ext cx="9733333" cy="2533333"/>
        </a:xfrm>
        <a:prstGeom prst="rect">
          <a:avLst/>
        </a:prstGeom>
      </xdr:spPr>
    </xdr:pic>
    <xdr:clientData/>
  </xdr:twoCellAnchor>
  <xdr:twoCellAnchor editAs="oneCell">
    <xdr:from>
      <xdr:col>14</xdr:col>
      <xdr:colOff>89297</xdr:colOff>
      <xdr:row>134</xdr:row>
      <xdr:rowOff>109141</xdr:rowOff>
    </xdr:from>
    <xdr:to>
      <xdr:col>22</xdr:col>
      <xdr:colOff>48975</xdr:colOff>
      <xdr:row>173</xdr:row>
      <xdr:rowOff>140810</xdr:rowOff>
    </xdr:to>
    <xdr:pic>
      <xdr:nvPicPr>
        <xdr:cNvPr id="28" name="Picture 27">
          <a:extLst>
            <a:ext uri="{FF2B5EF4-FFF2-40B4-BE49-F238E27FC236}">
              <a16:creationId xmlns:a16="http://schemas.microsoft.com/office/drawing/2014/main" id="{F22E815F-992D-D9AF-09A6-CFF504536FC8}"/>
            </a:ext>
          </a:extLst>
        </xdr:cNvPr>
        <xdr:cNvPicPr>
          <a:picLocks noChangeAspect="1"/>
        </xdr:cNvPicPr>
      </xdr:nvPicPr>
      <xdr:blipFill>
        <a:blip xmlns:r="http://schemas.openxmlformats.org/officeDocument/2006/relationships" r:embed="rId42"/>
        <a:stretch>
          <a:fillRect/>
        </a:stretch>
      </xdr:blipFill>
      <xdr:spPr>
        <a:xfrm>
          <a:off x="13305235" y="24318516"/>
          <a:ext cx="5079365" cy="6996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477611</xdr:colOff>
      <xdr:row>68</xdr:row>
      <xdr:rowOff>92754</xdr:rowOff>
    </xdr:from>
    <xdr:to>
      <xdr:col>17</xdr:col>
      <xdr:colOff>553811</xdr:colOff>
      <xdr:row>84</xdr:row>
      <xdr:rowOff>134710</xdr:rowOff>
    </xdr:to>
    <xdr:graphicFrame macro="">
      <xdr:nvGraphicFramePr>
        <xdr:cNvPr id="2" name="Chart 1">
          <a:extLst>
            <a:ext uri="{FF2B5EF4-FFF2-40B4-BE49-F238E27FC236}">
              <a16:creationId xmlns:a16="http://schemas.microsoft.com/office/drawing/2014/main" id="{CF54E260-B6A2-10A3-1B60-5CD7252CE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772458</xdr:colOff>
      <xdr:row>40</xdr:row>
      <xdr:rowOff>119527</xdr:rowOff>
    </xdr:from>
    <xdr:to>
      <xdr:col>22</xdr:col>
      <xdr:colOff>14380</xdr:colOff>
      <xdr:row>66</xdr:row>
      <xdr:rowOff>137645</xdr:rowOff>
    </xdr:to>
    <xdr:graphicFrame macro="">
      <xdr:nvGraphicFramePr>
        <xdr:cNvPr id="4" name="Chart 3">
          <a:extLst>
            <a:ext uri="{FF2B5EF4-FFF2-40B4-BE49-F238E27FC236}">
              <a16:creationId xmlns:a16="http://schemas.microsoft.com/office/drawing/2014/main" id="{D58DC3FA-4D49-D782-4D54-29D750EA1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79375</xdr:colOff>
      <xdr:row>24</xdr:row>
      <xdr:rowOff>69850</xdr:rowOff>
    </xdr:from>
    <xdr:to>
      <xdr:col>20</xdr:col>
      <xdr:colOff>384175</xdr:colOff>
      <xdr:row>35</xdr:row>
      <xdr:rowOff>57150</xdr:rowOff>
    </xdr:to>
    <xdr:graphicFrame macro="">
      <xdr:nvGraphicFramePr>
        <xdr:cNvPr id="3" name="Chart 2">
          <a:extLst>
            <a:ext uri="{FF2B5EF4-FFF2-40B4-BE49-F238E27FC236}">
              <a16:creationId xmlns:a16="http://schemas.microsoft.com/office/drawing/2014/main" id="{91A743E8-BC58-F6CF-16C8-23885410C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676275</xdr:colOff>
      <xdr:row>174</xdr:row>
      <xdr:rowOff>6</xdr:rowOff>
    </xdr:from>
    <xdr:to>
      <xdr:col>9</xdr:col>
      <xdr:colOff>638175</xdr:colOff>
      <xdr:row>194</xdr:row>
      <xdr:rowOff>76206</xdr:rowOff>
    </xdr:to>
    <xdr:graphicFrame macro="">
      <xdr:nvGraphicFramePr>
        <xdr:cNvPr id="2" name="Chart 1">
          <a:extLst>
            <a:ext uri="{FF2B5EF4-FFF2-40B4-BE49-F238E27FC236}">
              <a16:creationId xmlns:a16="http://schemas.microsoft.com/office/drawing/2014/main" id="{4B5F9A3F-FE34-45A7-A296-485A1893A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28574</xdr:colOff>
      <xdr:row>17</xdr:row>
      <xdr:rowOff>33337</xdr:rowOff>
    </xdr:from>
    <xdr:to>
      <xdr:col>19</xdr:col>
      <xdr:colOff>228599</xdr:colOff>
      <xdr:row>35</xdr:row>
      <xdr:rowOff>123825</xdr:rowOff>
    </xdr:to>
    <xdr:graphicFrame macro="">
      <xdr:nvGraphicFramePr>
        <xdr:cNvPr id="3" name="Chart 2">
          <a:extLst>
            <a:ext uri="{FF2B5EF4-FFF2-40B4-BE49-F238E27FC236}">
              <a16:creationId xmlns:a16="http://schemas.microsoft.com/office/drawing/2014/main" id="{B6241063-66C8-D5FF-331C-AA83B4465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rf50022\KAI-SAC-Tax%20Forecasts-R\Determinants\Budget%202016\Bud16DeterminantsR4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rkyv\Open\Separate%20PSF%20sheet%20backup%20010520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glndsv02\obr\groups\Macro\Analysis\Labour%20market\Skills%20mismatch.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om1.infra.int\data\Documents%20and%20Settings\senevij\Local%20Settings\Temporary%20Internet%20Files\OLK6D\FertAssChar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Documents%20and%20Settings\senevij\Local%20Settings\Temporary%20Internet%20Files\OLK6D\FertAssChar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COMMON\99I2K\Shuttle\MONTH\MREC%2000-01%20GA%20(Kare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cdn.budgetresponsibility.independent.gov.uk/forecast/hist20/CHSPD1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om1.infra.int\data\forecast\hist20\CHSPD1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glndsv02\obr\forecast\hist20\CHSPD1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lonnetapp01\ASDDATA\MP\SWAUP2\Demography\BWRM5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cdn.budgetresponsibility.independent.gov.uk/forecast/hist20/HIS19FI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om1.infra.int\data\forecast\hist20\HIS19FI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glndsv02\obr\forecast\hist20\HIS19FI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WINDOWS\TEMP\PD\PD109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budgetresponsibility.org.uk/WINDOWS/TEMP/PD/PD109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EXCEL\CGBR\PROF9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thehealthfoundation98.sharepoint.com/personal/nihar_shembavnekar_health_org_uk/Documents/Documents/Social%20care/20200518%20ASC%20funding%20model%20-%20update.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mhclg.sharepoint.com/FID-RAMA/RAMA1/Allocations/Rev%2013%20PH/July%202012%20onwards/MFF/PCT%20to%20LA%20overall%20MFF%2012%20Nov%202012%20Final.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lgf1live\flgr\FLGR\0203\ssa0203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lgf1live\flgr\FLGR\0506\settle\FSS%200506%20Excel%20settl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mhclg.sharepoint.com/Social%20Care%20Policy/Strategic%20Policy%20&amp;%20Finance/Analytical%20Projects/SC%20Demand%20&amp;%20Funding%20Modelling/LA%20modelling/2015/Model/Release%20V1/LAM15%20release%20V1.2%20-%20proto%20-%20ULoS.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mhclg.sharepoint.com/SWAU2/TEAM2/!DEMOGRA/DME75_16%20TO%2018%20YR%20OLDS_%20EMILY_HUN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mhclg.sharepoint.com/Users/mmitche3/AppData/Local/Microsoft/Windows/Temporary%20Internet%20Files/Content.Outlook/ZXC01YP3/1314%20rnf%20mode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CTS_Virtual_Hub_Data_13091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Data2$\TMOULAND\Documents\Copy%20of%20SR15%20Impacts%20Model%20-%202%2011_RISK%20MODEL%20OUTPUTS.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c.green.net\ic_data_dfs\SC\PSS%20EX1\1.%20Guidance%20and%20Forms\2009-10\PSS-EX1_2009-10_ProForma_v1.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rf03200\kai-mgt%20of%20kai-r\Planning%20and%20Reporting\Departmental%20Risk%20Register\Risk%20Register%20-%20Department\DRR%20May%202010%20updated.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mhclg.sharepoint.com/Users/vviloria/AppData/Local/Microsoft/Windows/INetCache/Content.Outlook/WXGJU214/draft%20NNDR1%202019-20%20LA%20drop%20down%20working%20version%20template.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gems\Monitoring\Accounting%20Adjustments%20Forecast\NationalAccounts_TEMPLAT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T:\gems\Monitoring\Accounting%20Adjustments%20Forecast\Budget%202010%20Working%20Files\Budget%202010_NATIONAL%20ACCOUNTS%20ADJUSTMENT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mhclg.sharepoint.com/Monitoring/Accounting%20Adjustments%20Forecast/March%202011%20Forecast/March%202011_NAA%20Forecas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LGF3Data\NNDR%201%20-%203\NNDR1\2013-14\Docs%20to%20LAS\NNDR1%20Form%202013-14%20V1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nhsengland.sharepoint.com/NHS%20CB/Finance/FCP/Allocations/2014_15/Initial%20Allocations%20Live.xlsb"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groups\PSF\EFO\Autumn%202014\Spending\Measures\Scorecard%20app\OBR%20Scorecard%20&amp;%20supplementary%20table%20FINAL%2028.11.14.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G:\groups\PSF\EFO\Autumn%202014\Spending\Measures\Scorecard%20app\OBR%20Scorecard%20&amp;%20supplementary%20table%20FINAL%2028.11.14.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om1.infra.int\data\groups\PSF\EFO\Autumn%202014\Spending\Measures\Scorecard%20app\OBR%20Scorecard%20&amp;%20supplementary%20table%20FINAL%2028.11.14.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webarchive.nationalarchives.gov.uk/20140505105717/http:/www.local.communities.gov.uk/finance/1314/1314FFmodel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mhclg.sharepoint.com/ADD%20Directorate/Local%20Policy%20Analysis/LGF/Council%20Tax/Models/Receipts%20inc%20ASC/180328%20CT%20Receipts%20modelling%20to%201920%20inc%20ASC.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oasisdata7\homedirs\DATA\Budget%202001\pop%20GAD-98%20(1%20year).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iif.r.mil.uk\Groups\EUNDESFINFA\Des%20FinFA%20Moss\FRET06\20150414-1415%20TLRFP%20DM0%20AP12%20Consolidator%20FINA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W:\Lgfpnet\CASEWORK\basedata.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mhclg.sharepoint.com/Users/Cbrand1/AppData/Local/Microsoft/Windows/Temporary%20Internet%20Files/Content.Outlook/V9F1U3KO/Key%20Information%2014-15.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HQ\102PF_D\Home\JLT34J\AQA_Mas_Feb2017\BC1_TCEP_Mas\TCEP_Model\TCEP%20Business%20Case%20Model%20008%20FBC.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om1\data\HQ\102PF\Shared\Group_LCDSHD2_IMD\IMD\Economics\LACE\SRA%20Work%20Streams\PETP%20Programme\Prison%20Reform%20Programme%20OBC\Economic%20case\Results%20Day%20Working\OBC%20Option%20Versions\Prison%20Estate%20Model%20v4_S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N:\Information%20Services\Surveys\General%20Finance\Council%20Tax%20Demands%20and%20Precepts\2019-20\ctax1920_main.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s://assets.publishing.service.gov.uk/UserData$/njayaram/Documents/Table_9.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s://mhclg.sharepoint.com/sites/AnalysisandData/Shared%20Documents/Local%20Policy%20Analysis%20Division%20(LPA)/LG%20Funding%20and%20Sustainability/Spending%20Review%202019/Model/SPM_N_v9.57.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Fastpkai2\Data%20Expertise%20Team\Sickness%20Absence\Reports\New%20Style%20Monthly%20SA%20Reports%20&amp;%20Triggers\10%20Jan%202011\Directorates%20reports\Zipped%20files\20110211%20Sickness%20Absence%20Jan%202011%20-%20Benefits%20&amp;%20Credits.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488423/Grant_Model_v4.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teadsp002.desktop21.dclg.gov.uk\dclgdfs\SharedData4$\LDG\Lgf\LGFPNET\Lgfpnet\Spending%20Power\2016-17%20to%202019-20\Inputs\iBCF\161116%20ASC%20funding%20and%20iBCF%20allocation%20comparison.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glndsv02\obr\groups\PSF\PEF\FSBR2011\PEF%20FSBR201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ic.green.net\ic_data_dfs\SC\Abuse%20Vulnerable%20Adults\1.%20Guidance%20and%20Forms\2010-11\Proformas\AVA_Proformas_2010-11_v1.0.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mhclg.sharepoint.com/LGF3Data/BR/BR1/2011-12/To%20LAs/BR1%20Form%202011-12%20v1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s://mhclg.sharepoint.com/NHS%20CB/Finance/FCP/Financial%20Reporting%202013-14/Month%205/Non_ISFE_Reporting/CCG/Returns/01C_CCG_Non_ISFE_M5.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s://mhclg.sharepoint.com/NHS%20CB/Finance/FCP/Financial%20Reporting%202013-14/Month%206/Non_ISFE_Reporting/Templates/Mth%206%20-%20Non%20ISFE%20Reporting%20-%20CCG%20(Due%20WD08%20-%20%2010%20Oct%2013)v2.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mhclg.sharepoint.com/temp/CER%2013-14_Version%202.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R:\PerformanceManagementGroup\Transforming%20Rehabilitation%20Programme\Performance%20Management\Prison%20and%20Probation%20Reform%20Measures\ACC%20EMP%20Analysis\MHCLG%20analysis\MHCLG%20Analysis%20v4.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Users\RHMTFMuneer1\AppData\Local\Microsoft\Windows\INetCache\Content.Outlook\KP1MAI9F\25%20Nov%20-%20AS14%20tally.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om1.infra.int\data\Users\RHMTFMuneer1\AppData\Local\Microsoft\Windows\INetCache\Content.Outlook\KP1MAI9F\25%20Nov%20-%20AS14%20tally.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mhclg.sharepoint.com/Social%20Care%20Policy/Strategic%20Policy%20&amp;%20Finance/Analytical%20Projects/Social%20Care%20Finance/Spending%20Review%202015/101%20Funding%20Gap%20Refresh%20Summer%202016/CLG%20Budget%20data/201617%20CLG%20budget%20data.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thehealthfoundation98.sharepoint.com/DH%20Accounting/Annual%20Report/2017_18/Year%20End/Smartview/Master%20Smartview%20%2020180403%201526.xlsm"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IRF02532\Users\7222120\Copy%20of%20T%20&amp;%20S%20Monito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Users\xwv88x\AppData\Local\Microsoft\Windows\INetCache\Content.Outlook\5WTLIDDF\SABS%20OBC%20model%20v5.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https://mhclg.sharepoint.com/SWAU2/TEAM2/!DEMOGRA/DME75.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G:\Groups\PSF\EFO\Autumn%202020\Fiscal%20Tables\Analysis\Indirect%20effects\Indirect%20effects.xlsm"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lgf1live.virago.internal.dtlr.gov.uk\flgr\COMMON\99I2K\Group3\forecast\Pre%20Budget%20Reports\PBR%202006\Summer%20changes\CTPBR06L_orig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hlucas\AppData\Local\Microsoft\Windows\Temporary%20Internet%20Files\Content.Outlook\6DERNAPZ\LA%20Drop%20down.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mhclg.sharepoint.com/Users/iplanciu/AppData/Local/Microsoft/Windows/Temporary%20Internet%20Files/Content.Outlook/H582I4KC/Copy%20of%2020170808la_level_spending_pressures_v1%20(2).xlsm" TargetMode="External"/></Relationships>
</file>

<file path=xl/externalLinks/_rels/externalLink74.xml.rels><?xml version="1.0" encoding="UTF-8" standalone="yes"?>
<Relationships xmlns="http://schemas.openxmlformats.org/package/2006/relationships"><Relationship Id="rId1" Type="http://schemas.microsoft.com/office/2006/relationships/xlExternalLinkPath/xlPathMissing" Target="CTR1%20Form"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LGF3Data\Pensions%20(SF3)\2014-15\To%20Pension%20Authorities\150807%20SF3%202014-15%20final.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dom1.infra.int\data\LGF3Data\Data%20Requests\Revenue\All%20form%20data%20by%20LA\All%20RA%202011-12%20data%20by%20LA\RA%202011-12%20data%20by%20LA%20-%20Nat%20Stats%20Release%20-%2030-Jun-201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U:\System\Desktop\Dashboard%20Template%20v2.xlsm"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s://mhclg.sharepoint.com/LGF3Data/Access/NNDR3/Forms_Uploaded/Allerdale%20NNDR3%202017.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LGF3Data\NNDR%201%20-%203\NNDR3\2013-14\To%20LAs\NNDR3%20Form%202013-14%20v1.0b.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R:\HISTORY\2011\Dint201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utumn%202015\Charts%20and%20Tables\Chapter%203\NED%20AS15.xlsm"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groups\Documents%20and%20research\Economic%20and%20Fiscal%20Outlook\Autumn%202015\Charts%20and%20Tables\Chapter%203\NED%20AS15.xlsm"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s://mhclg.sharepoint.com/Social%20Care%20Policy/Strategic%20Policy%20&amp;%20Finance/Analytical%20Projects/Social%20Care%20Finance/Spending%20Review%202015/LA%20Gaps/Full%20Funding%20Gap/150811GapAnalysis.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R:\PerformanceManagementGroup\001-NOMS%20Perf%20Mgt\011-Current%20Perf\004-Mgt%20Info\23%20-%20Director%20Dashboard\NOS\FNO\Redesigned%20dashboard\Versions\Development%20versions\FNO%20Report%20v.2.4.xlsm"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306306/Council_Taxbase_local_authority_level_data_-_flexible_empty_2013.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mhclg.sharepoint.com/Data/rhmtngregory/Debt%20Interest%20PORTAL!%20Budget%202013%20R2%20(version%2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D:\Data\rhmtngregory\Debt%20Interest%20PORTAL!%20Budget%202013%20R2%20(version%20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hmt-shares.hmt.local\HMTDATA7GROUPS$\PSF\PEF\FSBR2009\Debt%20Interest\The%20Main%20Men\Debt%20Interest%20PORTAL!%20FSBR0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mhclg.sharepoint.com/PSF/PEF/PBR%202006/PEF%20PBR06.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R:\HISTORY\2013\Dint2013.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oasisdata7\homedirs\Documents%20and%20Settings\howardm\Desktop\FISCAL%20TABLES%20-%20(monday).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mhclg.sharepoint.com/PSF/FTABS/Autumn%20Forecast%202010/Live.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OASISDATA7\groups\PSF\FTABS\PBR%202005\PBR%202004\LIVE.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https://mhclg.sharepoint.com/Data/rhmtmphillips/Temp/Debt%20interest%20payments%20model%20AS14%20Round%202%20with%202014-15%20outturn.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Data\rhmtmphillips\Temp\Debt%20interest%20payments%20model%20AS14%20Round%202%20with%202014-15%20outturn.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Documents%20and%20Settings\Mike%20Earp\My%20Documents\TEF%20February%202006\July%202005%20TEF%20oil%20and%20associated%20gas%20summary%20by%20field.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https://gold.wga.gov.uk/Inetpub/wwwroot/Camelot/reports/prd/PROFORMA.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om1\data\Groups\Documents%20and%20research\Admin\Marcus\Forecast%20errors\Forecast%20Errors%20-%20autumn.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G:\Groups\Documents%20and%20research\Admin\Marcus\Forecast%20errors\Forecast%20Errors%20-%20autumn.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P:\FID-RAMA\RAMA1\Allocations\Publications\Exposition%20Books\2012-13\2012-13%20PCT%20Revenue%20Allocations%20Final.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astpkai7\dbt\KAI-Direct%20Business%20Taxes\CT%20receipts%20and%20forecasting\Receipts%20Monitoring\Monthly%20CT%20Briefing\8th%20w.d.%20Brief%20-%202019-20\Receipts%20table%20v1%20-%20SS19%20figure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mhclg.sharepoint.com/UserData$/dwylie/Documents/Modelling/170912%20Growth%20Estimates%20for%20HMT%20JC%20v3%20DW.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http://bruce/Report_Templates/SDS_Dev/CIMVIE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https://mhclg.sharepoint.com/PSF/PEF/FSBR2009/Financial%20transactions/FSBR09%20Financial%20Transactions.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C:\Users\Mike\Documents\draft%20John's%20Oil%20and%20Gas%20website%20charts%202009.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C:\LGF3F\BR\2002-03\BR1%20Forms%20and%20Notes\BR1%202002-03%20FINAL%20VERSION.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Irf03200\kai-mgt%20of%20kai-r\PerformanceScorecard\RawData\ManpowerPlanning.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Users\cpattull\AppData\Local\Microsoft\Windows\INetCache\Content.Outlook\21CM2Z1F\200720%202122%20CSP%20Settlement%20Tool%20v0.87.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Esd\Common\BISDAS6.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Users\belsmanl\AppData\Local\Microsoft\Windows\Temporary%20Internet%20Files\Content.Outlook\JF63IYZP\20160205%20Scorecard%20to%20OBR%20v2.xlsm"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Irf02534\531649\Documents%20and%20Settings\859957\My%20Documents\HMRC\Risk%20Tool.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C:\windows\temp\PROF99A.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https://mhclg.sharepoint.com/Local%20Policy%20Analysis/LGF/Business%20Rates%20Retention/Background%20files/NNDR%20Data/As%20published%20online/NNDR1_1718_LA_drop_down.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s://mhclg.sharepoint.com/LGPP/SR2015/02%20Forward%20Planning%20Programme/10%20Services%20&amp;%20Demand/Demand/Demand%20Model%20-%20using%20RO%2013%20data%20JDALLAST_CWR_KS%20EDIT_150306.TM.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Users\taylorj\AppData\Local\Microsoft\Windows\Temporary%20Internet%20Files\Content.Outlook\R7HNWZYH\Half%20yearly%20including%20annual%20estimates%20to%202013.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dom1.infra.int\data\LGF3Data\National%20Statistics%20Releases\2009-10%20RO%20zFinal%20NS%20Release\RO%202009-10%20final%20outturn%20working%20file%20(work%20in%20progress)%20v1%20for%20Linked%20Tables.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https://www.gov.uk/LGF3Data/National%20Statistics%20Releases/2009-10%20RO%20zFinal%20NS%20Release/RO%202009-10%20final%20outturn%20working%20file%20(work%20in%20progress)%20v1%20for%20Linked%20Tables.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rchive\Autumn%202015\Charts%20and%20Tables\Chapter%203\NED%20AS15.xlsm"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G:\Groups\Documents%20and%20research\Economic%20and%20Fiscal%20Outlook\Archive\Budget%202016\Charts%20and%20Tables\Chapter%202\Chapter%202.xlsm"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s://assets.publishing.service.gov.uk/government/uploads/system/uploads/attachment_data/file/740771/RS_2017-18_data_by_LA.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H:\SR%2015-16\Typologies\March%202014%20Update\150727%20TYPOLOGIES%20CENTRAL%20with%20variable%20RSG%20scenario%20corrected%20S31BR%20-%20Ks%20for%20Demand%20Model.xlsm"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C:\Users\cpattull\Downloads\LCTS_claimants_2020-21_Q2%20(2).xlsx"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cpattull\Downloads\LCTS_claimants_2019-20_Q3_revised%20(1).xlsx"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https://mhclg-my.sharepoint.com/LGF3/LGF3Data/Live%20Tables/Council%20Tax/2019-20/CT%20Receipts%20Live%20Table%20Q1%202019-20.xlsx"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teams/SC/PSS%20EX1/4.%20Working%20Tables/2009-10/BlankSummarySheets/PSS%20EX1%202005-06_v1.2_DataExtractor_2006080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https://mhclg.sharepoint.com/PSF/PEF/Post-Election/Debt%20Interest/Interest%20Receipts/4LIVE/#Interest Receipts.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https://mhclg.sharepoint.com/sites/AnalysisandData/Shared%20Documents/Local%20Policy%20Analysis%20Division%20(LPA)/LG%20Funding%20and%20Sustainability/Spending%20Review%202019/Model/RfA/190821%20distv3.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glndsv02\My%20Documents$\Documents%20and%20Settings\85684901\Local%20Settings\Temp\wz4693\2009%20Input%20Model%20start%202013-14_170709_base.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Users\Mike\Documents\John's%20Oil%20and%20Gas%20website%20charts%202016%20-%20ME%20version%20(September%202017%20TEF%20update).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C:\UserData2$\mning\Documents\0_Fin%20Model%20Resilience\Demand%20Model%20-%20using%20RO%2013%20data%20-%20post-ET%20update%20v3%20-%20removing%20offsets%20-%20Risk%20model%20outputs.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G:\Groups\Documents%20and%20research\Fiscal%20Sustainability%20Report\Fiscal%20sustainability%20report%202020\Charts%20and%20tables\Chapter%202%20(Economy)\Updated%20NED%20FSR20.xlsm"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1311%20KAI_vHub_November.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ABW1\ROOTFS1\FS\UK%20Defence%20Statistics\2011\Table%20Frames\Copy%20of%2020110526-NS_UKDS%202011%20Chapter%201%20Version%203-U.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C:\Lgfpnet\Spending%20Power\2016-17%20to%202019-20\Public%20Tables\Final%20Settlement\160201%20Core%20Spending%20Power%20FINAL%20SETTLEMENT.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asdlondon\asd4bpes\ASDForecasting\Forecasts\Pes2002\PBR\ReadyReckoner\Ready%20Reckoner%20for%20PBR%202002%2018%20Nov.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IRF50206\Users\TEMP\Financial%20Reporting%20and%20Accounting%20Development\Financial%20Accounting%20Services\Accounts%20Production\Resource%20Accounts\2001-02\Accounts%20Test%20Area\Consolidated%20RA%2001-02%20draft%20based%20on%20core%20v05Test.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cn\share\BFMD\BFMD1\Forecasting%20Rounds\PBR%202005\PBR%202005\Audit%20Trail\PBR%202005%20Audit%20trail.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G:\Groups\Documents%20and%20research\Forecast%20Evaluation%20Report\2018\Charts%20and%20tables\Chapter%203\FER%20Chapter%203%20Charts%20&amp;%20Tables.xlsm"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Y:\temp\Working%20files\6.11.9%20DW%20LHA%20&amp;%20HA%20roads%20casulties_1WIP.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P:\rkyv\CheckOut\Long-term%20model%202009%7bdb5-doc3966101-ma1-mi14%7d.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steadsp002.desktop21.dclg.gov.uk\dclgdfs\SharedData4$\LDG\Lgf\LGFPNET\Lgfpnet\Spending%20Power\2016-17%20to%202019-20\Inputs\iBCF\161108%20iBCF%20allocation%20comparison.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LGF3Data\NNDR%201%20-%203\NNDR1\2015-16\Other\141128-Council-tax-dwellings-2015-16-form-Wales.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Community%20activity\Templates\120503%20M147%20Community%20Activity%20-%20April%202011-12.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oasisdata7\homedirs\USR\Keymac\Tables\1gdpoutpt.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oasisdata7\homedirs\USR\Keymac\Tables\11intrat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oasisdata7\homedirs\USR\Keymac\Tables\7exchrate.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oasisdata7\homedirs\USR\Keymac\Tables\2CONSEXP.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oasisdata7\homedirs\USR\Keymac\Tables\3othergdp.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oasisdata7\homedirs\USR\Keymac\Tables\4employmt.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oasisdata7\homedirs\USR\Keymac\Tables\5PRICES.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oasisdata7\homedirs\USR\Keymac\Tables\6worldcon.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oasisdata7\homedirs\USR\Keymac\Tables\9SECTBAL.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oasisdata7\homedirs\USR\Keymac\Tables\10psexpinc.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glndsv02\My%20Documents$\PSF\C\Monthly%20PSA\ANT\ANT%203.2.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https://mhclg.sharepoint.com/NHS%20CB/Finance/FCP/Financial%20Reporting%202014-15/Month%2012/Non_ISFE_Reporting/CCG/Consolidation/Non%20ISFE%20-%20CCG%20-%20All%20Sheets%20Consolidation%20-%20Month13%2014-15.xlsm"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4.2%20Redn%20in%20cost%20base\Template\120424%20Period%2013.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623097/RA_2017-18_data_by_LA.xlsx"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https://mhclg.sharepoint.com/Plan/2014-15%20Planning%20Round/Analytical%20Workbooks/Plan%20Differences/Activity%20Plan/Com%20Only%20Differences/Difference%20in%20submissions.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Travel%20Greenhouse%20Gasses\Template\Travel%20Green%20House%20Gas%20Emissions_Feb12.xls" TargetMode="External"/></Relationships>
</file>

<file path=xl/externalLinks/_rels/externalLink160.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397005/Revenue_Outturn__RO3__data_2008-09_by_LA_-_Revised_17-Nov-201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Irf03200\kai-mgt%20of%20kai-r\KAI%20Performance%20Hub\2012-13\Data\Outcome\CustomerProject%20Satisfaction\Overall_Project_Satisfaction_update_2012-13%20v2.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B:\DELBOOK%20sl1501c.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glndsv02\obr\groups\Documents%20and%20research\Economic%20and%20Fiscal%20Outlook\Autumn%202011\Charts%20and%20tables\Fiscal%20Table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https://mhclg.sharepoint.com/LGF3Analysis/Spending%20Power/2015-16%20settlement/Model%20Development/140915%20Spending%20Power%202015-16%20working%20file%20NOOR.xlsx"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https://mhclg.sharepoint.com/FLGR/Rate%20Retention%20Analysis/NNDR1%202014-15/Analysis/Levy%20and%20Safety%20net%20calculations/winnt/temp/wz4c0a/Central%20and%20Local%20Rating%20Lists%20Summary%20All%20Tables%20(FINAL).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Users\obren\Downloads\Policy_measures_database_March_2019_v2.xlsx"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C:\TEMP\04Sept09.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https://mhclg.sharepoint.com/SIS/Julia%20Terry/Council%20Tax/BillingTables.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https://mhclg.sharepoint.com/NHS%20CB/Finance/FCP/Financial%20Reporting%202014-15/Month%203/Non_ISFE_Reporting/Templates/CCG_Non_ISFE_Mxx_sample%20v2%205.xlsx"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OLKE3\KAI%20Wow%202014-15.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https://mhclg.sharepoint.com/NHS%20CB/Finance/FCP/Financial%20Reporting%202014-15/Month%2011/Non_ISFE_Reporting/Unaltered/CCG/00D_CCG_Non_ISFE_M11.xlsx"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aglndsv02\OBR\WINDOWS\TEMP\PD\PD1099.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P:\rkyv\Open\Key%20Macroeconomic%20Indicator%20spreadsheet.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Users\swalsh3\Downloads\1718972.xls" TargetMode="External"/></Relationships>
</file>

<file path=xl/externalLinks/_rels/externalLink176.xml.rels><?xml version="1.0" encoding="UTF-8" standalone="yes"?>
<Relationships xmlns="http://schemas.openxmlformats.org/package/2006/relationships"><Relationship Id="rId2" Type="http://schemas.openxmlformats.org/officeDocument/2006/relationships/externalLinkPath" Target="https://thehealthfoundation98.sharepoint.com/sites/thf_project/projects_programmes/00580/Delivery/NHS%20pay%20projections%20and%20nurse%20demand%20and%20supply%20projections/Workforce%20Pay%20Analysis.xlsx" TargetMode="External"/><Relationship Id="rId1" Type="http://schemas.openxmlformats.org/officeDocument/2006/relationships/externalLinkPath" Target="https://thehealthfoundation98.sharepoint.com/sites/thf_project/projects_programmes/00580/Delivery/NHS%20pay%20projections%20and%20nurse%20demand%20and%20supply%20projections/Workforce%20Pay%20Analysis.xlsx"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PubPensions\Public%20Finances\Election%202017\Health\Data\pop_numbers_0922_v2.xlsx"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Users\stephenr\Downloads\NHS%20Sickness%20Absence%20rates,%20May%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BR_data_(current)"/>
      <sheetName val="OBR_data_(previous)"/>
      <sheetName val="AS15"/>
      <sheetName val="curr_-_prev"/>
      <sheetName val="curr_-_AS15"/>
      <sheetName val="Charts"/>
      <sheetName val="Charts_data"/>
      <sheetName val="PTM_Income_Projections"/>
      <sheetName val="NICs"/>
      <sheetName val="IHT"/>
      <sheetName val="PAYE"/>
      <sheetName val="SA"/>
      <sheetName val="old_SA"/>
      <sheetName val="IT_Rep"/>
      <sheetName val="Analysis_determinants_data_-_CK"/>
      <sheetName val="Analysis_determinants_table_-CK"/>
      <sheetName val="OBR_data_(current)2"/>
      <sheetName val="OBR_data_(previous)2"/>
      <sheetName val="curr_-_prev2"/>
      <sheetName val="curr_-_AS152"/>
      <sheetName val="Charts_data2"/>
      <sheetName val="PTM_Income_Projections2"/>
      <sheetName val="old_SA2"/>
      <sheetName val="IT_Rep2"/>
      <sheetName val="Analysis_determinants_data_-_C2"/>
      <sheetName val="Analysis_determinants_table_-C2"/>
      <sheetName val="OBR_data_(current)1"/>
      <sheetName val="OBR_data_(previous)1"/>
      <sheetName val="curr_-_prev1"/>
      <sheetName val="curr_-_AS151"/>
      <sheetName val="Charts_data1"/>
      <sheetName val="PTM_Income_Projections1"/>
      <sheetName val="old_SA1"/>
      <sheetName val="IT_Rep1"/>
      <sheetName val="Analysis_determinants_data_-_C1"/>
      <sheetName val="Analysis_determinants_table_-C1"/>
      <sheetName val="OBR data (current)"/>
      <sheetName val="OBR data (previous)"/>
      <sheetName val="curr - prev"/>
      <sheetName val="curr - AS15"/>
      <sheetName val="Charts data"/>
      <sheetName val="PTM Income Projections"/>
      <sheetName val="old SA"/>
      <sheetName val="IT Rep"/>
      <sheetName val="Analysis determinants data - CK"/>
      <sheetName val="Analysis determinants table -C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 Yr PBR07"/>
      <sheetName val="Fin Yr T PBR07"/>
      <sheetName val="OUTTURNS"/>
      <sheetName val="OT"/>
      <sheetName val="Contents (2)"/>
      <sheetName val="Contents"/>
      <sheetName val="PC1"/>
      <sheetName val="PC2"/>
      <sheetName val="PC12"/>
      <sheetName val="XXPC20"/>
      <sheetName val="PC25"/>
      <sheetName val="PC38"/>
      <sheetName val="PC39"/>
      <sheetName val="PC40"/>
      <sheetName val="PC41"/>
      <sheetName val="PC41a"/>
      <sheetName val="PC41b"/>
      <sheetName val="PC43"/>
      <sheetName val="PC44"/>
      <sheetName val="PC45"/>
      <sheetName val="PC46"/>
      <sheetName val="PC47"/>
      <sheetName val="PC48"/>
      <sheetName val="PC49"/>
      <sheetName val="PC50"/>
      <sheetName val="XXPC51"/>
      <sheetName val="XXPC57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bless mismatch (regions) (sh)"/>
      <sheetName val="Industry Main"/>
      <sheetName val="Jobless mismatch (main)"/>
      <sheetName val="Regions Main"/>
      <sheetName val="Region claimant account (share)"/>
      <sheetName val="Region claimant account"/>
      <sheetName val="Region vacancies (Share)"/>
      <sheetName val="Region vacancies"/>
      <sheetName val="VAC02"/>
      <sheetName val="Unemp by prev job levels"/>
      <sheetName val="Unemp by prev job rates"/>
      <sheetName val="Jobless mismatch"/>
      <sheetName val="Sheet4"/>
      <sheetName val="Jobless mismatch (regions)"/>
      <sheetName val="Industry Main (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 val="Model_inputs4"/>
      <sheetName val="Determinant_analysis4"/>
      <sheetName val="Model_output4"/>
      <sheetName val="CTA_output4"/>
      <sheetName val="Model_growth_rates4"/>
      <sheetName val="HIC_Total4"/>
      <sheetName val="FIN_Total4"/>
      <sheetName val="Main_calcs4"/>
      <sheetName val="CT_on_gains4"/>
      <sheetName val="A9_summary4"/>
      <sheetName val="GR_regressions4"/>
      <sheetName val="L-P_regressions4"/>
      <sheetName val="Chart_3_114"/>
      <sheetName val="Exec_Summary4"/>
      <sheetName val="Buget_Reconciliation_page1"/>
      <sheetName val="Data Variables"/>
      <sheetName val="Savings Uplifts"/>
      <sheetName val="Lookup"/>
      <sheetName val="Model_inputs5"/>
      <sheetName val="Determinant_analysis5"/>
      <sheetName val="Model_output5"/>
      <sheetName val="CTA_output5"/>
      <sheetName val="Model_growth_rates5"/>
      <sheetName val="HIC_Total5"/>
      <sheetName val="FIN_Total5"/>
      <sheetName val="Main_calcs5"/>
      <sheetName val="CT_on_gains5"/>
      <sheetName val="A9_summary5"/>
      <sheetName val="GR_regressions5"/>
      <sheetName val="L-P_regressions5"/>
      <sheetName val="Chart_3_115"/>
      <sheetName val="Exec_Summary5"/>
      <sheetName val="Buget_Reconciliation_page2"/>
      <sheetName val="Data_Variables"/>
      <sheetName val="Savings_Uplifts"/>
      <sheetName val="GDP forecast"/>
      <sheetName val="CTPBR06L_original"/>
      <sheetName val="Model_inputs6"/>
      <sheetName val="Determinant_analysis6"/>
      <sheetName val="Model_output6"/>
      <sheetName val="CTA_output6"/>
      <sheetName val="Model_growth_rates6"/>
      <sheetName val="HIC_Total6"/>
      <sheetName val="FIN_Total6"/>
      <sheetName val="Main_calcs6"/>
      <sheetName val="CT_on_gains6"/>
      <sheetName val="A9_summary6"/>
      <sheetName val="GR_regressions6"/>
      <sheetName val="L-P_regressions6"/>
      <sheetName val="Chart_3_116"/>
      <sheetName val="Exec_Summary6"/>
      <sheetName val="Buget_Reconciliation_page3"/>
      <sheetName val="Data_Variables1"/>
      <sheetName val="Savings_Uplifts1"/>
      <sheetName val="CHGSPD19.FIN"/>
      <sheetName val="T3 Page 1"/>
      <sheetName val="HIS19FIN(A)"/>
      <sheetName val="FC Page 1"/>
      <sheetName val="4.6 ten year bonds"/>
      <sheetName val="Population"/>
      <sheetName val="UK99"/>
      <sheetName val="IPE-Data-from webpage"/>
      <sheetName val="Wholesale Raw"/>
      <sheetName val="1.1"/>
      <sheetName val="Carbon Budget clearance (Nov)"/>
      <sheetName val="Forecast data"/>
      <sheetName val="Data"/>
      <sheetName val="weekly"/>
      <sheetName val="SUMMARY TABLE"/>
      <sheetName val="USGC"/>
      <sheetName val="BR1 Form"/>
      <sheetName val="Section A"/>
      <sheetName val="CTB Form"/>
      <sheetName val="Part 1"/>
      <sheetName val="151120 ASC bill diff regional"/>
      <sheetName val="Table5.1 LRL North East"/>
      <sheetName val="Model_inputs7"/>
      <sheetName val="Determinant_analysis7"/>
      <sheetName val="Model_output7"/>
      <sheetName val="CTA_output7"/>
      <sheetName val="Model_growth_rates7"/>
      <sheetName val="HIC_Total7"/>
      <sheetName val="FIN_Total7"/>
      <sheetName val="Main_calcs7"/>
      <sheetName val="CT_on_gains7"/>
      <sheetName val="A9_summary7"/>
      <sheetName val="GR_regressions7"/>
      <sheetName val="L-P_regressions7"/>
      <sheetName val="Chart_3_117"/>
      <sheetName val="Exec_Summary7"/>
      <sheetName val="Buget_Reconciliation_page4"/>
      <sheetName val="Charts_BRC pri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 val="Data validation"/>
      <sheetName val="Forecast_data"/>
      <sheetName val="Intro_-_read_first"/>
      <sheetName val="Imp_VAT"/>
      <sheetName val="Home_VAT"/>
      <sheetName val="Reb_oils"/>
      <sheetName val="Tables_1_&amp;_2"/>
      <sheetName val="Daily_(2)"/>
      <sheetName val="CGBR_table"/>
      <sheetName val="BIS_table"/>
      <sheetName val="Tob_accs"/>
      <sheetName val="Acc_adj"/>
      <sheetName val="Forecast_data1"/>
      <sheetName val="Intro_-_read_first1"/>
      <sheetName val="Imp_VAT1"/>
      <sheetName val="Home_VAT1"/>
      <sheetName val="Reb_oils1"/>
      <sheetName val="Tables_1_&amp;_21"/>
      <sheetName val="Daily_(2)1"/>
      <sheetName val="CGBR_table1"/>
      <sheetName val="BIS_table1"/>
      <sheetName val="Tob_accs1"/>
      <sheetName val="Acc_adj1"/>
      <sheetName val="Data_validation"/>
      <sheetName val="CV"/>
      <sheetName val="Forecast_data2"/>
      <sheetName val="Intro_-_read_first2"/>
      <sheetName val="Imp_VAT2"/>
      <sheetName val="Home_VAT2"/>
      <sheetName val="Reb_oils2"/>
      <sheetName val="Tables_1_&amp;_22"/>
      <sheetName val="Daily_(2)2"/>
      <sheetName val="CGBR_table2"/>
      <sheetName val="BIS_table2"/>
      <sheetName val="Tob_accs2"/>
      <sheetName val="Acc_adj2"/>
      <sheetName val="Data_validation1"/>
      <sheetName val="Forecast_data3"/>
      <sheetName val="Intro_-_read_first3"/>
      <sheetName val="Imp_VAT3"/>
      <sheetName val="Home_VAT3"/>
      <sheetName val="Reb_oils3"/>
      <sheetName val="Tables_1_&amp;_23"/>
      <sheetName val="Daily_(2)3"/>
      <sheetName val="CGBR_table3"/>
      <sheetName val="BIS_table3"/>
      <sheetName val="Tob_accs3"/>
      <sheetName val="Acc_adj3"/>
      <sheetName val="Data_validation2"/>
      <sheetName val="Master Development Programme"/>
      <sheetName val="Commercial - Projects"/>
      <sheetName val="Project timeline"/>
      <sheetName val="Calendar"/>
      <sheetName val="About"/>
      <sheetName val="Team contact details"/>
      <sheetName val="Land Ownership"/>
      <sheetName val="Plot-level breakdowns"/>
      <sheetName val="Corporate Plan"/>
      <sheetName val="calcs"/>
      <sheetName val="Model inputs"/>
      <sheetName val="Master_Development_Programme"/>
      <sheetName val="Commercial_-_Projects"/>
      <sheetName val="Project_timeline"/>
      <sheetName val="Team_contact_details"/>
      <sheetName val="Land_Ownership"/>
      <sheetName val="Plot-level_breakdowns"/>
      <sheetName val="Corporate_Plan"/>
      <sheetName val="Forecast_data4"/>
      <sheetName val="Intro_-_read_first4"/>
      <sheetName val="Imp_VAT4"/>
      <sheetName val="Home_VAT4"/>
      <sheetName val="Reb_oils4"/>
      <sheetName val="Tables_1_&amp;_24"/>
      <sheetName val="Daily_(2)4"/>
      <sheetName val="CGBR_table4"/>
      <sheetName val="BIS_table4"/>
      <sheetName val="Tob_accs4"/>
      <sheetName val="Acc_adj4"/>
      <sheetName val="Data_validation3"/>
      <sheetName val="Master_Development_Programme1"/>
      <sheetName val="Commercial_-_Projects1"/>
      <sheetName val="Project_timeline1"/>
      <sheetName val="Team_contact_details1"/>
      <sheetName val="Land_Ownership1"/>
      <sheetName val="Plot-level_breakdowns1"/>
      <sheetName val="Corporate_Pla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 val="FertAssChar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REP2000"/>
      <sheetName val="#REF"/>
    </sheetNames>
    <sheetDataSet>
      <sheetData sheetId="0"/>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GSPD19.FIN"/>
      <sheetName val="CHGSPD19_FIN"/>
      <sheetName val="Data"/>
      <sheetName val="CHGSPD19_FIN1"/>
      <sheetName val="CHGSPD19_FIN2"/>
      <sheetName val="CHGSPD19_FIN3"/>
    </sheetNames>
    <sheetDataSet>
      <sheetData sheetId="0" refreshError="1"/>
      <sheetData sheetId="1"/>
      <sheetData sheetId="2" refreshError="1"/>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GSPD19.FIN"/>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_versus_actuals"/>
      <sheetName val="quarterly"/>
      <sheetName val="estimation"/>
      <sheetName val="quarterly_accuracy"/>
      <sheetName val="annually"/>
      <sheetName val="occurrences_-long_term+feathers"/>
      <sheetName val="occurrences_-_long_term_A4"/>
      <sheetName val="occurrences-_recent_&amp;_projected"/>
      <sheetName val="Comparison-Pop_Trends"/>
      <sheetName val="estimates versus actuals"/>
      <sheetName val="quarterly accuracy"/>
      <sheetName val="occurrences -long term+feathers"/>
      <sheetName val="occurrences - long term A4"/>
      <sheetName val="occurrences- recent &amp; projected"/>
      <sheetName val="Comparison-Pop Trends"/>
      <sheetName val="estimates_versus_actuals1"/>
      <sheetName val="quarterly_accuracy1"/>
      <sheetName val="occurrences_-long_term+feather1"/>
      <sheetName val="occurrences_-_long_term_A41"/>
      <sheetName val="occurrences-_recent_&amp;_projecte1"/>
      <sheetName val="Comparison-Pop_Trends1"/>
      <sheetName val="estimates_versus_actuals2"/>
      <sheetName val="quarterly_accuracy2"/>
      <sheetName val="occurrences_-long_term+feather2"/>
      <sheetName val="occurrences_-_long_term_A42"/>
      <sheetName val="occurrences-_recent_&amp;_projecte2"/>
      <sheetName val="Comparison-Pop_Trends2"/>
      <sheetName val="estimates_versus_actuals3"/>
      <sheetName val="quarterly_accuracy3"/>
      <sheetName val="occurrences_-long_term+feather3"/>
      <sheetName val="occurrences_-_long_term_A43"/>
      <sheetName val="occurrences-_recent_&amp;_projecte3"/>
      <sheetName val="Comparison-Pop_Trends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CHGSPD19.FIN"/>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 val="External_Inputs4"/>
      <sheetName val="FAS_Page_14"/>
      <sheetName val="FIN_L-P_regression4"/>
      <sheetName val="HIC_L-P_regression4"/>
      <sheetName val="FIN_Rates4"/>
      <sheetName val="Building_Societies4"/>
      <sheetName val="Rest_of_FIN4"/>
      <sheetName val="FIN_Total4"/>
      <sheetName val="HIC_Rates4"/>
      <sheetName val="HIC_Total4"/>
      <sheetName val="FC_Page_14"/>
      <sheetName val="T3_Page_14"/>
      <sheetName val="diff_with_last4"/>
      <sheetName val="Budget_2005_measures4"/>
      <sheetName val="PBR_2004_measures4"/>
      <sheetName val="Previous_Measures4"/>
      <sheetName val="NG_DATA4"/>
      <sheetName val="NG_HIC_R7_34"/>
      <sheetName val="NG_HIC_R9_34"/>
      <sheetName val="NG_FIN_RA_34"/>
      <sheetName val="NG_FIN_RC_34"/>
      <sheetName val="CHGSPD19_FIN2"/>
      <sheetName val="External_Inputs5"/>
      <sheetName val="FAS_Page_15"/>
      <sheetName val="FIN_L-P_regression5"/>
      <sheetName val="HIC_L-P_regression5"/>
      <sheetName val="FIN_Rates5"/>
      <sheetName val="Building_Societies5"/>
      <sheetName val="Rest_of_FIN5"/>
      <sheetName val="FIN_Total5"/>
      <sheetName val="HIC_Rates5"/>
      <sheetName val="HIC_Total5"/>
      <sheetName val="FC_Page_15"/>
      <sheetName val="T3_Page_15"/>
      <sheetName val="diff_with_last5"/>
      <sheetName val="Budget_2005_measures5"/>
      <sheetName val="PBR_2004_measures5"/>
      <sheetName val="Previous_Measures5"/>
      <sheetName val="NG_DATA5"/>
      <sheetName val="NG_HIC_R7_35"/>
      <sheetName val="NG_HIC_R9_35"/>
      <sheetName val="NG_FIN_RA_35"/>
      <sheetName val="NG_FIN_RC_35"/>
      <sheetName val="CHGSPD19_FIN3"/>
      <sheetName val="External_Inputs6"/>
      <sheetName val="FAS_Page_16"/>
      <sheetName val="FIN_L-P_regression6"/>
      <sheetName val="HIC_L-P_regression6"/>
      <sheetName val="FIN_Rates6"/>
      <sheetName val="Building_Societies6"/>
      <sheetName val="Rest_of_FIN6"/>
      <sheetName val="FIN_Total6"/>
      <sheetName val="HIC_Rates6"/>
      <sheetName val="HIC_Total6"/>
      <sheetName val="FC_Page_16"/>
      <sheetName val="T3_Page_16"/>
      <sheetName val="diff_with_last6"/>
      <sheetName val="Budget_2005_measures6"/>
      <sheetName val="PBR_2004_measures6"/>
      <sheetName val="Previous_Measures6"/>
      <sheetName val="NG_DATA6"/>
      <sheetName val="NG_HIC_R7_36"/>
      <sheetName val="NG_HIC_R9_36"/>
      <sheetName val="NG_FIN_RA_36"/>
      <sheetName val="NG_FIN_RC_36"/>
      <sheetName val="CHGSPD19_FIN4"/>
      <sheetName val="weekly"/>
      <sheetName val="Drop Down"/>
      <sheetName val="External_Inputs7"/>
      <sheetName val="FAS_Page_17"/>
      <sheetName val="FIN_L-P_regression7"/>
      <sheetName val="HIC_L-P_regression7"/>
      <sheetName val="FIN_Rates7"/>
      <sheetName val="Building_Societies7"/>
      <sheetName val="Rest_of_FIN7"/>
      <sheetName val="FIN_Total7"/>
      <sheetName val="HIC_Rates7"/>
      <sheetName val="HIC_Total7"/>
      <sheetName val="FC_Page_17"/>
      <sheetName val="T3_Page_17"/>
      <sheetName val="diff_with_last7"/>
      <sheetName val="Budget_2005_measures7"/>
      <sheetName val="PBR_2004_measures7"/>
      <sheetName val="Previous_Measures7"/>
      <sheetName val="NG_DATA7"/>
      <sheetName val="NG_HIC_R7_37"/>
      <sheetName val="NG_HIC_R9_37"/>
      <sheetName val="NG_FIN_RA_37"/>
      <sheetName val="NG_FIN_RC_37"/>
      <sheetName val="CHGSPD19_FIN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19FIN(A)"/>
      <sheetName val="T3 Page 1"/>
      <sheetName val="FC Page 1"/>
      <sheetName val="4.6 ten year bonds"/>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19FIN(A)"/>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QsYs"/>
      <sheetName val="Formatting"/>
      <sheetName val="SUMMARY_TABLE"/>
      <sheetName val="ET_TABLE"/>
      <sheetName val="SUMMARY_TABLE1"/>
      <sheetName val="ET_TABLE1"/>
      <sheetName val="GDP forecast"/>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HIS19FIN(A)"/>
      <sheetName val="SUMMARY_TABLE"/>
      <sheetName val="ET_TABLE"/>
      <sheetName val="SUMMARY_TABLE1"/>
      <sheetName val="ET_TABLE1"/>
      <sheetName val="SUMMARY_TABLE2"/>
      <sheetName val="ET_TABLE2"/>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Q5"/>
      <sheetName val="SUMMARY TABLE"/>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RPW_Graphics1"/>
      <sheetName val="USGC_Chart_21"/>
      <sheetName val="USGC_Chart_31"/>
      <sheetName val="USGC_Chart1"/>
      <sheetName val="Singapore_Chart1"/>
      <sheetName val="Rott_-_ARA_Chart1"/>
      <sheetName val="NYHB_Resid_vs_Gas1"/>
      <sheetName val="USGC_Resid_vs_Gas1"/>
      <sheetName val="Notional_Cracking_Margins_Char1"/>
      <sheetName val="Comparison_Graphs1"/>
      <sheetName val="RPW_Annual1"/>
      <sheetName val="Rotterdam_-_ARA_Barges1"/>
      <sheetName val="Prices_in_3_Markets_1"/>
      <sheetName val="Price_Comparison_Charts1"/>
      <sheetName val="Inter-Product_in_3_Markets1"/>
      <sheetName val="Crude_Forecast1"/>
      <sheetName val="FOB_Med1"/>
      <sheetName val="Y-T-D_Daily1"/>
      <sheetName val="Mogas-Dist_Margins1"/>
      <sheetName val="RPW_Graphics2"/>
      <sheetName val="USGC_Chart_22"/>
      <sheetName val="USGC_Chart_32"/>
      <sheetName val="USGC_Chart2"/>
      <sheetName val="Singapore_Chart2"/>
      <sheetName val="Rott_-_ARA_Chart2"/>
      <sheetName val="NYHB_Resid_vs_Gas2"/>
      <sheetName val="USGC_Resid_vs_Gas2"/>
      <sheetName val="Notional_Cracking_Margins_Char2"/>
      <sheetName val="Comparison_Graphs2"/>
      <sheetName val="RPW_Annual2"/>
      <sheetName val="Rotterdam_-_ARA_Barges2"/>
      <sheetName val="Prices_in_3_Markets_2"/>
      <sheetName val="Price_Comparison_Charts2"/>
      <sheetName val="Inter-Product_in_3_Markets2"/>
      <sheetName val="Crude_Forecast2"/>
      <sheetName val="FOB_Med2"/>
      <sheetName val="Y-T-D_Daily2"/>
      <sheetName val="Mogas-Dist_Margins2"/>
      <sheetName val="RPW_Graphics3"/>
      <sheetName val="USGC_Chart_23"/>
      <sheetName val="USGC_Chart_33"/>
      <sheetName val="USGC_Chart3"/>
      <sheetName val="Singapore_Chart3"/>
      <sheetName val="Rott_-_ARA_Chart3"/>
      <sheetName val="NYHB_Resid_vs_Gas3"/>
      <sheetName val="USGC_Resid_vs_Gas3"/>
      <sheetName val="Notional_Cracking_Margins_Char3"/>
      <sheetName val="Comparison_Graphs3"/>
      <sheetName val="RPW_Annual3"/>
      <sheetName val="Rotterdam_-_ARA_Barges3"/>
      <sheetName val="Prices_in_3_Markets_3"/>
      <sheetName val="Price_Comparison_Charts3"/>
      <sheetName val="Inter-Product_in_3_Markets3"/>
      <sheetName val="Crude_Forecast3"/>
      <sheetName val="FOB_Med3"/>
      <sheetName val="Y-T-D_Daily3"/>
      <sheetName val="Mogas-Dist_Margins3"/>
      <sheetName val="Accuracy Calc"/>
      <sheetName val="Accuracy_Calc"/>
      <sheetName val="RPW_Graphics4"/>
      <sheetName val="USGC_Chart_24"/>
      <sheetName val="USGC_Chart_34"/>
      <sheetName val="USGC_Chart4"/>
      <sheetName val="Singapore_Chart4"/>
      <sheetName val="Rott_-_ARA_Chart4"/>
      <sheetName val="NYHB_Resid_vs_Gas4"/>
      <sheetName val="USGC_Resid_vs_Gas4"/>
      <sheetName val="Notional_Cracking_Margins_Char4"/>
      <sheetName val="Comparison_Graphs4"/>
      <sheetName val="RPW_Annual4"/>
      <sheetName val="Rotterdam_-_ARA_Barges4"/>
      <sheetName val="Prices_in_3_Markets_4"/>
      <sheetName val="Price_Comparison_Charts4"/>
      <sheetName val="Inter-Product_in_3_Markets4"/>
      <sheetName val="Crude_Forecast4"/>
      <sheetName val="FOB_Med4"/>
      <sheetName val="Y-T-D_Daily4"/>
      <sheetName val="Mogas-Dist_Margins4"/>
      <sheetName val="SUMMARY_TABLE"/>
      <sheetName val="RPW_Graphics5"/>
      <sheetName val="USGC_Chart_25"/>
      <sheetName val="USGC_Chart_35"/>
      <sheetName val="USGC_Chart5"/>
      <sheetName val="Singapore_Chart5"/>
      <sheetName val="Rott_-_ARA_Chart5"/>
      <sheetName val="NYHB_Resid_vs_Gas5"/>
      <sheetName val="USGC_Resid_vs_Gas5"/>
      <sheetName val="Notional_Cracking_Margins_Char5"/>
      <sheetName val="Comparison_Graphs5"/>
      <sheetName val="RPW_Annual5"/>
      <sheetName val="Rotterdam_-_ARA_Barges5"/>
      <sheetName val="Prices_in_3_Markets_5"/>
      <sheetName val="Price_Comparison_Charts5"/>
      <sheetName val="Inter-Product_in_3_Markets5"/>
      <sheetName val="Crude_Forecast5"/>
      <sheetName val="FOB_Med5"/>
      <sheetName val="Y-T-D_Daily5"/>
      <sheetName val="Mogas-Dist_Margins5"/>
      <sheetName val="SUMMARY_TABLE1"/>
      <sheetName val="Accuracy_Calc1"/>
      <sheetName val="RPW_Graphics6"/>
      <sheetName val="USGC_Chart_26"/>
      <sheetName val="USGC_Chart_36"/>
      <sheetName val="USGC_Chart6"/>
      <sheetName val="Singapore_Chart6"/>
      <sheetName val="Rott_-_ARA_Chart6"/>
      <sheetName val="NYHB_Resid_vs_Gas6"/>
      <sheetName val="USGC_Resid_vs_Gas6"/>
      <sheetName val="Notional_Cracking_Margins_Char6"/>
      <sheetName val="Comparison_Graphs6"/>
      <sheetName val="RPW_Annual6"/>
      <sheetName val="Rotterdam_-_ARA_Barges6"/>
      <sheetName val="Prices_in_3_Markets_6"/>
      <sheetName val="Price_Comparison_Charts6"/>
      <sheetName val="Inter-Product_in_3_Markets6"/>
      <sheetName val="Crude_Forecast6"/>
      <sheetName val="FOB_Med6"/>
      <sheetName val="Y-T-D_Daily6"/>
      <sheetName val="Mogas-Dist_Margins6"/>
      <sheetName val="SUMMARY_TABLE2"/>
      <sheetName val="Accuracy_Calc2"/>
      <sheetName val="fig_XX_YY"/>
      <sheetName val="LKP_INDEX"/>
      <sheetName val="Data for lists"/>
      <sheetName val="Data_for_lists"/>
      <sheetName val="Data_for_lists1"/>
      <sheetName val="Data_for_lists2"/>
      <sheetName val="Sec1.0"/>
      <sheetName val="Scenario inputs"/>
      <sheetName val="RUL Selection"/>
      <sheetName val="Lists"/>
      <sheetName val="RPW_Graphics7"/>
      <sheetName val="USGC_Chart_27"/>
      <sheetName val="USGC_Chart_37"/>
      <sheetName val="USGC_Chart7"/>
      <sheetName val="Singapore_Chart7"/>
      <sheetName val="Rott_-_ARA_Chart7"/>
      <sheetName val="NYHB_Resid_vs_Gas7"/>
      <sheetName val="USGC_Resid_vs_Gas7"/>
      <sheetName val="Notional_Cracking_Margins_Char7"/>
      <sheetName val="Comparison_Graphs7"/>
      <sheetName val="RPW_Annual7"/>
      <sheetName val="Rotterdam_-_ARA_Barges7"/>
      <sheetName val="Prices_in_3_Markets_7"/>
      <sheetName val="Price_Comparison_Charts7"/>
      <sheetName val="Inter-Product_in_3_Markets7"/>
      <sheetName val="Crude_Forecast7"/>
      <sheetName val="FOB_Med7"/>
      <sheetName val="Y-T-D_Daily7"/>
      <sheetName val="Mogas-Dist_Margins7"/>
      <sheetName val="SUMMARY_TABLE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AJ4" t="str">
            <v>LS</v>
          </cell>
        </row>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sheetData sheetId="180"/>
      <sheetData sheetId="18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Proportions"/>
      <sheetName val="Comparison"/>
      <sheetName val="CGBR table"/>
      <sheetName val="BIS table"/>
      <sheetName val="Tob accs"/>
      <sheetName val="Accruals"/>
      <sheetName val="Acc adj"/>
      <sheetName val="Assumptions"/>
      <sheetName val="table"/>
      <sheetName val="CHGSPD19.FIN"/>
      <sheetName val="T3 Page 1"/>
      <sheetName val="HIS19FIN(A)"/>
      <sheetName val="FC Page 1"/>
      <sheetName val="USGC"/>
      <sheetName val="T&amp;S"/>
      <sheetName val="Matrix"/>
      <sheetName val="AME"/>
      <sheetName val="4.6 ten year bonds"/>
      <sheetName val="Full Data"/>
      <sheetName val="Lists"/>
      <sheetName val="CDEL"/>
      <sheetName val="Menus"/>
      <sheetName val="Ch4 Exp"/>
      <sheetName val="LIVE"/>
      <sheetName val="Data (monthly)"/>
      <sheetName val="Download"/>
      <sheetName val="Dint 13"/>
      <sheetName val="Determinants"/>
      <sheetName val="CT Forecast"/>
      <sheetName val="RDEL"/>
      <sheetName val="Outturns"/>
      <sheetName val="Ratings and Bandings"/>
      <sheetName val="Date ref"/>
      <sheetName val="Nominal Descriptions"/>
      <sheetName val="Population"/>
      <sheetName val="Data Cal 1213"/>
      <sheetName val="Qtrly Data"/>
      <sheetName val="Receipts"/>
      <sheetName val="Control"/>
      <sheetName val="UK99"/>
      <sheetName val="RawData"/>
      <sheetName val="HMT Scorecard (Inputs)"/>
      <sheetName val="INPUT - HMT Final scorecard"/>
      <sheetName val="TableB1"/>
      <sheetName val="Team Report"/>
      <sheetName val="Risks by Tax"/>
      <sheetName val="Forecast_data"/>
      <sheetName val="Intro_-_read_first"/>
      <sheetName val="Imp_VAT"/>
      <sheetName val="Home_VAT"/>
      <sheetName val="Reb_oils"/>
      <sheetName val="Tables_1_&amp;_2"/>
      <sheetName val="CGBR_table"/>
      <sheetName val="BIS_table"/>
      <sheetName val="Tob_accs"/>
      <sheetName val="Acc_adj"/>
      <sheetName val="CHGSPD19_FIN"/>
      <sheetName val="T3_Page_1"/>
      <sheetName val="FC_Page_1"/>
      <sheetName val="4_6_ten_year_bonds"/>
      <sheetName val="Full_Data"/>
      <sheetName val="Ch4_Exp"/>
      <sheetName val="Data_(monthly)"/>
      <sheetName val="Dint_13"/>
      <sheetName val="CT_Forecast"/>
      <sheetName val="Ratings_and_Bandings"/>
      <sheetName val="Date_ref"/>
      <sheetName val="Nominal_Descriptions"/>
      <sheetName val="Data_Cal_1213"/>
      <sheetName val="Qtrly_Data"/>
      <sheetName val="HMT_Scorecard_(Inputs)"/>
      <sheetName val="INPUT_-_HMT_Final_scorecard"/>
      <sheetName val="Team_Report"/>
      <sheetName val="Risks_by_Ta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032020 deflator update"/>
      <sheetName val="control"/>
      <sheetName val="Cover"/>
      <sheetName val="30092019 deflator update"/>
      <sheetName val="ASC ependiture LA level"/>
      <sheetName val="OBR - EFO - LA spend"/>
      <sheetName val="workforce data (6.1)"/>
      <sheetName val="workforce data (6.3)"/>
      <sheetName val="ASC funding model assumptions"/>
      <sheetName val="PSSRU assumptions"/>
      <sheetName val="PSSRU - demand projections"/>
      <sheetName val="2010-11 service calcs"/>
      <sheetName val="Pay calculations"/>
      <sheetName val="Workforce intermed calcs"/>
      <sheetName val="Core spending calcs"/>
      <sheetName val="lists"/>
      <sheetName val="Outputs"/>
      <sheetName val="Free Personal Care"/>
      <sheetName val="Chart"/>
      <sheetName val="T4 ASC expenditure - Engl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D_Totals"/>
      <sheetName val="PCT_Totals"/>
      <sheetName val="LAs to PCTs"/>
      <sheetName val="PCTs to LAs"/>
      <sheetName val="ADS2010_Map"/>
    </sheetNames>
    <sheetDataSet>
      <sheetData sheetId="0"/>
      <sheetData sheetId="1"/>
      <sheetData sheetId="2"/>
      <sheetData sheetId="3"/>
      <sheetData sheetId="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cs"/>
      <sheetName val="SSA summary"/>
      <sheetName val="All service SSAs"/>
      <sheetName val="Control totals"/>
      <sheetName val="Scaling factors"/>
      <sheetName val="Education"/>
      <sheetName val="Personal social services"/>
      <sheetName val="Police"/>
      <sheetName val="Fire"/>
      <sheetName val="Highway maintenance"/>
      <sheetName val="EPCS lower tier"/>
      <sheetName val="EPCS upper tier"/>
      <sheetName val="EPCS bits"/>
      <sheetName val="Flood defence"/>
      <sheetName val="Coast protection"/>
      <sheetName val="Interest receipts"/>
      <sheetName val="Capital finance"/>
      <sheetName val="Close-ending"/>
      <sheetName val="Background"/>
      <sheetName val="Indices"/>
      <sheetName val="Indices 2"/>
      <sheetName val="Area cost facto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cs"/>
      <sheetName val="Control Total"/>
      <sheetName val="Scaling Factor"/>
      <sheetName val="FSS Summary"/>
      <sheetName val="All Services FSS"/>
      <sheetName val="Education"/>
      <sheetName val="PSS"/>
      <sheetName val="Police"/>
      <sheetName val="Fire"/>
      <sheetName val="HM"/>
      <sheetName val="EPCS Lower"/>
      <sheetName val="EPCS Upper"/>
      <sheetName val="EPCS Bits"/>
      <sheetName val="Capital"/>
      <sheetName val="Data"/>
      <sheetName val="ACA"/>
      <sheetName val="Adjusted 0405"/>
      <sheetName val="Close-end"/>
      <sheetName val="var list"/>
      <sheetName val="intermediate calcs"/>
      <sheetName val="FSS from PCE"/>
      <sheetName val="check against PCE"/>
    </sheetNames>
    <sheetDataSet>
      <sheetData sheetId="0" refreshError="1"/>
      <sheetData sheetId="1" refreshError="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refreshError="1"/>
      <sheetData sheetId="2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Overview and controls"/>
      <sheetName val="Workings"/>
      <sheetName val="Extra information and feedback"/>
      <sheetName val="Inputs 1 - start point"/>
      <sheetName val="Inputs 2 - OA details"/>
      <sheetName val="Inputs 3 - WAA details"/>
      <sheetName val="Inputs 4 - ULoS distributions"/>
      <sheetName val="Inputs 5 - Other parameters"/>
      <sheetName val="Tool - distribution converter"/>
      <sheetName val="OA - Outputs"/>
      <sheetName val="OA - Cap - residential"/>
      <sheetName val="OA - Cap - home"/>
      <sheetName val="OA - MT - adjusted data"/>
      <sheetName val="OA - MT - output"/>
      <sheetName val="OA - MT - calculator"/>
      <sheetName val="WAA - Outputs"/>
      <sheetName val="WAA - User numbers"/>
      <sheetName val="WAA - User numbers months"/>
      <sheetName val="WAA - LoS"/>
      <sheetName val="WAA - variables"/>
      <sheetName val="WAA - numbers calculator"/>
      <sheetName val="WAA - costs calculator"/>
      <sheetName val="OA - MT - raw data"/>
      <sheetName val="OBR EFO Dec 2014"/>
      <sheetName val="OA - Self-funders"/>
      <sheetName val="List of LAs"/>
      <sheetName val="Wealth"/>
      <sheetName val="UKHCA home care rates"/>
      <sheetName val="SSMSS - OA"/>
      <sheetName val="SSMSS - WAA"/>
      <sheetName val="PSS-EX1"/>
      <sheetName val="S1"/>
      <sheetName val="P2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id_year"/>
      <sheetName val="mid_year_rounded"/>
      <sheetName val="academic_age"/>
      <sheetName val="academic_age_rounded"/>
      <sheetName val="mid year"/>
      <sheetName val="mid year rounded"/>
      <sheetName val="academic age"/>
      <sheetName val="academic age rounded"/>
    </sheetNames>
    <sheetDataSet>
      <sheetData sheetId="0" refreshError="1"/>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cs"/>
      <sheetName val="Control Total"/>
      <sheetName val="Scaling Factors"/>
      <sheetName val="Summary"/>
      <sheetName val="Children's Services"/>
      <sheetName val="Adult PSS"/>
      <sheetName val="Police"/>
      <sheetName val="Fire"/>
      <sheetName val="Highway Maintenance"/>
      <sheetName val="EPCS - Main"/>
      <sheetName val="EPCS - CT"/>
      <sheetName val="EPCS - Bits"/>
      <sheetName val="Capital Financing"/>
      <sheetName val="Data"/>
      <sheetName val="AC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
      <sheetName val="1 data"/>
      <sheetName val="2"/>
      <sheetName val="1Sap"/>
      <sheetName val="3BGTvsFCT"/>
      <sheetName val="3 data"/>
      <sheetName val="3Learn&amp;RF"/>
      <sheetName val="5RB"/>
      <sheetName val="6FTE"/>
      <sheetName val="KAI Learn"/>
      <sheetName val="Wait Pen"/>
      <sheetName val="T&amp;S"/>
      <sheetName val="Trajectories"/>
      <sheetName val="Traj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p1"/>
      <sheetName val="Exp2"/>
      <sheetName val="Exp3"/>
      <sheetName val="Exp4"/>
      <sheetName val="Exp5"/>
      <sheetName val="Income"/>
      <sheetName val="LAOutput"/>
      <sheetName val="Assumptions"/>
      <sheetName val="Scenarios"/>
      <sheetName val="ServiceOutput"/>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cils"/>
      <sheetName val="Cover"/>
      <sheetName val="Blank Checker"/>
      <sheetName val="Activity data"/>
      <sheetName val="Incl SSMSS"/>
      <sheetName val="Unit costs"/>
      <sheetName val="Unit costs summary"/>
      <sheetName val="Grants &amp; Comments"/>
      <sheetName val="Memo item ratios"/>
      <sheetName val="Memo cost calculations "/>
      <sheetName val="Memo Comments"/>
      <sheetName val="Blank_Checker"/>
      <sheetName val="Activity_data"/>
      <sheetName val="Incl_SSMSS"/>
      <sheetName val="Unit_costs"/>
      <sheetName val="Unit_costs_summary"/>
      <sheetName val="Grants_&amp;_Comments"/>
      <sheetName val="Memo_item_ratios"/>
      <sheetName val="Memo_cost_calculations_"/>
      <sheetName val="Memo_Comme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Input"/>
      <sheetName val="Dashboard"/>
      <sheetName val="Risk Summary"/>
      <sheetName val="LOB Risk Register - Input"/>
      <sheetName val="LOB Risk Register - Amend"/>
      <sheetName val="LOB Risk Register - Amend Enter"/>
      <sheetName val="Risk Register"/>
      <sheetName val="Matrix"/>
      <sheetName val="Risk Matrix (2)"/>
      <sheetName val="Res v For (needs updating)"/>
      <sheetName val="Track Changes"/>
      <sheetName val="To Do"/>
      <sheetName val="Ex-007"/>
      <sheetName val="Ex-027"/>
      <sheetName val="Ex-028"/>
      <sheetName val="Ex-032"/>
      <sheetName val="Ex-036"/>
      <sheetName val="Look-up Lists"/>
      <sheetName val="Look 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Part 1"/>
      <sheetName val="Part 2"/>
      <sheetName val="Part 3"/>
      <sheetName val="Part 3 DA summary"/>
      <sheetName val="Part 4"/>
      <sheetName val="Supplementary Information"/>
      <sheetName val="DataSheet1"/>
      <sheetName val="DataSheet2"/>
      <sheetName val="DataSheet3"/>
      <sheetName val="DataSheetDA"/>
      <sheetName val="DataSheet4"/>
      <sheetName val="DataSheetSupplementary"/>
      <sheetName val="EZ list"/>
      <sheetName val="LA List"/>
      <sheetName val="Access_NNDR1"/>
      <sheetName val="LA_info"/>
      <sheetName val="Access_DASummary"/>
      <sheetName val="CHECK P1"/>
      <sheetName val="CHECK P2"/>
      <sheetName val="CHECK P3"/>
      <sheetName val="CHECK P3 DA"/>
      <sheetName val="CHECK P4"/>
      <sheetName val="CHECK SUPPLEMENTARY"/>
      <sheetName val="Access_Validations"/>
      <sheetName val="Discretionary Scheme Allocation"/>
      <sheetName val="Data 18-19"/>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F_LOADFILE"/>
      <sheetName val="PSAT SUMMARY"/>
      <sheetName val="ESA_SUMMARY"/>
      <sheetName val="ADJUSTMENTS"/>
      <sheetName val="OTHER"/>
      <sheetName val="ONS_FORECAST"/>
      <sheetName val="ONS_OUTTURN"/>
      <sheetName val="ADJUST_COINS"/>
      <sheetName val="COINS_FORECAST_SUMMARY"/>
      <sheetName val="COINS_FORECAST_DATA"/>
      <sheetName val="LOOKUP"/>
      <sheetName val="Budgets 07-08 Profile"/>
      <sheetName val="Budgets 07-08 Initial Profile"/>
      <sheetName val="Budgets 07-08 Plans"/>
      <sheetName val="Budgets 06-07"/>
      <sheetName val="Budgets 06-07 Final FO"/>
      <sheetName val="Budgets 06-07 Outturn"/>
      <sheetName val="NA 06-07"/>
      <sheetName val="NA 06-07 Final FO"/>
      <sheetName val="NA 06-07 Outturn"/>
      <sheetName val="NA 07-08 Profile"/>
      <sheetName val="NA 07-08 Initial Profile"/>
      <sheetName val="NA 07-08 Plans"/>
      <sheetName val="GEP Charts"/>
      <sheetName val="GEP Data"/>
      <sheetName val="Pr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S"/>
      <sheetName val="PEF_LOADFILE"/>
      <sheetName val="NEW_PSAT_SUMMARY 2008-09"/>
      <sheetName val="NEW_PSAT_SUMMARY 2009-10"/>
      <sheetName val="PSAT SUMMARY"/>
      <sheetName val="ESA_SUMMARY"/>
      <sheetName val="PIVOT_CHANGE BY TYPE"/>
      <sheetName val="ADJUSTMENTS"/>
      <sheetName val="OTHER"/>
      <sheetName val="ONS_FORECAST"/>
      <sheetName val="ONS_OUTTURN"/>
      <sheetName val="ADJUST_COINS"/>
      <sheetName val="COINS_FORECAST_SUMMARY"/>
      <sheetName val="COINS_FORECAST_DATA"/>
      <sheetName val="&quot;OTHER&quot; COINS DATA"/>
      <sheetName val="LOOKUP"/>
      <sheetName val="Budgets 07-08 Profile"/>
      <sheetName val="Budgets 07-08 Initial Profile"/>
      <sheetName val="Budgets 07-08 Plans"/>
      <sheetName val="Budgets 06-07"/>
      <sheetName val="Budgets 06-07 Final FO"/>
      <sheetName val="Budgets 06-07 Outturn"/>
      <sheetName val="NA 06-07"/>
      <sheetName val="NA 06-07 Final FO"/>
      <sheetName val="NA 06-07 Outturn"/>
      <sheetName val="NA 07-08 Profile"/>
      <sheetName val="NA 07-08 Initial Profile"/>
      <sheetName val="NA 07-08 Plans"/>
      <sheetName val="GEP Charts"/>
      <sheetName val="GEP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S TO NOTE"/>
      <sheetName val="NAA TABLE LONG VERSION"/>
      <sheetName val="NAA TABLE"/>
      <sheetName val="PEF_LOADFILE"/>
      <sheetName val="PSAT_SUMMARY 09-10 &amp; 10-11"/>
      <sheetName val="PSAT SUMMARY"/>
      <sheetName val="ESA_SUMMARY"/>
      <sheetName val="ADJUSTMENTS"/>
      <sheetName val="OTHER"/>
      <sheetName val="ONS_FORECAST"/>
      <sheetName val="ONS_OUTTURN"/>
      <sheetName val="ADJUST_COINS"/>
      <sheetName val="COINS_FORECAST_SUMMARY"/>
      <sheetName val="PAY DATA"/>
      <sheetName val="COINS_FORECAST_DATA"/>
      <sheetName val="&quot;OTHER&quot; COINS DATA"/>
      <sheetName val="LOOKUP"/>
      <sheetName val="Budgets 07-08 Profile"/>
      <sheetName val="Budgets 07-08 Initial Profile"/>
      <sheetName val="Budgets 07-08 Plans"/>
      <sheetName val="Budgets 06-07"/>
      <sheetName val="Budgets 06-07 Final FO"/>
      <sheetName val="Budgets 06-07 Outturn"/>
      <sheetName val="NA 06-07"/>
      <sheetName val="NA 06-07 Final FO"/>
      <sheetName val="NA 06-07 Outturn"/>
      <sheetName val="NA 07-08 Profile"/>
      <sheetName val="NA 07-08 Initial Profile"/>
      <sheetName val="NA 07-08 Plans"/>
      <sheetName val="GEP Charts"/>
      <sheetName val="GEP Data"/>
      <sheetName val="NAATABLE LONGER VERSION 4 QA"/>
      <sheetName val="PSAT_DEL &amp; AME1011 to 14-15"/>
      <sheetName val="Changes after R1 challenge"/>
      <sheetName val="ISSUES TO NOTE _ incl R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NNDR1 Form"/>
      <sheetName val="Validation"/>
      <sheetName val="Supplementary Information"/>
      <sheetName val="Supplementary Validation"/>
      <sheetName val="Parameters"/>
      <sheetName val="DATA"/>
      <sheetName val="TierSplit"/>
      <sheetName val="NNDR1_Form"/>
      <sheetName val="Supplementary_Information"/>
      <sheetName val="Supplementary_Validation"/>
      <sheetName val="Drop Downs and Lookups"/>
      <sheetName val="NNDR1_Form1"/>
      <sheetName val="Supplementary_Information1"/>
      <sheetName val="Supplementary_Validation1"/>
      <sheetName val="Drop_Downs_and_Lookups"/>
      <sheetName val="NNDR1_Form2"/>
      <sheetName val="Supplementary_Information2"/>
      <sheetName val="Supplementary_Validation2"/>
      <sheetName val="Drop_Downs_and_Lookups1"/>
      <sheetName val="NNDR1_Form3"/>
      <sheetName val="Supplementary_Information3"/>
      <sheetName val="Supplementary_Validation3"/>
      <sheetName val="Drop_Downs_and_Lookups2"/>
      <sheetName val="NNDR1_Form4"/>
      <sheetName val="Supplementary_Information4"/>
      <sheetName val="Supplementary_Validation4"/>
      <sheetName val="Drop_Downs_and_Lookups3"/>
      <sheetName val="NNDR1_Form5"/>
      <sheetName val="Supplementary_Information5"/>
      <sheetName val="Supplementary_Validation5"/>
      <sheetName val="Drop_Downs_and_Lookups4"/>
      <sheetName val="NNDR1_Form6"/>
      <sheetName val="Supplementary_Information6"/>
      <sheetName val="Supplementary_Validation6"/>
      <sheetName val="Drop_Downs_and_Lookups5"/>
      <sheetName val="NNDR1_Form7"/>
      <sheetName val="Supplementary_Information7"/>
      <sheetName val="Supplementary_Validation7"/>
      <sheetName val="Drop_Downs_and_Lookups6"/>
      <sheetName val="NNDR1_Form8"/>
      <sheetName val="Supplementary_Information8"/>
      <sheetName val="Supplementary_Validation8"/>
      <sheetName val="Drop_Downs_and_Lookups7"/>
      <sheetName val="NNDR1_Form9"/>
      <sheetName val="Supplementary_Information9"/>
      <sheetName val="Supplementary_Validation9"/>
      <sheetName val="Drop_Downs_and_Lookups8"/>
      <sheetName val="NNDR1_Form10"/>
      <sheetName val="Supplementary_Information10"/>
      <sheetName val="Supplementary_Validation10"/>
      <sheetName val="Drop_Downs_and_Lookups9"/>
      <sheetName val="NNDR1_Form11"/>
      <sheetName val="Supplementary_Information11"/>
      <sheetName val="Supplementary_Validation11"/>
      <sheetName val="Drop_Downs_and_Lookups10"/>
      <sheetName val="SUMMARY"/>
      <sheetName val="MODEL"/>
      <sheetName val="PIVOTS"/>
      <sheetName val="CT Support CTB1"/>
      <sheetName val="Budget setting"/>
      <sheetName val="ctr608_2017755_extract"/>
      <sheetName val="NNDR1_Form12"/>
      <sheetName val="Supplementary_Information12"/>
      <sheetName val="Supplementary_Validation12"/>
      <sheetName val="Drop_Downs_and_Lookups11"/>
      <sheetName val="NNDR1_Form14"/>
      <sheetName val="Supplementary_Information14"/>
      <sheetName val="Supplementary_Validation14"/>
      <sheetName val="Drop_Downs_and_Lookups13"/>
      <sheetName val="NNDR1_Form13"/>
      <sheetName val="Supplementary_Information13"/>
      <sheetName val="Supplementary_Validation13"/>
      <sheetName val="Drop_Downs_and_Lookups12"/>
      <sheetName val="NNDR1_Form15"/>
      <sheetName val="Supplementary_Information15"/>
      <sheetName val="Supplementary_Validation15"/>
      <sheetName val="Drop_Downs_and_Lookups14"/>
      <sheetName val="NNDR1_Form16"/>
      <sheetName val="Supplementary_Information16"/>
      <sheetName val="Supplementary_Validation16"/>
      <sheetName val="Drop_Downs_and_Lookups15"/>
      <sheetName val="NNDR1_Form18"/>
      <sheetName val="Supplementary_Information18"/>
      <sheetName val="Supplementary_Validation18"/>
      <sheetName val="Drop_Downs_and_Lookups17"/>
      <sheetName val="CT_Support_CTB11"/>
      <sheetName val="Budget_setting1"/>
      <sheetName val="NNDR1_Form17"/>
      <sheetName val="Supplementary_Information17"/>
      <sheetName val="Supplementary_Validation17"/>
      <sheetName val="Drop_Downs_and_Lookups16"/>
      <sheetName val="CT_Support_CTB1"/>
      <sheetName val="Budget_setting"/>
      <sheetName val="NNDR1_Form19"/>
      <sheetName val="Supplementary_Information19"/>
      <sheetName val="Supplementary_Validation19"/>
      <sheetName val="Drop_Downs_and_Lookups18"/>
      <sheetName val="CT_Support_CTB12"/>
      <sheetName val="Budget_setting2"/>
      <sheetName val="NNDR1_Form20"/>
      <sheetName val="Supplementary_Information20"/>
      <sheetName val="Supplementary_Validation20"/>
      <sheetName val="Drop_Downs_and_Lookups19"/>
      <sheetName val="CT_Support_CTB13"/>
      <sheetName val="Budget_setting3"/>
      <sheetName val="NNDR1_Form22"/>
      <sheetName val="Supplementary_Information22"/>
      <sheetName val="Supplementary_Validation22"/>
      <sheetName val="Drop_Downs_and_Lookups21"/>
      <sheetName val="CT_Support_CTB15"/>
      <sheetName val="Budget_setting5"/>
      <sheetName val="NNDR1_Form21"/>
      <sheetName val="Supplementary_Information21"/>
      <sheetName val="Supplementary_Validation21"/>
      <sheetName val="Drop_Downs_and_Lookups20"/>
      <sheetName val="CT_Support_CTB14"/>
      <sheetName val="Budget_setting4"/>
      <sheetName val="NNDR1_Form23"/>
      <sheetName val="Supplementary_Information23"/>
      <sheetName val="Supplementary_Validation23"/>
      <sheetName val="Drop_Downs_and_Lookups22"/>
      <sheetName val="CT_Support_CTB16"/>
      <sheetName val="Budget_setting6"/>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AlternateView"/>
      <sheetName val="Ledger"/>
      <sheetName val="OrgList"/>
      <sheetName val="Allocations"/>
      <sheetName val="MonthlyRec"/>
      <sheetName val="Monthly RecOld"/>
      <sheetName val="MakeTemplates"/>
      <sheetName val="MakeTemplatesOld"/>
      <sheetName val="DC SplitSummary"/>
      <sheetName val="Region"/>
      <sheetName val="CCGs"/>
      <sheetName val="Heather"/>
      <sheetName val="Consolidated"/>
      <sheetName val="SupportingFiles"/>
      <sheetName val="InMonthTransfers"/>
      <sheetName val="Consolidation checks"/>
      <sheetName val="Mth03"/>
      <sheetName val="Mth04v1"/>
      <sheetName val="Mth04"/>
      <sheetName val="Mth05v1"/>
      <sheetName val="Mth05"/>
      <sheetName val="Mth06"/>
      <sheetName val="RegionAllocations"/>
      <sheetName val="ATs"/>
      <sheetName val="ManualAdj"/>
      <sheetName val="Recurrent"/>
      <sheetName val="2013-14"/>
      <sheetName val="Uploads"/>
      <sheetName val="Spec"/>
      <sheetName val="Non-ISFE_DC"/>
      <sheetName val="AlternateView_1516"/>
      <sheetName val="OTher Programme"/>
      <sheetName val="Initial Allocations Live"/>
      <sheetName val="Monthly Rec"/>
      <sheetName val="Mth04-sent Out"/>
      <sheetName val="Sheet1"/>
      <sheetName val="Initial Allocations Live.xlsb"/>
      <sheetName val="Appendix 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refreshError="1"/>
      <sheetData sheetId="38"/>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Data"/>
      <sheetName val="Pre-damping"/>
      <sheetName val="Damping"/>
    </sheetNames>
    <sheetDataSet>
      <sheetData sheetId="0"/>
      <sheetData sheetId="1"/>
      <sheetData sheetId="2"/>
      <sheetData sheetId="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QA log"/>
      <sheetName val="Version log"/>
      <sheetName val="Key Data Front Sheet"/>
      <sheetName val="Total ASC Funding dropdown"/>
      <sheetName val="ASC total LA table"/>
      <sheetName val="17-18 ASC forecast v actual"/>
      <sheetName val="Spring Budget 2017 ASC LA table"/>
      <sheetName val="Charts"/>
      <sheetName val="ASC winter pressures1819"/>
      <sheetName val="Table - Max CT bills"/>
      <sheetName val="Chart - Real terms change max"/>
      <sheetName val="Tax base (16-17 projection)"/>
      <sheetName val="Tax base"/>
      <sheetName val="Band Ds"/>
      <sheetName val="CTR"/>
      <sheetName val="Band Ds no ASC"/>
      <sheetName val="CTR no ASC"/>
      <sheetName val="ASC £"/>
      <sheetName val="Info"/>
      <sheetName val="Ref principles"/>
      <sheetName val="Alt Band Ds1"/>
      <sheetName val="Alt CTR and diff1"/>
      <sheetName val="Alt Band Ds2"/>
      <sheetName val="Alt CTR and diff2"/>
      <sheetName val="Potential Extra CTR &amp;bandD"/>
      <sheetName val="CT levels OBR Autumn 17"/>
      <sheetName val="CT levels OBR (2) Aut 17"/>
      <sheetName val="OBR tables Mar 18 R1"/>
      <sheetName val="CT levels OBR Mar 18 R2 calcs"/>
      <sheetName val="OBR Mar 18 R2 tables"/>
      <sheetName val="CT levels OBR Mar 18 R3 calcs"/>
      <sheetName val="OBR Mar 18 R3 tables"/>
      <sheetName val="OBR Mar 18 LA table"/>
      <sheetName val="No Freeze Grant"/>
      <sheetName val="ASC annual %s"/>
      <sheetName val="CT 2014-15"/>
      <sheetName val="CT 2016-17"/>
      <sheetName val="CT 2018-19"/>
      <sheetName val="OBR inflation - Mar 18"/>
      <sheetName val="OBR inflation - Nov 17"/>
      <sheetName val="OBR inflation - Mar 17"/>
      <sheetName val="OBR inflation - Nov 16"/>
      <sheetName val="Lists"/>
      <sheetName val="CPI historic data"/>
      <sheetName val="ASC precept take-up"/>
      <sheetName val="Flexibilities"/>
      <sheetName val="CT 2017-18"/>
      <sheetName val="ASC precept parameters"/>
      <sheetName val="Alt Band Ds"/>
      <sheetName val="Alt CTR and diff"/>
      <sheetName val="Extra CTR"/>
      <sheetName val="1920 additional ASC"/>
      <sheetName val="New LAs"/>
      <sheetName val="OBR inflation - Nov 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s"/>
      <sheetName val="Male"/>
      <sheetName val="Female"/>
      <sheetName val="Charts"/>
    </sheetNames>
    <sheetDataSet>
      <sheetData sheetId="0" refreshError="1"/>
      <sheetData sheetId="1"/>
      <sheetData sheetId="2"/>
      <sheetData sheetId="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ted"/>
      <sheetName val="Multi"/>
      <sheetName val="Start"/>
      <sheetName val="Sign_Off"/>
      <sheetName val="Contact_Info"/>
      <sheetName val="TLB_Contacts"/>
      <sheetName val="Generator_Contact_List"/>
      <sheetName val="Variance_Analysis"/>
      <sheetName val="Exception_Report"/>
      <sheetName val="SoCNE"/>
      <sheetName val="SoCNE_Data"/>
      <sheetName val="SofFP"/>
      <sheetName val="SofFP_Data"/>
      <sheetName val="TB"/>
      <sheetName val="Intangibles"/>
      <sheetName val="Intangible_Data"/>
      <sheetName val="PPE"/>
      <sheetName val="PPE_Data"/>
      <sheetName val="AUC"/>
      <sheetName val="AUC_Data"/>
      <sheetName val="Write_Off-On"/>
      <sheetName val="Write_Off-On_Data"/>
      <sheetName val="Reval_Reserve"/>
      <sheetName val="Reval_Reserve_Data"/>
      <sheetName val="Receivables"/>
      <sheetName val="Receivables_Data"/>
      <sheetName val="Other_Govt_Depts_Receivables"/>
      <sheetName val="Other_Govt_Depts_Recv_Data"/>
      <sheetName val="Payables"/>
      <sheetName val="Payables_Data"/>
      <sheetName val="Other_Govt_Depts_Payables"/>
      <sheetName val="Other_Govt_Depts_Payables_Data"/>
      <sheetName val="Additional_Tables"/>
      <sheetName val="Additional_Tables_Data"/>
      <sheetName val="Contingent_Liability"/>
      <sheetName val="Foreign_Currency"/>
      <sheetName val="Foreign_Currency_Data"/>
      <sheetName val="Feed_Back_Data"/>
      <sheetName val="Receivables-Analysis"/>
      <sheetName val="Payables-Analysis"/>
      <sheetName val="Inventory_Tables"/>
      <sheetName val="Inventory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odes (4)"/>
      <sheetName val="ECodes (3)"/>
      <sheetName val="ECodes (2)"/>
      <sheetName val="ECodes"/>
      <sheetName val="Cabinet Office Template"/>
      <sheetName val="Latest LGF Template"/>
      <sheetName val="201516 LGF Template"/>
      <sheetName val="2nd draft LGF Template"/>
      <sheetName val="1st draft LGF Template"/>
      <sheetName val="Existing LGF Template"/>
      <sheetName val="Databank"/>
      <sheetName val="Next Updates"/>
      <sheetName val="Better Care Fund"/>
      <sheetName val="Coastal Communities"/>
      <sheetName val="Troubled Families"/>
      <sheetName val="TCA 2015-16 Success"/>
      <sheetName val="TCA 2015-16 Unsuccess"/>
      <sheetName val="Deals"/>
      <sheetName val="Spending Power Summary"/>
      <sheetName val="Core Area SP SR Period Sett"/>
      <sheetName val="Core SP SR period Sett"/>
      <sheetName val="Core SP per dwelling SR Sett"/>
      <sheetName val="Core SP 2019-20 Sett"/>
      <sheetName val="Core SP 2018-19 Sett"/>
      <sheetName val="Core SP 2017-18 Sett"/>
      <sheetName val="Core SP 2016-17 Sett"/>
      <sheetName val="Core Area SP SR period"/>
      <sheetName val="Core SP SR period"/>
      <sheetName val="Core SP per dwelling SR "/>
      <sheetName val="Core SP 2019-20"/>
      <sheetName val="Core SP 2018-19"/>
      <sheetName val="Core SP 2017-18"/>
      <sheetName val="Core SP 2016-17"/>
      <sheetName val="SP 2015-16 table"/>
      <sheetName val="Area SP 2015-16"/>
      <sheetName val="SP Supporting Data 2015-16"/>
      <sheetName val="SP 2014-15 table"/>
      <sheetName val="Area SP 2014-15"/>
      <sheetName val="SP Supporting Data 2014-15"/>
      <sheetName val="SP£m 2013-14 tab"/>
      <sheetName val="SPpd 2013-14 tab"/>
      <sheetName val="Area SP 2013-14"/>
      <sheetName val="SP Supporting Data 2013-14"/>
      <sheetName val="SP 2012-13 table"/>
      <sheetName val="Area SP 2012-13"/>
      <sheetName val="SP Supporting Data 2012-13"/>
      <sheetName val="SP 2011-12 table"/>
      <sheetName val="SP Supporting Data 2011-12"/>
      <sheetName val="Early NHB data"/>
      <sheetName val="NHB 1617"/>
      <sheetName val="NHB"/>
      <sheetName val="Settlement Summary "/>
      <sheetName val="sfa1920"/>
      <sheetName val="sfa1819"/>
      <sheetName val="sfa1718"/>
      <sheetName val="sfa1617"/>
      <sheetName val="sfa1516adj"/>
      <sheetName val="sfa1516"/>
      <sheetName val="adjsfa1415"/>
      <sheetName val="sfa1415"/>
      <sheetName val="adjsfa1314"/>
      <sheetName val="sufa1314"/>
      <sheetName val="adjsufa1213"/>
      <sheetName val="brr1516 forecast"/>
      <sheetName val="brr1415 forecast"/>
      <sheetName val="brr1415 outturn"/>
      <sheetName val="brr1314 outturn"/>
      <sheetName val="Formula Grant"/>
      <sheetName val="Council Tax Summary"/>
      <sheetName val="Council Tax 2015-16"/>
      <sheetName val="Area Council Tax"/>
      <sheetName val="Area Council Tax % change"/>
      <sheetName val="LA Council Tax"/>
      <sheetName val="LA Council Tax % change"/>
      <sheetName val="CT Freeze 2015-16"/>
      <sheetName val="CT Freeze 2014-15"/>
      <sheetName val="CT Freeze 2013-14"/>
      <sheetName val="CT Freeze 2012-13"/>
      <sheetName val="CT Freeze 2011-12"/>
      <sheetName val="Council Tax Collection"/>
      <sheetName val="Expenditure Summary"/>
      <sheetName val="Reserves Summary"/>
      <sheetName val="Revenue Spend less DSG"/>
      <sheetName val="Budgeted reserves "/>
      <sheetName val="RA 1516 Summary"/>
      <sheetName val="RA 1516 (2)"/>
      <sheetName val="RG 1516"/>
      <sheetName val="RA 1415 Summary"/>
      <sheetName val="RA 1415 (2)"/>
      <sheetName val="RG 1415"/>
      <sheetName val="RO 1415 Summary"/>
      <sheetName val="RG 0910"/>
      <sheetName val="RO 1415 (2) rev"/>
      <sheetName val="RG1415"/>
      <sheetName val="p RO 1415 Summary"/>
      <sheetName val="p RO 1415 (2)"/>
      <sheetName val="p RG1415"/>
      <sheetName val="RO 1314 Summary"/>
      <sheetName val="RO 1314 (2)"/>
      <sheetName val="RG1314"/>
      <sheetName val="RO 1213 Summary"/>
      <sheetName val="RO 1213 (2)"/>
      <sheetName val="RG1213"/>
      <sheetName val="RO 1112 Summary"/>
      <sheetName val="RO 1112 (2)"/>
      <sheetName val="RG1112"/>
      <sheetName val="RO 1011 Summary"/>
      <sheetName val="RG 1011"/>
      <sheetName val="RO 0910 Summary"/>
      <sheetName val="RO 0910 (2)"/>
      <sheetName val="Cabinet Office Template SP upd"/>
      <sheetName val="Cabinet Office Template new"/>
      <sheetName val="Old style LGF Template"/>
      <sheetName val="100%Pilots"/>
      <sheetName val="Core Area SP SR 2017-18 Bud17"/>
      <sheetName val="Core Area SP SR 2017-18 Sett"/>
      <sheetName val="Core SP pd SR 2017-18 Bud17"/>
      <sheetName val="Core SP pd SR 2017-18 Sett"/>
      <sheetName val="2017-18 Bud17 Core SP 2019-20"/>
      <sheetName val="2017-18 Sett Core Sp 2019-20"/>
      <sheetName val="2017-18 Bud17 Core SP 2018-19"/>
      <sheetName val="2017-18 Sett Core SP 2018-19"/>
      <sheetName val="2017-18 Bud17 Core SP 2017-18"/>
      <sheetName val="2017-18 Sett Core SP 2017-18"/>
      <sheetName val="2017-18 Bud17 Core SP 2016-17"/>
      <sheetName val="2017-18 Sett Core SP 2016-17"/>
      <sheetName val="Core Area SP SR 2017-18"/>
      <sheetName val="Core SP per dwelling SR 2017-18"/>
      <sheetName val="2017-18 Core SP 2019-20"/>
      <sheetName val="2017-18 Core SP 2018-19"/>
      <sheetName val="2017-18 Core SP 2017-18"/>
      <sheetName val="2017-18 Core SP 2016-17"/>
      <sheetName val="Council Tax 2017-18"/>
      <sheetName val="Council Tax 2016-17"/>
      <sheetName val="CT Collection 2016-17"/>
      <sheetName val="CT Collection 2015-16"/>
      <sheetName val="RA 1718 Summary"/>
      <sheetName val="RG 1718"/>
      <sheetName val="RA 1617 Summary"/>
      <sheetName val="RG 1617"/>
      <sheetName val="RO 1516 Summary"/>
      <sheetName val="RG1516"/>
      <sheetName val="p RO 1516 Summary"/>
      <sheetName val="p RG1516"/>
      <sheetName val="RO 1415 Summary rev"/>
      <sheetName val="RO 1415 (2)"/>
      <sheetName val="RO 1011 (2)"/>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 Dropdown"/>
      <sheetName val="2014-15"/>
      <sheetName val="2015-16"/>
    </sheetNames>
    <sheetDataSet>
      <sheetData sheetId="0"/>
      <sheetData sheetId="1"/>
      <sheetData sheetId="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Map"/>
      <sheetName val="Change Log"/>
      <sheetName val="AQA Log"/>
      <sheetName val="Assumptions Register"/>
      <sheetName val="Data Register"/>
      <sheetName val="Charts"/>
      <sheetName val="Chart Data"/>
      <sheetName val="Global Inputs"/>
      <sheetName val="FinanceOptionsAnalysisTables"/>
      <sheetName val="EconomicOptionsAnalysisTable"/>
      <sheetName val="SummaryHistoricDebt"/>
      <sheetName val="SummaryTransformation"/>
      <sheetName val="SummaryBaseline"/>
      <sheetName val="CalculationSensativities"/>
      <sheetName val="CalculationTransformation"/>
      <sheetName val="CalculationHistoricDebt"/>
      <sheetName val="CalculationBaseline"/>
      <sheetName val="InputTransformation"/>
      <sheetName val="InputHistoricDebt"/>
      <sheetName val="InputBaseline"/>
      <sheetName val="CHECK"/>
      <sheetName val="Model_Map"/>
      <sheetName val="Change_Log"/>
      <sheetName val="AQA_Log"/>
      <sheetName val="Assumptions_Register"/>
      <sheetName val="Data_Register"/>
      <sheetName val="Chart_Data"/>
      <sheetName val="Global_Inputs"/>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Assumptions Register"/>
      <sheetName val="AQA Log"/>
      <sheetName val="Data Register"/>
      <sheetName val="Front Sheet"/>
      <sheetName val="OBC Outputs"/>
      <sheetName val="0 - Buffer Results"/>
      <sheetName val="1c - Buffer Results"/>
      <sheetName val="9 Original - Buffer Results"/>
      <sheetName val="Options List"/>
      <sheetName val="9 Profile - Buffer Results"/>
      <sheetName val="0 - Original Results"/>
      <sheetName val="1c - Demand Results"/>
      <sheetName val="9 - Original Results"/>
      <sheetName val="9 - Original HB Results"/>
      <sheetName val="9 - Original CPW Results"/>
      <sheetName val="9 - Profile Results"/>
      <sheetName val="9 - Profile HB Results"/>
      <sheetName val="9 - Profile CPW Results"/>
      <sheetName val="9 Envelope - Buffer Results"/>
      <sheetName val="9 - Envelope Results"/>
      <sheetName val="9 - Envelope HB Results"/>
      <sheetName val="9 - Envelope CPW Results"/>
      <sheetName val="Results"/>
      <sheetName val="Deflators"/>
      <sheetName val="Disposals"/>
      <sheetName val="Ramp Up"/>
      <sheetName val="Building parameters"/>
      <sheetName val="Closure Options"/>
      <sheetName val="PF2 Inputs"/>
      <sheetName val="Resource"/>
      <sheetName val="Capital"/>
      <sheetName val="Closure Lists"/>
      <sheetName val="Budget source"/>
      <sheetName val="Budget"/>
      <sheetName val="Unit Cost"/>
      <sheetName val="Land Values"/>
      <sheetName val="Op cap"/>
      <sheetName val="FTE per prison"/>
      <sheetName val="Maintenance"/>
      <sheetName val="Education"/>
      <sheetName val="Business Rates"/>
      <sheetName val="Build Option"/>
      <sheetName val="Original Costs - Nominal"/>
      <sheetName val="Original Costs - Real"/>
      <sheetName val="Prison Key"/>
      <sheetName val="Version Log"/>
      <sheetName val="Auditchecks"/>
      <sheetName val="Issues Log"/>
      <sheetName val="Model Map"/>
      <sheetName val="Assumptions_Register"/>
      <sheetName val="AQA_Log"/>
      <sheetName val="Data_Register"/>
      <sheetName val="Front_Sheet"/>
      <sheetName val="OBC_Outputs"/>
      <sheetName val="0_-_Buffer_Results"/>
      <sheetName val="1c_-_Buffer_Results"/>
      <sheetName val="9_Original_-_Buffer_Results"/>
      <sheetName val="Options_List"/>
      <sheetName val="9_Profile_-_Buffer_Results"/>
      <sheetName val="0_-_Original_Results"/>
      <sheetName val="1c_-_Demand_Results"/>
      <sheetName val="9_-_Original_Results"/>
      <sheetName val="9_-_Original_HB_Results"/>
      <sheetName val="9_-_Original_CPW_Results"/>
      <sheetName val="9_-_Profile_Results"/>
      <sheetName val="9_-_Profile_HB_Results"/>
      <sheetName val="9_-_Profile_CPW_Results"/>
      <sheetName val="9_Envelope_-_Buffer_Results"/>
      <sheetName val="9_-_Envelope_Results"/>
      <sheetName val="9_-_Envelope_HB_Results"/>
      <sheetName val="9_-_Envelope_CPW_Results"/>
      <sheetName val="Ramp_Up"/>
      <sheetName val="Building_parameters"/>
      <sheetName val="Closure_Options"/>
      <sheetName val="PF2_Inputs"/>
      <sheetName val="Closure_Lists"/>
      <sheetName val="Budget_source"/>
      <sheetName val="Unit_Cost"/>
      <sheetName val="Land_Values"/>
      <sheetName val="Op_cap"/>
      <sheetName val="FTE_per_prison"/>
      <sheetName val="Business_Rates"/>
      <sheetName val="Build_Option"/>
      <sheetName val="Original_Costs_-_Nominal"/>
      <sheetName val="Original_Costs_-_Real"/>
      <sheetName val="Prison_Key"/>
      <sheetName val="Version_Log"/>
      <sheetName val="Issues_Log"/>
      <sheetName val="Model_M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Response"/>
      <sheetName val="Qrecd"/>
      <sheetName val="QrecdLY"/>
      <sheetName val="Raw_Billing"/>
      <sheetName val="Raw_London"/>
      <sheetName val="Raw_Wales"/>
      <sheetName val="Raw_Scotland"/>
      <sheetName val="Raw_Precepting"/>
      <sheetName val="Raw_GLA"/>
      <sheetName val="Raw_GMCA"/>
      <sheetName val="Global"/>
      <sheetName val="Billing As"/>
      <sheetName val="Camera_Billing_England"/>
      <sheetName val="Camera_Billing_Wales"/>
      <sheetName val="Camera_Scotland"/>
      <sheetName val="Camera_Precepting"/>
      <sheetName val="CTR_Billing"/>
      <sheetName val="CIPFAvsCTR_Billing"/>
      <sheetName val="CTR Precepting"/>
      <sheetName val="CIPFAvsCTR_Precepting"/>
      <sheetName val="Incoming1"/>
      <sheetName val="Incoming2"/>
      <sheetName val="Notes"/>
      <sheetName val="Information Release"/>
      <sheetName val="Table A"/>
      <sheetName val="Table B"/>
      <sheetName val="Table C"/>
      <sheetName val="Table D"/>
      <sheetName val="Table 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 val="USGC"/>
      <sheetName val="Carbon Price Floor"/>
      <sheetName val="Baseline results"/>
      <sheetName val="DECC Summary"/>
      <sheetName val="Figure_1_13"/>
      <sheetName val="Frameworks_comparison_2_1_2_23"/>
      <sheetName val="Figures_3_1_3_23"/>
      <sheetName val="Table_3_13"/>
      <sheetName val="3_1_Inflation_expectations3"/>
      <sheetName val="3_2_Taylor_rules3"/>
      <sheetName val="3_3_UK_Taylor_rule3"/>
      <sheetName val="Chart_3_43"/>
      <sheetName val="3_5_10_years_ahead3"/>
      <sheetName val="3_6_M3_growth3"/>
      <sheetName val="Box_D_Red_triangle3"/>
      <sheetName val="Figure_4_1_UK_fiscal_fwork3"/>
      <sheetName val="Table_4_13"/>
      <sheetName val="Box_D_table3"/>
      <sheetName val="4_1_UK3"/>
      <sheetName val="4_3_and_4_43"/>
      <sheetName val="4_5_deficit_and_interest_rate3"/>
      <sheetName val="4_6_ten_year_bonds3"/>
      <sheetName val="5_1_share_of_gdp3"/>
      <sheetName val="Figure_6_13"/>
      <sheetName val="Table_6_1_Bank_Supervisors3"/>
      <sheetName val="Carbon_Price_Floor"/>
      <sheetName val="Baseline_results"/>
      <sheetName val="DECC_Summary"/>
      <sheetName val="Figure_1_14"/>
      <sheetName val="Frameworks_comparison_2_1_2_24"/>
      <sheetName val="Figures_3_1_3_24"/>
      <sheetName val="Table_3_14"/>
      <sheetName val="3_1_Inflation_expectations4"/>
      <sheetName val="3_2_Taylor_rules4"/>
      <sheetName val="3_3_UK_Taylor_rule4"/>
      <sheetName val="Chart_3_44"/>
      <sheetName val="3_5_10_years_ahead4"/>
      <sheetName val="3_6_M3_growth4"/>
      <sheetName val="Box_D_Red_triangle4"/>
      <sheetName val="Figure_4_1_UK_fiscal_fwork4"/>
      <sheetName val="Table_4_14"/>
      <sheetName val="Box_D_table4"/>
      <sheetName val="4_1_UK4"/>
      <sheetName val="4_3_and_4_44"/>
      <sheetName val="4_5_deficit_and_interest_rate4"/>
      <sheetName val="4_6_ten_year_bonds4"/>
      <sheetName val="5_1_share_of_gdp4"/>
      <sheetName val="Figure_6_14"/>
      <sheetName val="Table_6_1_Bank_Supervisors4"/>
      <sheetName val="Carbon_Price_Floor1"/>
      <sheetName val="Baseline_results1"/>
      <sheetName val="DECC_Summary1"/>
      <sheetName val="CASHFLOW Gen Income"/>
      <sheetName val="model inputs"/>
      <sheetName val="Figure_1_15"/>
      <sheetName val="Frameworks_comparison_2_1_2_25"/>
      <sheetName val="Figures_3_1_3_25"/>
      <sheetName val="Table_3_15"/>
      <sheetName val="3_1_Inflation_expectations5"/>
      <sheetName val="3_2_Taylor_rules5"/>
      <sheetName val="3_3_UK_Taylor_rule5"/>
      <sheetName val="Chart_3_45"/>
      <sheetName val="3_5_10_years_ahead5"/>
      <sheetName val="3_6_M3_growth5"/>
      <sheetName val="Box_D_Red_triangle5"/>
      <sheetName val="Figure_4_1_UK_fiscal_fwork5"/>
      <sheetName val="Table_4_15"/>
      <sheetName val="Box_D_table5"/>
      <sheetName val="4_1_UK5"/>
      <sheetName val="4_3_and_4_45"/>
      <sheetName val="4_5_deficit_and_interest_rate5"/>
      <sheetName val="4_6_ten_year_bonds5"/>
      <sheetName val="5_1_share_of_gdp5"/>
      <sheetName val="Figure_6_15"/>
      <sheetName val="Table_6_1_Bank_Supervisors5"/>
      <sheetName val="Carbon_Price_Floor2"/>
      <sheetName val="Baseline_results2"/>
      <sheetName val="DECC_Summary2"/>
      <sheetName val="CASHFLOW_Gen_Income"/>
      <sheetName val="model_inputs"/>
      <sheetName val="Figure_1_16"/>
      <sheetName val="Frameworks_comparison_2_1_2_26"/>
      <sheetName val="Figures_3_1_3_26"/>
      <sheetName val="Table_3_16"/>
      <sheetName val="3_1_Inflation_expectations6"/>
      <sheetName val="3_2_Taylor_rules6"/>
      <sheetName val="3_3_UK_Taylor_rule6"/>
      <sheetName val="Chart_3_46"/>
      <sheetName val="3_5_10_years_ahead6"/>
      <sheetName val="3_6_M3_growth6"/>
      <sheetName val="Box_D_Red_triangle6"/>
      <sheetName val="Figure_4_1_UK_fiscal_fwork6"/>
      <sheetName val="Table_4_16"/>
      <sheetName val="Box_D_table6"/>
      <sheetName val="4_1_UK6"/>
      <sheetName val="4_3_and_4_46"/>
      <sheetName val="4_5_deficit_and_interest_rate6"/>
      <sheetName val="4_6_ten_year_bonds6"/>
      <sheetName val="5_1_share_of_gdp6"/>
      <sheetName val="Figure_6_16"/>
      <sheetName val="Table_6_1_Bank_Supervisors6"/>
      <sheetName val="Carbon_Price_Floor3"/>
      <sheetName val="Baseline_results3"/>
      <sheetName val="DECC_Summary3"/>
      <sheetName val="CASHFLOW_Gen_Income1"/>
      <sheetName val="model_inputs1"/>
      <sheetName val="Forecast data"/>
      <sheetName val="all the charts"/>
      <sheetName val="Figure_1_17"/>
      <sheetName val="Frameworks_comparison_2_1_2_27"/>
      <sheetName val="Figures_3_1_3_27"/>
      <sheetName val="Table_3_17"/>
      <sheetName val="3_1_Inflation_expectations7"/>
      <sheetName val="3_2_Taylor_rules7"/>
      <sheetName val="3_3_UK_Taylor_rule7"/>
      <sheetName val="Chart_3_47"/>
      <sheetName val="3_5_10_years_ahead7"/>
      <sheetName val="3_6_M3_growth7"/>
      <sheetName val="Box_D_Red_triangle7"/>
      <sheetName val="Figure_4_1_UK_fiscal_fwork7"/>
      <sheetName val="Table_4_17"/>
      <sheetName val="Box_D_table7"/>
      <sheetName val="4_1_UK7"/>
      <sheetName val="4_3_and_4_47"/>
      <sheetName val="4_5_deficit_and_interest_rate7"/>
      <sheetName val="4_6_ten_year_bonds7"/>
      <sheetName val="5_1_share_of_gdp7"/>
      <sheetName val="Figure_6_17"/>
      <sheetName val="Table_6_1_Bank_Supervisors7"/>
      <sheetName val="Carbon_Price_Floor4"/>
      <sheetName val="Baseline_results4"/>
      <sheetName val="DECC_Summary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ow r="4">
          <cell r="A4">
            <v>35877</v>
          </cell>
        </row>
      </sheetData>
      <sheetData sheetId="82"/>
      <sheetData sheetId="83"/>
      <sheetData sheetId="84"/>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A4">
            <v>35877</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v>35877</v>
          </cell>
        </row>
      </sheetData>
      <sheetData sheetId="131"/>
      <sheetData sheetId="132"/>
      <sheetData sheetId="133"/>
      <sheetData sheetId="134"/>
      <sheetData sheetId="135"/>
      <sheetData sheetId="136"/>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ow r="4">
          <cell r="A4">
            <v>35877</v>
          </cell>
        </row>
      </sheetData>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4">
          <cell r="A4">
            <v>35877</v>
          </cell>
        </row>
      </sheetData>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ing Authorities"/>
      <sheetName val="Precepting Authorities"/>
      <sheetName val="GLA"/>
      <sheetName val="Data"/>
      <sheetName val="List"/>
      <sheetName val="List2"/>
      <sheetName val="Precepting Bodies"/>
      <sheetName val="Lookup"/>
    </sheetNames>
    <sheetDataSet>
      <sheetData sheetId="0"/>
      <sheetData sheetId="1"/>
      <sheetData sheetId="2"/>
      <sheetData sheetId="3"/>
      <sheetData sheetId="4"/>
      <sheetData sheetId="5"/>
      <sheetData sheetId="6"/>
      <sheetData sheetId="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Version History Log"/>
      <sheetName val="QA log"/>
      <sheetName val="Main Page"/>
      <sheetName val="Need to Spend Summary"/>
      <sheetName val="Income Summary"/>
      <sheetName val="Funding Gap - National Summary"/>
      <sheetName val="Funding Gap - LA level"/>
      <sheetName val="Funding Gap - LA level CW"/>
      <sheetName val="Assumptions &gt;&gt;"/>
      <sheetName val="RO lines"/>
      <sheetName val="OBR BR"/>
      <sheetName val="OBR Mar 19 Inf"/>
      <sheetName val="OBR Mar 19 Lab"/>
      <sheetName val="Unit Cost Drivers"/>
      <sheetName val="Service Areas&gt;&gt;"/>
      <sheetName val="ASCa"/>
      <sheetName val="CNSCa"/>
      <sheetName val="HTSTa"/>
      <sheetName val="PHa"/>
      <sheetName val="HWa"/>
      <sheetName val="CSCa"/>
      <sheetName val="BUSa"/>
      <sheetName val="CONa"/>
      <sheetName val="FRa"/>
      <sheetName val="WSa"/>
      <sheetName val="OTHa"/>
      <sheetName val="DSCa"/>
      <sheetName val="PENa"/>
      <sheetName val="LEVCA"/>
      <sheetName val="LEVWS"/>
      <sheetName val="TOT"/>
      <sheetName val="TOTres"/>
      <sheetName val="Income&gt;&gt;"/>
      <sheetName val="RSG source"/>
      <sheetName val="BR 2020-21 onward source"/>
      <sheetName val="RBR Growth source"/>
      <sheetName val="CSP 2019-20 source"/>
      <sheetName val="PH Grant source"/>
      <sheetName val="BFL"/>
      <sheetName val="CT"/>
      <sheetName val="PHG"/>
      <sheetName val="BR 2020-21"/>
      <sheetName val="BR 2020-21res"/>
      <sheetName val="Retained BR growth"/>
      <sheetName val="RSG"/>
      <sheetName val="RSDG"/>
      <sheetName val="GLA"/>
      <sheetName val="iBCF"/>
      <sheetName val="WP Grant"/>
      <sheetName val="SCS Grant"/>
      <sheetName val="NHB"/>
      <sheetName val="Other Grant non CSP"/>
      <sheetName val="BCF"/>
      <sheetName val="CAWA"/>
      <sheetName val="RNRR"/>
      <sheetName val="TOT INCsw"/>
      <sheetName val="Supporting data &gt;&gt;"/>
      <sheetName val="ONS Population Estimates"/>
      <sheetName val="Population Data"/>
      <sheetName val="LA Restructure 2019"/>
      <sheetName val="LA lookup"/>
      <sheetName val="Lists"/>
      <sheetName val="CA"/>
      <sheetName val="W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sheetData sheetId="59" refreshError="1"/>
      <sheetData sheetId="60" refreshError="1"/>
      <sheetData sheetId="61"/>
      <sheetData sheetId="62" refreshError="1"/>
      <sheetData sheetId="63" refreshError="1"/>
      <sheetData sheetId="64" refreshError="1"/>
      <sheetData sheetId="6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AWDL"/>
      <sheetName val="Demographics by SMLVL"/>
      <sheetName val="Single Day Absences"/>
      <sheetName val="Trend Analysis"/>
      <sheetName val="Reasons by FT-PT, Gender"/>
      <sheetName val="Office Breakdown"/>
      <sheetName val="CostCodeData"/>
      <sheetName val="Filter"/>
      <sheetName val="CostCodeSummary"/>
      <sheetName val="Days, Episodes, FTE WDL"/>
      <sheetName val="FTE Worked"/>
      <sheetName val="SiP data"/>
      <sheetName val="Ful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516 data"/>
      <sheetName val="Adjusted 1516 data"/>
      <sheetName val="1617 Calculations"/>
      <sheetName val="1718 Calculations"/>
      <sheetName val="1819 Calculations"/>
      <sheetName val="1920 Calculations"/>
      <sheetName val="Calculation of Scaling Factors"/>
      <sheetName val="1516_data"/>
    </sheetNames>
    <sheetDataSet>
      <sheetData sheetId="0"/>
      <sheetData sheetId="1"/>
      <sheetData sheetId="2"/>
      <sheetData sheetId="3"/>
      <sheetData sheetId="4"/>
      <sheetData sheetId="5"/>
      <sheetData sheetId="6"/>
      <sheetData sheetId="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hart-reserves thirds,4%asc,rnf"/>
      <sheetName val="reserve thirds, 4% asc, rnf"/>
      <sheetName val="Pressure"/>
      <sheetName val="DH Funding gaps"/>
      <sheetName val="CSP"/>
      <sheetName val="RO 1516"/>
      <sheetName val="Reserves1415"/>
      <sheetName val="Reserves"/>
      <sheetName val="IBCF 6"/>
      <sheetName val="Settlement 105m"/>
      <sheetName val="Sources and parameters"/>
      <sheetName val="Formluae for sorting"/>
      <sheetName val="IBCF 4"/>
      <sheetName val="RNF"/>
      <sheetName val="NHB savings"/>
      <sheetName val="Calc"/>
      <sheetName val="Toward funding"/>
      <sheetName val="Summary of scenarios"/>
      <sheetName val="New RNF"/>
      <sheetName val="IBCF calc 345"/>
      <sheetName val="Rank"/>
      <sheetName val="slides 4 and 5"/>
      <sheetName val="slides 6 and 7"/>
      <sheetName val="slides 8 and 9"/>
      <sheetName val="extra slide for gavin"/>
      <sheetName val="TSE 1415"/>
      <sheetName val="TSE"/>
      <sheetName val="CSP2017-18"/>
      <sheetName val="DHCareMarketsIndicators"/>
      <sheetName val="IBCF3"/>
      <sheetName val="ASC precept"/>
      <sheetName val="CSP 5.1 Nominal"/>
      <sheetName val="CSP BY CLASS - nominal"/>
      <sheetName val="FinRiskModelSourceData"/>
      <sheetName val="Pressures_17_18"/>
      <sheetName val="Correlation matrix"/>
      <sheetName val="LA Codes Cross-reference"/>
      <sheetName val="Ch4%,105+500Pressures"/>
      <sheetName val="Ch4%,605Pressures"/>
      <sheetName val="Ch4%,105+500Gap"/>
      <sheetName val="Ch4%,605gap"/>
      <sheetName val="Graph, Stacked bars (2)"/>
      <sheetName val="Graph, Stacked bars"/>
      <sheetName val="Correlations"/>
      <sheetName val="Chart, Scatter"/>
      <sheetName val="Graph, pressure v reserves (thi"/>
      <sheetName val="Table, Bottom third"/>
      <sheetName val="Graph, pasc pc met"/>
      <sheetName val="Graph, ptot pc met"/>
      <sheetName val="Graph, pressure v reserves"/>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gt;"/>
      <sheetName val="Data"/>
      <sheetName val="Classification"/>
      <sheetName val="PSAT Capital Reconciliation"/>
      <sheetName val="PSAT Current Reconciliation"/>
      <sheetName val="PEF_LOADFILE 03 Mar"/>
      <sheetName val="Dept AMEsum"/>
      <sheetName val="DELsum"/>
      <sheetName val="PC DELsum"/>
      <sheetName val="DOMINANTdl adjusted"/>
      <sheetName val="DOMINANTdl before adjs"/>
      <sheetName val="Adjusts to DOMINANTdl"/>
      <sheetName val="Queries --&gt;"/>
      <sheetName val="Ftabs Query"/>
      <sheetName val="NA Query"/>
      <sheetName val="New DEL Query"/>
      <sheetName val="Mod Query"/>
      <sheetName val="AA Query"/>
      <sheetName val="Mod Query (2)"/>
      <sheetName val="NA Query (2)"/>
      <sheetName val="Ftabs Query (2)"/>
      <sheetName val="New DEL Query (2)"/>
      <sheetName val="AA Query (2)"/>
      <sheetName val="Calcs --&gt;"/>
      <sheetName val="Calculations"/>
      <sheetName val="LA Current"/>
      <sheetName val="LA Cap"/>
      <sheetName val="Outputs --&gt;"/>
      <sheetName val="Ftabs input"/>
      <sheetName val="TME"/>
      <sheetName val="PSAT2"/>
      <sheetName val="New AA table"/>
      <sheetName val="Model ---&gt;"/>
      <sheetName val="Mod input"/>
      <sheetName val="Model BEFORE input"/>
      <sheetName val="Upload"/>
      <sheetName val=" Model AFTER input"/>
      <sheetName val="Mod input - Model AFTER input"/>
      <sheetName val="Other---&gt;"/>
      <sheetName val="New PSCE, PSNI tables"/>
      <sheetName val="Conversion from old tables"/>
      <sheetName val="Admin---&gt;"/>
      <sheetName val="Notes"/>
      <sheetName val="EC codes"/>
      <sheetName val="PEF_LOADFILE 22 Fe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List of Returns"/>
      <sheetName val="Table 1"/>
      <sheetName val="Table 2"/>
      <sheetName val="Table 3"/>
      <sheetName val="Tables 4a &amp; 4b"/>
      <sheetName val="Tables 5a &amp; 5b"/>
      <sheetName val="Tables 6a &amp; 6b"/>
      <sheetName val="Tables 7a &amp; 7b"/>
      <sheetName val="Tables 8a, 8b &amp; 8c"/>
      <sheetName val="Table 9"/>
      <sheetName val="List_of_Returns"/>
      <sheetName val="Table_1"/>
      <sheetName val="Table_2"/>
      <sheetName val="Table_3"/>
      <sheetName val="Tables_4a_&amp;_4b"/>
      <sheetName val="Tables_5a_&amp;_5b"/>
      <sheetName val="Tables_6a_&amp;_6b"/>
      <sheetName val="Tables_7a_&amp;_7b"/>
      <sheetName val="Tables_8a,_8b_&amp;_8c"/>
      <sheetName val="Table_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R1 Form"/>
      <sheetName val="Supplementary"/>
      <sheetName val="Validation"/>
      <sheetName val="DATA"/>
      <sheetName val="Preceptors"/>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Guidance"/>
      <sheetName val="Risks CCGs"/>
      <sheetName val="2%CCGs"/>
      <sheetName val="QIPP CCG"/>
      <sheetName val="DataSheet"/>
      <sheetName val="Sheet1 (2)"/>
    </sheetNames>
    <sheetDataSet>
      <sheetData sheetId="0"/>
      <sheetData sheetId="1"/>
      <sheetData sheetId="2"/>
      <sheetData sheetId="3"/>
      <sheetData sheetId="4"/>
      <sheetData sheetId="5"/>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Guidance"/>
      <sheetName val="Risks CCGs"/>
      <sheetName val="2%CCGs"/>
      <sheetName val="QIPP CCG"/>
      <sheetName val="DataSheet"/>
    </sheetNames>
    <sheetDataSet>
      <sheetData sheetId="0"/>
      <sheetData sheetId="1"/>
      <sheetData sheetId="2"/>
      <sheetData sheetId="3"/>
      <sheetData sheetId="4"/>
      <sheetData sheetId="5"/>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ection A"/>
      <sheetName val="Memorandum, Sects B &amp; C"/>
      <sheetName val="Section D"/>
      <sheetName val="Section E"/>
      <sheetName val="PWLB CR"/>
      <sheetName val="Validation"/>
      <sheetName val="Data"/>
      <sheetName val="Section_A"/>
      <sheetName val="Memorandum,_Sects_B_&amp;_C"/>
      <sheetName val="Section_D"/>
      <sheetName val="Section_E"/>
      <sheetName val="PWLB_CR"/>
      <sheetName val="Section_A1"/>
      <sheetName val="Memorandum,_Sects_B_&amp;_C1"/>
      <sheetName val="Section_D1"/>
      <sheetName val="Section_E1"/>
      <sheetName val="PWLB_CR1"/>
      <sheetName val="Section_A2"/>
      <sheetName val="Memorandum,_Sects_B_&amp;_C2"/>
      <sheetName val="Section_D2"/>
      <sheetName val="Section_E2"/>
      <sheetName val="PWLB_CR2"/>
      <sheetName val="Section_A3"/>
      <sheetName val="Memorandum,_Sects_B_&amp;_C3"/>
      <sheetName val="Section_D3"/>
      <sheetName val="Section_E3"/>
      <sheetName val="PWLB_CR3"/>
      <sheetName val="Section_A4"/>
      <sheetName val="Memorandum,_Sects_B_&amp;_C4"/>
      <sheetName val="Section_D4"/>
      <sheetName val="Section_E4"/>
      <sheetName val="PWLB_CR4"/>
      <sheetName val="Section_A5"/>
      <sheetName val="Memorandum,_Sects_B_&amp;_C5"/>
      <sheetName val="Section_D5"/>
      <sheetName val="Section_E5"/>
      <sheetName val="PWLB_CR5"/>
      <sheetName val="Section_A6"/>
      <sheetName val="Memorandum,_Sects_B_&amp;_C6"/>
      <sheetName val="Section_D6"/>
      <sheetName val="Section_E6"/>
      <sheetName val="PWLB_CR6"/>
      <sheetName val="Section_A7"/>
      <sheetName val="Memorandum,_Sects_B_&amp;_C7"/>
      <sheetName val="Section_D7"/>
      <sheetName val="Section_E7"/>
      <sheetName val="PWLB_CR7"/>
      <sheetName val="Section_A8"/>
      <sheetName val="Memorandum,_Sects_B_&amp;_C8"/>
      <sheetName val="Section_D8"/>
      <sheetName val="Section_E8"/>
      <sheetName val="PWLB_CR8"/>
      <sheetName val="Section_A9"/>
      <sheetName val="Memorandum,_Sects_B_&amp;_C9"/>
      <sheetName val="Section_D9"/>
      <sheetName val="Section_E9"/>
      <sheetName val="PWLB_CR9"/>
      <sheetName val="Section_A10"/>
      <sheetName val="Memorandum,_Sects_B_&amp;_C10"/>
      <sheetName val="Section_D10"/>
      <sheetName val="Section_E10"/>
      <sheetName val="PWLB_CR10"/>
      <sheetName val="Section_A11"/>
      <sheetName val="Memorandum,_Sects_B_&amp;_C11"/>
      <sheetName val="Section_D11"/>
      <sheetName val="Section_E11"/>
      <sheetName val="PWLB_CR11"/>
      <sheetName val="Section_A12"/>
      <sheetName val="Memorandum,_Sects_B_&amp;_C12"/>
      <sheetName val="Section_D12"/>
      <sheetName val="Section_E12"/>
      <sheetName val="PWLB_CR12"/>
    </sheetNames>
    <sheetDataSet>
      <sheetData sheetId="0" refreshError="1"/>
      <sheetData sheetId="1"/>
      <sheetData sheetId="2"/>
      <sheetData sheetId="3"/>
      <sheetData sheetId="4"/>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QA Log"/>
      <sheetName val="Data register"/>
      <sheetName val="Raw Data"/>
      <sheetName val="Raw Data deduped"/>
      <sheetName val="pNomis _published_releases"/>
      <sheetName val="Lookups"/>
      <sheetName val="Results"/>
      <sheetName val="Table3 Results by prison group"/>
      <sheetName val="Hub Prison List"/>
      <sheetName val="Sheet7"/>
      <sheetName val="RAG bands"/>
      <sheetName val="Table1 to send to MHCLG"/>
      <sheetName val="Outcomes by sentence length"/>
      <sheetName val="Table 2 to send to MHCLG"/>
      <sheetName val="AQA_Log"/>
      <sheetName val="Data_register"/>
      <sheetName val="Raw_Data"/>
      <sheetName val="Raw_Data_deduped"/>
      <sheetName val="pNomis__published_releases"/>
      <sheetName val="Table3_Results_by_prison_group"/>
      <sheetName val="Hub_Prison_List"/>
      <sheetName val="RAG_bands"/>
      <sheetName val="Table1_to_send_to_MHCLG"/>
      <sheetName val="Outcomes_by_sentence_length"/>
      <sheetName val="Table_2_to_send_to_MHCLG"/>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 val="ENGLAND parameters"/>
      <sheetName val="4.6 ten year bonds"/>
      <sheetName val="Lead_package"/>
      <sheetName val="Lead_(both)"/>
      <sheetName val="Full_Tally"/>
      <sheetName val="Summary_Table"/>
      <sheetName val="ENGLAND_parameters"/>
      <sheetName val="4_6_ten_year_bonds"/>
      <sheetName val="Lead_package1"/>
      <sheetName val="Lead_(both)1"/>
      <sheetName val="Full_Tally1"/>
      <sheetName val="Summary_Table1"/>
      <sheetName val="ENGLAND_parameters1"/>
      <sheetName val="4_6_ten_year_bonds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able 1 - 1617"/>
      <sheetName val="Table 2 - 1516"/>
      <sheetName val="Table 2 - 1617"/>
      <sheetName val="Annex A"/>
      <sheetName val="Annex A - 2014 15"/>
      <sheetName val="FINAL LGFS - National"/>
      <sheetName val="RA - 1617"/>
      <sheetName val="RA - 1516"/>
      <sheetName val="LA Summary"/>
      <sheetName val="Sheet2"/>
      <sheetName val="RA LA Data 2015-16 (1)"/>
      <sheetName val="RA LA Data 2015-16 (2)"/>
      <sheetName val="RA LA Data 2016-17"/>
      <sheetName val="RA LA Data 2014-15 (1)"/>
      <sheetName val="LASFE SP CT(excl police,parish)"/>
      <sheetName val="Copied from FINAL LGFS"/>
      <sheetName val="Not protected ASC"/>
      <sheetName val="Not protected ASC (2)"/>
      <sheetName val="Protected ASC"/>
      <sheetName val="RS LA Data 2014-15 (1)"/>
      <sheetName val="ILF gra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s"/>
      <sheetName val="Validations"/>
      <sheetName val="Other Checks"/>
      <sheetName val="Financial Statements"/>
      <sheetName val="SoCNE"/>
      <sheetName val="SoFP"/>
      <sheetName val="SoCF"/>
      <sheetName val="SoCTE"/>
      <sheetName val="1 Acc Pols"/>
      <sheetName val="2 Segments"/>
      <sheetName val="3 Staff costs"/>
      <sheetName val="4 Expenditure"/>
      <sheetName val="4.2 Non-cash"/>
      <sheetName val="5 Income"/>
      <sheetName val="6 PPE"/>
      <sheetName val="6.1 Investment Property"/>
      <sheetName val="7 IA"/>
      <sheetName val="8 Impairments"/>
      <sheetName val="9.1 Capital Commitments"/>
      <sheetName val="9.2.1 Operating Leases"/>
      <sheetName val="9.2.3 Finance Leases"/>
      <sheetName val="9.3 PFI and LIFT"/>
      <sheetName val="9.4 Other Fin Comm"/>
      <sheetName val="10 Fin Instruments"/>
      <sheetName val="11 Investments"/>
      <sheetName val="11.1 AssHeldForSale"/>
      <sheetName val="12 Inventories"/>
      <sheetName val="13 Cash"/>
      <sheetName val="14 Receivables"/>
      <sheetName val="15 Payables"/>
      <sheetName val="16a Provisions"/>
      <sheetName val="16b Provisions"/>
      <sheetName val="16.1 Pensions"/>
      <sheetName val="17 Contingent Assets &amp; Liab"/>
      <sheetName val="18 Related Party"/>
      <sheetName val="19 Charities"/>
      <sheetName val="20 Events after reporting prd"/>
      <sheetName val="21 Entities within boundary"/>
      <sheetName val="22 Third Party Assets"/>
      <sheetName val="Table C5"/>
      <sheetName val="Table C12"/>
      <sheetName val="AR Staff numbers"/>
      <sheetName val="AR Exit packages"/>
      <sheetName val="AR Other departures"/>
      <sheetName val="AR SoPS"/>
      <sheetName val="AR SoPS1.1"/>
      <sheetName val="AR SoPS1.2"/>
      <sheetName val="AR SoPS2"/>
      <sheetName val="AR SoPS3"/>
      <sheetName val="AR SoPS4.1"/>
      <sheetName val="AR SoPS4.2"/>
      <sheetName val="AR Parl Acc Disc"/>
      <sheetName val="AR LSP"/>
      <sheetName val="AR Fees and Charges"/>
      <sheetName val="AR Remote liabilit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IVE"/>
      <sheetName val="Pivot"/>
      <sheetName val="Charts"/>
      <sheetName val="Sumprod"/>
      <sheetName val="Type of Spend"/>
      <sheetName val="Year Comparison"/>
      <sheetName val="T&amp;S by Qtr"/>
      <sheetName val="Cost centre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act split"/>
      <sheetName val="Core Costs"/>
      <sheetName val="Cost breakdown"/>
      <sheetName val="Controls"/>
      <sheetName val="Info used"/>
      <sheetName val="Data Register"/>
      <sheetName val="AQA Log"/>
      <sheetName val="Start up costs"/>
      <sheetName val="Successful referrals"/>
      <sheetName val="Assumptions Register"/>
      <sheetName val="Current contract costs"/>
      <sheetName val="User volumes"/>
      <sheetName val="Service use split"/>
      <sheetName val="Discont"/>
      <sheetName val="As is"/>
      <sheetName val="Nat reproc"/>
      <sheetName val="CRC"/>
      <sheetName val="Option 0"/>
      <sheetName val="Option 1"/>
      <sheetName val="Option 2"/>
      <sheetName val="Option 3"/>
      <sheetName val="Contract Mgmt"/>
      <sheetName val="Procurement"/>
      <sheetName val="CPI"/>
      <sheetName val="OB"/>
      <sheetName val="Indexation"/>
      <sheetName val="Prison costs"/>
      <sheetName val="Sensitivity 1 calcs"/>
      <sheetName val="Sensitivity 1 overview"/>
      <sheetName val="Sensitivity 2"/>
      <sheetName val="Sensitivity 3 calcs"/>
      <sheetName val="Options summary"/>
      <sheetName val="Sensitivity 4 overview "/>
      <sheetName val="Sensitivity 3 overview"/>
      <sheetName val="Sensitivity 4 calcs "/>
      <sheetName val="Contract_split"/>
      <sheetName val="Core_Costs"/>
      <sheetName val="Cost_breakdown"/>
      <sheetName val="Info_used"/>
      <sheetName val="Data_Register"/>
      <sheetName val="AQA_Log"/>
      <sheetName val="Start_up_costs"/>
      <sheetName val="Successful_referrals"/>
      <sheetName val="Assumptions_Register"/>
      <sheetName val="Current_contract_costs"/>
      <sheetName val="User_volumes"/>
      <sheetName val="Service_use_split"/>
      <sheetName val="As_is"/>
      <sheetName val="Nat_reproc"/>
      <sheetName val="Option_0"/>
      <sheetName val="Option_1"/>
      <sheetName val="Option_2"/>
      <sheetName val="Option_3"/>
      <sheetName val="Contract_Mgmt"/>
      <sheetName val="Prison_costs"/>
      <sheetName val="Sensitivity_1_calcs"/>
      <sheetName val="Sensitivity_1_overview"/>
      <sheetName val="Sensitivity_2"/>
      <sheetName val="Sensitivity_3_calcs"/>
      <sheetName val="Options_summary"/>
      <sheetName val="Sensitivity_4_overview_"/>
      <sheetName val="Sensitivity_3_overview"/>
      <sheetName val="Sensitivity_4_calcs_"/>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_page"/>
      <sheetName val="pop"/>
      <sheetName val="births"/>
      <sheetName val="births_for_term_breakdown"/>
      <sheetName val="pop_(2)"/>
      <sheetName val="term_breakdown_-_ages_3,_4_&amp;_5"/>
      <sheetName val="Chart_Birth_Projection"/>
      <sheetName val="Chart_Birth_projection_%"/>
      <sheetName val="Comparison-Pop_Trends_(E&amp;W)"/>
      <sheetName val="Comparison-Pop_Trends_(E)"/>
      <sheetName val="Chart_1_to_15"/>
      <sheetName val="Chart_birth_term_breakdown_(%)"/>
      <sheetName val="Chart1_term_breakdown_(Num)"/>
      <sheetName val="cover page"/>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El. calcs (Okun)"/>
      <sheetName val="Instructions"/>
      <sheetName val="Macro"/>
      <sheetName val="Calc"/>
      <sheetName val="E input"/>
      <sheetName val="F input"/>
      <sheetName val="Tariffs"/>
      <sheetName val="BBB"/>
      <sheetName val="Furlough"/>
      <sheetName val="In-year DEL"/>
      <sheetName val="Output (agg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B Form"/>
      <sheetName val="CTB Supplementary Form"/>
      <sheetName val="CT Support"/>
      <sheetName val="Family Annexe"/>
      <sheetName val="Flex Empty"/>
      <sheetName val="Data"/>
      <sheetName val="LA list"/>
    </sheetNames>
    <sheetDataSet>
      <sheetData sheetId="0"/>
      <sheetData sheetId="1" refreshError="1"/>
      <sheetData sheetId="2" refreshError="1"/>
      <sheetData sheetId="3" refreshError="1"/>
      <sheetData sheetId="4" refreshError="1"/>
      <sheetData sheetId="5"/>
      <sheetData sheetId="6"/>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ickStartOverview"/>
      <sheetName val="Version,ChangeLog"/>
      <sheetName val="QALog"/>
      <sheetName val="FullOverview"/>
      <sheetName val="Issues and actions log"/>
      <sheetName val="Assumptions"/>
      <sheetName val="Demand model assumptions"/>
      <sheetName val="Calculations - resources"/>
      <sheetName val="O - Pressure v taxbase"/>
      <sheetName val="O - Pressure v taxbase (2)"/>
      <sheetName val="LA - total"/>
      <sheetName val="LA - total social care"/>
      <sheetName val="LA - old ASC"/>
      <sheetName val="LA - young ASC"/>
      <sheetName val="LA - other ASC"/>
      <sheetName val="LA - CSC"/>
      <sheetName val="LA - Education"/>
      <sheetName val="LA - Concessionary travel"/>
      <sheetName val="LA - Highways"/>
      <sheetName val="LA - Population pressure"/>
      <sheetName val="LA - Household pressure"/>
      <sheetName val="LA - Pro-rata"/>
      <sheetName val="RA LA Data 2015-16"/>
      <sheetName val="RS LA Data 2015-16"/>
      <sheetName val="LA level 1516-1920"/>
      <sheetName val="Net expenditure - SR Scenarios"/>
      <sheetName val="National 0910-3940"/>
      <sheetName val="SC - SD factor"/>
      <sheetName val="LA Codes Cross-reference"/>
      <sheetName val="SD to SC lookup"/>
      <sheetName val="Population projections"/>
      <sheetName val="Population estimates (Nomis)"/>
      <sheetName val="First difference population"/>
      <sheetName val="All pop - UT"/>
      <sheetName val="Child pop - UT"/>
      <sheetName val="Adult pop - UT"/>
      <sheetName val="Working Age Adult pop - UT"/>
      <sheetName val="Older Adult pop - UT"/>
      <sheetName val="Household projections"/>
      <sheetName val="First difference households"/>
      <sheetName val="DfT Traffic Proj"/>
      <sheetName val="Traffic proj proportions"/>
      <sheetName val="Defra Waste proj"/>
      <sheetName val="DH DISPO v13"/>
      <sheetName val="DH long-term projections"/>
      <sheetName val="OBR retained BR forecasts"/>
      <sheetName val="Business Rates"/>
      <sheetName val="Council taxbase 2016"/>
      <sheetName val="Council Taxbase Forecast"/>
      <sheetName val="OBR CT Revenues Forecast"/>
      <sheetName val="Core Spending Power"/>
      <sheetName val="Baseline Allocations"/>
      <sheetName val="Additional ASC funding"/>
      <sheetName val="OBR Inflation Forecast"/>
      <sheetName val="Public health outturn"/>
      <sheetName val="Add public health projections"/>
      <sheetName val="DCLG CT Level Increases"/>
      <sheetName val="HMT CT Level Increases"/>
      <sheetName val="Feb 2017 CT Levels"/>
      <sheetName val="DH ASC expenditure milestones"/>
      <sheetName val="RNF estimated allocation share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1 Form"/>
      <sheetName val="CTR1_Form"/>
      <sheetName val="CTR1_Form1"/>
      <sheetName val="CTR1_Form3"/>
      <sheetName val="CTR1_Form2"/>
      <sheetName val="CTR1_Form4"/>
    </sheetNames>
    <sheetDataSet>
      <sheetData sheetId="0" refreshError="1"/>
      <sheetData sheetId="1" refreshError="1"/>
      <sheetData sheetId="2"/>
      <sheetData sheetId="3"/>
      <sheetData sheetId="4"/>
      <sheetData sheetId="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SF3 Expenditure &amp; Income"/>
      <sheetName val="All Memo items"/>
      <sheetName val="Main Validation"/>
      <sheetName val="Data"/>
      <sheetName val="Sheet1"/>
      <sheetName val="Info"/>
      <sheetName val="Access 1"/>
      <sheetName val="Access 2"/>
      <sheetName val="SF3_Expenditure_&amp;_Income"/>
      <sheetName val="All_Memo_items"/>
      <sheetName val="Main_Validation"/>
      <sheetName val="Access_1"/>
      <sheetName val="Access_2"/>
    </sheetNames>
    <sheetDataSet>
      <sheetData sheetId="0"/>
      <sheetData sheetId="1"/>
      <sheetData sheetId="2" refreshError="1"/>
      <sheetData sheetId="3" refreshError="1"/>
      <sheetData sheetId="4"/>
      <sheetData sheetId="5"/>
      <sheetData sheetId="6"/>
      <sheetData sheetId="7" refreshError="1"/>
      <sheetData sheetId="8" refreshError="1"/>
      <sheetData sheetId="9"/>
      <sheetData sheetId="10"/>
      <sheetData sheetId="11"/>
      <sheetData sheetId="12"/>
      <sheetData sheetId="13"/>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A LA Data 2011-12 (1)"/>
      <sheetName val="RA LA Data 2011-12 (2)"/>
      <sheetName val="RA LA Data 2011-12 (3)"/>
      <sheetName val="Col refs"/>
    </sheetNames>
    <sheetDataSet>
      <sheetData sheetId="0"/>
      <sheetData sheetId="1"/>
      <sheetData sheetId="2"/>
      <sheetData sheetId="3"/>
      <sheetData sheetId="4"/>
      <sheetData sheetId="5"/>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Controls"/>
      <sheetName val="Data Register"/>
      <sheetName val="AQA Log"/>
      <sheetName val="Tips"/>
      <sheetName val="Data_Register"/>
      <sheetName val="AQA_Log"/>
    </sheetNames>
    <sheetDataSet>
      <sheetData sheetId="0"/>
      <sheetData sheetId="1"/>
      <sheetData sheetId="2"/>
      <sheetData sheetId="3"/>
      <sheetData sheetId="4"/>
      <sheetData sheetId="5"/>
      <sheetData sheetId="6"/>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Part 1"/>
      <sheetName val="Part 2"/>
      <sheetName val="Part 2 DA Summary"/>
      <sheetName val="Part 3"/>
      <sheetName val="Part 4"/>
      <sheetName val="Part 5"/>
      <sheetName val="Main Validation"/>
      <sheetName val="NNDR3_P1"/>
      <sheetName val="NNDR3_P2"/>
      <sheetName val="Access_DASummary"/>
      <sheetName val="NNDR3_P3"/>
      <sheetName val="NNDR3_P4"/>
      <sheetName val="NNDR3_P5"/>
      <sheetName val="Data"/>
      <sheetName val="EZ list"/>
      <sheetName val="LA list"/>
      <sheetName val="LA_info"/>
      <sheetName val="TierSplit"/>
      <sheetName val="SSB &amp; Pubs Relief &amp; Amounts"/>
      <sheetName val="Discretionary Scheme Allocation"/>
      <sheetName val="SBRR threshold amounts"/>
      <sheetName val="Access_NNDR3_allparts"/>
      <sheetName val="Access_Val"/>
      <sheetName val="CHECK_P1"/>
      <sheetName val="CHECK_P2"/>
      <sheetName val="CHECK_P3"/>
      <sheetName val="CHECK_P4"/>
      <sheetName val="CHECK_P5"/>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Part 1"/>
      <sheetName val="Part 2"/>
      <sheetName val="Part 3"/>
      <sheetName val="Part 4"/>
      <sheetName val="Part 5"/>
      <sheetName val="Validation"/>
      <sheetName val="Parameters"/>
      <sheetName val="TierSplit"/>
      <sheetName val="Data"/>
      <sheetName val="Sheet1"/>
      <sheetName val="Part_1"/>
      <sheetName val="Part_2"/>
      <sheetName val="Part_3"/>
      <sheetName val="Part_4"/>
      <sheetName val="Part_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Dint 11 outputs"/>
      <sheetName val="Dint 11"/>
      <sheetName val="F'cast bud 11 (2)"/>
      <sheetName val="Expresumm"/>
      <sheetName val="SotND"/>
      <sheetName val="Data (monthly)"/>
      <sheetName val="Output to BRIAN"/>
      <sheetName val="Output to eTC  (F) "/>
      <sheetName val="Output to eTC  "/>
      <sheetName val="OutturnNotes"/>
      <sheetName val="DINT 2010"/>
      <sheetName val="Dint2011"/>
      <sheetName val="Menus"/>
      <sheetName val="Qtly_summary"/>
      <sheetName val="Dint_11_outputs"/>
      <sheetName val="Dint_11"/>
      <sheetName val="F'cast_bud_11_(2)"/>
      <sheetName val="Data_(monthly)"/>
      <sheetName val="Output_to_BRIAN"/>
      <sheetName val="Output_to_eTC__(F)_"/>
      <sheetName val="Output_to_eTC__"/>
      <sheetName val="DINT_2010"/>
      <sheetName val="Qtly_summary1"/>
      <sheetName val="Dint_11_outputs1"/>
      <sheetName val="Dint_111"/>
      <sheetName val="F'cast_bud_11_(2)1"/>
      <sheetName val="Data_(monthly)1"/>
      <sheetName val="Output_to_BRIAN1"/>
      <sheetName val="Output_to_eTC__(F)_1"/>
      <sheetName val="Output_to_eTC__1"/>
      <sheetName val="DINT_20101"/>
    </sheetNames>
    <sheetDataSet>
      <sheetData sheetId="0"/>
      <sheetData sheetId="1"/>
      <sheetData sheetId="2">
        <row r="3">
          <cell r="B3" t="str">
            <v>OT</v>
          </cell>
        </row>
      </sheetData>
      <sheetData sheetId="3"/>
      <sheetData sheetId="4"/>
      <sheetData sheetId="5"/>
      <sheetData sheetId="6">
        <row r="6">
          <cell r="A6" t="str">
            <v xml:space="preserve">  NSBF</v>
          </cell>
          <cell r="B6" t="str">
            <v xml:space="preserve">  NILO gilts totalexcl NIF etc.</v>
          </cell>
          <cell r="C6">
            <v>6.0000000000000001E-3</v>
          </cell>
          <cell r="D6">
            <v>0</v>
          </cell>
          <cell r="E6">
            <v>2.6840000000000002</v>
          </cell>
          <cell r="F6">
            <v>5.9999999999997833E-3</v>
          </cell>
          <cell r="G6">
            <v>2.3370000000000002</v>
          </cell>
          <cell r="H6">
            <v>0.107</v>
          </cell>
          <cell r="I6">
            <v>6.0000000000000001E-3</v>
          </cell>
          <cell r="J6">
            <v>0</v>
          </cell>
          <cell r="K6">
            <v>2.6840000000000002</v>
          </cell>
          <cell r="L6">
            <v>5.9999999999997833E-3</v>
          </cell>
          <cell r="M6">
            <v>2.3370000000000006</v>
          </cell>
          <cell r="N6">
            <v>-21.177999999999997</v>
          </cell>
          <cell r="O6">
            <v>-11.004999999999995</v>
          </cell>
          <cell r="P6" t="str">
            <v>|</v>
          </cell>
          <cell r="Q6">
            <v>2.69</v>
          </cell>
          <cell r="R6">
            <v>2.4500000000000002</v>
          </cell>
          <cell r="S6">
            <v>2.69</v>
          </cell>
          <cell r="T6">
            <v>-18.834999999999997</v>
          </cell>
          <cell r="U6">
            <v>-11.004999999999997</v>
          </cell>
          <cell r="V6" t="str">
            <v>|</v>
          </cell>
        </row>
        <row r="7">
          <cell r="A7" t="str">
            <v xml:space="preserve">  ISIA</v>
          </cell>
          <cell r="B7" t="str">
            <v xml:space="preserve">  of which ISIA</v>
          </cell>
          <cell r="C7">
            <v>0</v>
          </cell>
          <cell r="D7">
            <v>0</v>
          </cell>
          <cell r="E7">
            <v>0</v>
          </cell>
          <cell r="F7">
            <v>0</v>
          </cell>
          <cell r="G7">
            <v>0</v>
          </cell>
          <cell r="H7">
            <v>0</v>
          </cell>
          <cell r="I7">
            <v>0</v>
          </cell>
          <cell r="J7">
            <v>0</v>
          </cell>
          <cell r="K7">
            <v>0</v>
          </cell>
          <cell r="L7">
            <v>0</v>
          </cell>
          <cell r="M7">
            <v>0</v>
          </cell>
          <cell r="N7">
            <v>0</v>
          </cell>
          <cell r="O7">
            <v>0</v>
          </cell>
          <cell r="P7" t="str">
            <v>|</v>
          </cell>
          <cell r="Q7">
            <v>0</v>
          </cell>
          <cell r="R7">
            <v>0</v>
          </cell>
          <cell r="S7">
            <v>0</v>
          </cell>
          <cell r="T7">
            <v>0</v>
          </cell>
          <cell r="U7">
            <v>0</v>
          </cell>
          <cell r="V7" t="str">
            <v>|</v>
          </cell>
        </row>
        <row r="8">
          <cell r="A8" t="str">
            <v xml:space="preserve">  CFIA</v>
          </cell>
          <cell r="B8" t="str">
            <v xml:space="preserve">  of which CFIA</v>
          </cell>
          <cell r="C8">
            <v>0</v>
          </cell>
          <cell r="D8">
            <v>0</v>
          </cell>
          <cell r="E8">
            <v>0</v>
          </cell>
          <cell r="F8">
            <v>0</v>
          </cell>
          <cell r="G8">
            <v>0</v>
          </cell>
          <cell r="H8">
            <v>0</v>
          </cell>
          <cell r="I8">
            <v>0</v>
          </cell>
          <cell r="J8">
            <v>0</v>
          </cell>
          <cell r="K8">
            <v>0</v>
          </cell>
          <cell r="L8">
            <v>0</v>
          </cell>
          <cell r="M8">
            <v>-10.204000000000001</v>
          </cell>
          <cell r="N8">
            <v>10.26</v>
          </cell>
          <cell r="O8">
            <v>5.5999999999999162E-2</v>
          </cell>
          <cell r="P8" t="str">
            <v>|</v>
          </cell>
          <cell r="Q8">
            <v>0</v>
          </cell>
          <cell r="R8">
            <v>0</v>
          </cell>
          <cell r="S8">
            <v>0</v>
          </cell>
          <cell r="T8">
            <v>5.5999999999999162E-2</v>
          </cell>
          <cell r="U8">
            <v>5.5999999999999162E-2</v>
          </cell>
          <cell r="V8" t="str">
            <v>|</v>
          </cell>
        </row>
        <row r="9">
          <cell r="A9" t="str">
            <v xml:space="preserve">  NSBIF</v>
          </cell>
          <cell r="B9" t="str">
            <v xml:space="preserve">    </v>
          </cell>
        </row>
        <row r="12">
          <cell r="A12" t="str">
            <v>PAYMENTS TO LOCAL AUTHORS</v>
          </cell>
          <cell r="B12" t="str">
            <v>PAYMENTS TO LOCAL AUTHORitieS</v>
          </cell>
          <cell r="P12" t="str">
            <v>|</v>
          </cell>
          <cell r="Q12">
            <v>0</v>
          </cell>
          <cell r="R12">
            <v>0</v>
          </cell>
          <cell r="S12">
            <v>0</v>
          </cell>
          <cell r="T12">
            <v>0</v>
          </cell>
          <cell r="U12">
            <v>0</v>
          </cell>
          <cell r="V12" t="str">
            <v>|</v>
          </cell>
        </row>
        <row r="13">
          <cell r="P13" t="str">
            <v>|</v>
          </cell>
          <cell r="Q13">
            <v>0</v>
          </cell>
          <cell r="R13">
            <v>0</v>
          </cell>
          <cell r="S13">
            <v>0</v>
          </cell>
          <cell r="T13">
            <v>0</v>
          </cell>
          <cell r="U13">
            <v>0</v>
          </cell>
          <cell r="V13" t="str">
            <v>|</v>
          </cell>
        </row>
        <row r="14">
          <cell r="A14" t="str">
            <v xml:space="preserve">  Gilts</v>
          </cell>
          <cell r="B14" t="str">
            <v xml:space="preserve">  Gilts</v>
          </cell>
          <cell r="C14">
            <v>2</v>
          </cell>
          <cell r="D14">
            <v>2</v>
          </cell>
          <cell r="E14">
            <v>2</v>
          </cell>
          <cell r="F14">
            <v>2</v>
          </cell>
          <cell r="G14">
            <v>2</v>
          </cell>
          <cell r="H14">
            <v>2</v>
          </cell>
          <cell r="I14">
            <v>2</v>
          </cell>
          <cell r="J14">
            <v>2</v>
          </cell>
          <cell r="K14">
            <v>2</v>
          </cell>
          <cell r="L14">
            <v>2</v>
          </cell>
          <cell r="M14">
            <v>2</v>
          </cell>
          <cell r="N14">
            <v>2</v>
          </cell>
          <cell r="O14">
            <v>24</v>
          </cell>
          <cell r="P14" t="str">
            <v>|</v>
          </cell>
          <cell r="Q14">
            <v>6</v>
          </cell>
          <cell r="R14">
            <v>6</v>
          </cell>
          <cell r="S14">
            <v>6</v>
          </cell>
          <cell r="T14">
            <v>6</v>
          </cell>
          <cell r="U14">
            <v>24</v>
          </cell>
          <cell r="V14" t="str">
            <v>|</v>
          </cell>
        </row>
        <row r="15">
          <cell r="A15" t="str">
            <v xml:space="preserve">  T bills</v>
          </cell>
          <cell r="B15" t="str">
            <v xml:space="preserve">  T bills</v>
          </cell>
          <cell r="C15">
            <v>0</v>
          </cell>
          <cell r="D15">
            <v>0</v>
          </cell>
          <cell r="E15">
            <v>0</v>
          </cell>
          <cell r="F15">
            <v>0</v>
          </cell>
          <cell r="G15">
            <v>0</v>
          </cell>
          <cell r="H15">
            <v>0</v>
          </cell>
          <cell r="I15">
            <v>0</v>
          </cell>
          <cell r="J15">
            <v>0</v>
          </cell>
          <cell r="K15">
            <v>0</v>
          </cell>
          <cell r="L15">
            <v>0</v>
          </cell>
          <cell r="M15">
            <v>0</v>
          </cell>
          <cell r="N15">
            <v>0</v>
          </cell>
          <cell r="O15">
            <v>0</v>
          </cell>
          <cell r="P15" t="str">
            <v>|</v>
          </cell>
          <cell r="Q15">
            <v>0</v>
          </cell>
          <cell r="R15">
            <v>0</v>
          </cell>
          <cell r="S15">
            <v>0</v>
          </cell>
          <cell r="T15">
            <v>0</v>
          </cell>
          <cell r="U15">
            <v>0</v>
          </cell>
          <cell r="V15" t="str">
            <v>|</v>
          </cell>
        </row>
        <row r="16">
          <cell r="A16" t="str">
            <v xml:space="preserve">  National savings</v>
          </cell>
          <cell r="B16" t="str">
            <v xml:space="preserve">  National savings</v>
          </cell>
          <cell r="C16">
            <v>0</v>
          </cell>
          <cell r="D16">
            <v>0</v>
          </cell>
          <cell r="E16">
            <v>0</v>
          </cell>
          <cell r="F16">
            <v>0</v>
          </cell>
          <cell r="G16">
            <v>0</v>
          </cell>
          <cell r="H16">
            <v>0</v>
          </cell>
          <cell r="I16">
            <v>0</v>
          </cell>
          <cell r="J16">
            <v>0</v>
          </cell>
          <cell r="K16">
            <v>0</v>
          </cell>
          <cell r="L16">
            <v>0</v>
          </cell>
          <cell r="M16">
            <v>0</v>
          </cell>
          <cell r="N16">
            <v>0</v>
          </cell>
          <cell r="O16">
            <v>0</v>
          </cell>
          <cell r="P16" t="str">
            <v>|</v>
          </cell>
          <cell r="Q16">
            <v>0</v>
          </cell>
          <cell r="R16">
            <v>0</v>
          </cell>
          <cell r="S16">
            <v>0</v>
          </cell>
          <cell r="T16">
            <v>0</v>
          </cell>
          <cell r="U16">
            <v>0</v>
          </cell>
          <cell r="V16" t="str">
            <v>|</v>
          </cell>
        </row>
        <row r="17">
          <cell r="A17" t="str">
            <v xml:space="preserve">  NHS xferred funds</v>
          </cell>
          <cell r="B17" t="str">
            <v xml:space="preserve">  NHS xferred funds</v>
          </cell>
          <cell r="C17">
            <v>0</v>
          </cell>
          <cell r="D17">
            <v>0</v>
          </cell>
          <cell r="E17">
            <v>0</v>
          </cell>
          <cell r="F17">
            <v>0</v>
          </cell>
          <cell r="G17">
            <v>0</v>
          </cell>
          <cell r="H17">
            <v>0</v>
          </cell>
          <cell r="I17">
            <v>0</v>
          </cell>
          <cell r="J17">
            <v>0</v>
          </cell>
          <cell r="K17">
            <v>0</v>
          </cell>
          <cell r="L17">
            <v>0</v>
          </cell>
          <cell r="M17">
            <v>0</v>
          </cell>
          <cell r="N17">
            <v>0</v>
          </cell>
          <cell r="O17">
            <v>0</v>
          </cell>
          <cell r="P17" t="str">
            <v>|</v>
          </cell>
          <cell r="Q17">
            <v>0</v>
          </cell>
          <cell r="R17">
            <v>0</v>
          </cell>
          <cell r="S17">
            <v>0</v>
          </cell>
          <cell r="T17">
            <v>0</v>
          </cell>
          <cell r="U17">
            <v>0</v>
          </cell>
          <cell r="V17" t="str">
            <v>|</v>
          </cell>
        </row>
        <row r="19">
          <cell r="A19" t="str">
            <v>PAYMENTS TO PUBLIC CORPS</v>
          </cell>
          <cell r="B19" t="str">
            <v>PAYMENTS TO PUBLIC CORPS</v>
          </cell>
          <cell r="P19" t="str">
            <v>|</v>
          </cell>
          <cell r="Q19">
            <v>0</v>
          </cell>
          <cell r="R19">
            <v>0</v>
          </cell>
          <cell r="S19">
            <v>0</v>
          </cell>
          <cell r="T19">
            <v>0</v>
          </cell>
          <cell r="U19">
            <v>0</v>
          </cell>
          <cell r="V19" t="str">
            <v>|</v>
          </cell>
        </row>
        <row r="20">
          <cell r="P20" t="str">
            <v>|</v>
          </cell>
          <cell r="Q20">
            <v>0</v>
          </cell>
          <cell r="R20">
            <v>0</v>
          </cell>
          <cell r="S20">
            <v>0</v>
          </cell>
          <cell r="T20">
            <v>0</v>
          </cell>
          <cell r="U20">
            <v>0</v>
          </cell>
          <cell r="V20" t="str">
            <v>|</v>
          </cell>
        </row>
        <row r="21">
          <cell r="A21" t="str">
            <v xml:space="preserve">  T bills</v>
          </cell>
          <cell r="B21" t="str">
            <v xml:space="preserve">  T bills</v>
          </cell>
          <cell r="C21">
            <v>0</v>
          </cell>
          <cell r="D21">
            <v>0</v>
          </cell>
          <cell r="E21">
            <v>0</v>
          </cell>
          <cell r="F21">
            <v>0</v>
          </cell>
          <cell r="G21">
            <v>0</v>
          </cell>
          <cell r="H21">
            <v>0</v>
          </cell>
          <cell r="I21">
            <v>0</v>
          </cell>
          <cell r="J21">
            <v>0</v>
          </cell>
          <cell r="K21">
            <v>0</v>
          </cell>
          <cell r="L21">
            <v>0</v>
          </cell>
          <cell r="M21">
            <v>0</v>
          </cell>
          <cell r="N21">
            <v>0</v>
          </cell>
          <cell r="O21">
            <v>0</v>
          </cell>
          <cell r="P21" t="str">
            <v>|</v>
          </cell>
          <cell r="Q21">
            <v>0</v>
          </cell>
          <cell r="R21">
            <v>0</v>
          </cell>
          <cell r="S21">
            <v>0</v>
          </cell>
          <cell r="T21">
            <v>0</v>
          </cell>
          <cell r="U21">
            <v>0</v>
          </cell>
          <cell r="V21" t="str">
            <v>|</v>
          </cell>
        </row>
        <row r="22">
          <cell r="A22" t="str">
            <v xml:space="preserve">  Gilts</v>
          </cell>
          <cell r="B22" t="str">
            <v xml:space="preserve">  Gilts</v>
          </cell>
          <cell r="C22">
            <v>3</v>
          </cell>
          <cell r="D22">
            <v>3</v>
          </cell>
          <cell r="E22">
            <v>3</v>
          </cell>
          <cell r="F22">
            <v>3</v>
          </cell>
          <cell r="G22">
            <v>3</v>
          </cell>
          <cell r="H22">
            <v>3</v>
          </cell>
          <cell r="I22">
            <v>3</v>
          </cell>
          <cell r="J22">
            <v>3</v>
          </cell>
          <cell r="K22">
            <v>3</v>
          </cell>
          <cell r="L22">
            <v>3</v>
          </cell>
          <cell r="M22">
            <v>3</v>
          </cell>
          <cell r="N22">
            <v>3</v>
          </cell>
          <cell r="O22">
            <v>36</v>
          </cell>
          <cell r="P22" t="str">
            <v>|</v>
          </cell>
          <cell r="Q22">
            <v>9</v>
          </cell>
          <cell r="R22">
            <v>9</v>
          </cell>
          <cell r="S22">
            <v>9</v>
          </cell>
          <cell r="T22">
            <v>9</v>
          </cell>
          <cell r="U22">
            <v>36</v>
          </cell>
          <cell r="V22" t="str">
            <v>|</v>
          </cell>
        </row>
        <row r="23">
          <cell r="A23" t="str">
            <v xml:space="preserve">  Crown Estate - divis</v>
          </cell>
          <cell r="B23" t="str">
            <v xml:space="preserve">  Crown Estate gilts</v>
          </cell>
          <cell r="C23">
            <v>0</v>
          </cell>
          <cell r="D23">
            <v>0</v>
          </cell>
          <cell r="E23">
            <v>0</v>
          </cell>
          <cell r="F23">
            <v>0</v>
          </cell>
          <cell r="G23">
            <v>0</v>
          </cell>
          <cell r="H23">
            <v>0</v>
          </cell>
          <cell r="I23">
            <v>0</v>
          </cell>
          <cell r="J23">
            <v>0</v>
          </cell>
          <cell r="K23">
            <v>0</v>
          </cell>
          <cell r="L23">
            <v>0</v>
          </cell>
          <cell r="M23">
            <v>0</v>
          </cell>
          <cell r="N23">
            <v>0</v>
          </cell>
          <cell r="O23">
            <v>0</v>
          </cell>
          <cell r="P23" t="str">
            <v>|</v>
          </cell>
          <cell r="Q23">
            <v>0</v>
          </cell>
          <cell r="R23">
            <v>0</v>
          </cell>
          <cell r="S23">
            <v>0</v>
          </cell>
          <cell r="T23">
            <v>0</v>
          </cell>
          <cell r="U23">
            <v>0</v>
          </cell>
          <cell r="V23" t="str">
            <v>|</v>
          </cell>
        </row>
        <row r="24">
          <cell r="A24" t="str">
            <v xml:space="preserve">  CTDs</v>
          </cell>
          <cell r="B24" t="str">
            <v xml:space="preserve">  CTDs</v>
          </cell>
          <cell r="C24">
            <v>0</v>
          </cell>
          <cell r="D24">
            <v>0</v>
          </cell>
          <cell r="E24">
            <v>0</v>
          </cell>
          <cell r="F24">
            <v>0</v>
          </cell>
          <cell r="G24">
            <v>0</v>
          </cell>
          <cell r="H24">
            <v>0</v>
          </cell>
          <cell r="I24">
            <v>0</v>
          </cell>
          <cell r="J24">
            <v>0</v>
          </cell>
          <cell r="K24">
            <v>0</v>
          </cell>
          <cell r="L24">
            <v>0</v>
          </cell>
          <cell r="M24">
            <v>0</v>
          </cell>
          <cell r="N24">
            <v>0</v>
          </cell>
          <cell r="O24">
            <v>0</v>
          </cell>
          <cell r="P24" t="str">
            <v>|</v>
          </cell>
          <cell r="Q24">
            <v>0</v>
          </cell>
          <cell r="R24">
            <v>0</v>
          </cell>
          <cell r="S24">
            <v>0</v>
          </cell>
          <cell r="T24">
            <v>0</v>
          </cell>
          <cell r="U24">
            <v>0</v>
          </cell>
          <cell r="V24" t="str">
            <v>|</v>
          </cell>
        </row>
        <row r="26">
          <cell r="A26" t="str">
            <v>Northern Ireland pmts</v>
          </cell>
          <cell r="B26" t="str">
            <v>Northern Ireland</v>
          </cell>
          <cell r="C26">
            <v>0</v>
          </cell>
          <cell r="D26">
            <v>0</v>
          </cell>
          <cell r="E26">
            <v>0</v>
          </cell>
          <cell r="F26">
            <v>0</v>
          </cell>
          <cell r="G26">
            <v>0</v>
          </cell>
          <cell r="H26">
            <v>0</v>
          </cell>
          <cell r="I26">
            <v>0</v>
          </cell>
          <cell r="J26">
            <v>0</v>
          </cell>
          <cell r="K26">
            <v>0</v>
          </cell>
          <cell r="L26">
            <v>0</v>
          </cell>
          <cell r="M26">
            <v>0</v>
          </cell>
          <cell r="N26">
            <v>0</v>
          </cell>
          <cell r="O26">
            <v>0</v>
          </cell>
          <cell r="P26" t="str">
            <v>|</v>
          </cell>
          <cell r="Q26">
            <v>0</v>
          </cell>
          <cell r="R26">
            <v>0</v>
          </cell>
          <cell r="S26">
            <v>0</v>
          </cell>
          <cell r="T26">
            <v>0</v>
          </cell>
          <cell r="U26">
            <v>0</v>
          </cell>
          <cell r="V26" t="str">
            <v>|</v>
          </cell>
        </row>
        <row r="28">
          <cell r="B28" t="str">
            <v>CFERs from:</v>
          </cell>
        </row>
        <row r="29">
          <cell r="A29" t="str">
            <v>CFERs: LAs</v>
          </cell>
          <cell r="B29" t="str">
            <v xml:space="preserve">   subtotal CFERs (S15)</v>
          </cell>
          <cell r="C29">
            <v>0</v>
          </cell>
          <cell r="D29">
            <v>0</v>
          </cell>
          <cell r="E29">
            <v>0</v>
          </cell>
          <cell r="F29">
            <v>0</v>
          </cell>
          <cell r="G29">
            <v>0</v>
          </cell>
          <cell r="H29">
            <v>0</v>
          </cell>
          <cell r="I29">
            <v>0</v>
          </cell>
          <cell r="J29">
            <v>0</v>
          </cell>
          <cell r="K29">
            <v>0</v>
          </cell>
          <cell r="L29">
            <v>0</v>
          </cell>
          <cell r="M29">
            <v>0</v>
          </cell>
          <cell r="N29">
            <v>0</v>
          </cell>
          <cell r="O29">
            <v>0</v>
          </cell>
          <cell r="P29" t="str">
            <v>|</v>
          </cell>
          <cell r="Q29">
            <v>0</v>
          </cell>
          <cell r="R29">
            <v>0</v>
          </cell>
          <cell r="S29">
            <v>0</v>
          </cell>
          <cell r="T29">
            <v>0</v>
          </cell>
          <cell r="U29">
            <v>0</v>
          </cell>
          <cell r="V29" t="str">
            <v>|</v>
          </cell>
        </row>
        <row r="30">
          <cell r="A30" t="str">
            <v>CFERs: PC</v>
          </cell>
          <cell r="B30" t="str">
            <v xml:space="preserve">   subtotal CFERs (S20)</v>
          </cell>
          <cell r="C30">
            <v>0</v>
          </cell>
          <cell r="D30">
            <v>0</v>
          </cell>
          <cell r="E30">
            <v>0</v>
          </cell>
          <cell r="F30">
            <v>0</v>
          </cell>
          <cell r="G30">
            <v>0</v>
          </cell>
          <cell r="H30">
            <v>0</v>
          </cell>
          <cell r="I30">
            <v>0</v>
          </cell>
          <cell r="J30">
            <v>0</v>
          </cell>
          <cell r="K30">
            <v>0</v>
          </cell>
          <cell r="L30">
            <v>0</v>
          </cell>
          <cell r="M30">
            <v>0</v>
          </cell>
          <cell r="N30">
            <v>0</v>
          </cell>
          <cell r="O30">
            <v>0</v>
          </cell>
          <cell r="P30" t="str">
            <v>|</v>
          </cell>
          <cell r="Q30">
            <v>0</v>
          </cell>
          <cell r="R30">
            <v>0</v>
          </cell>
          <cell r="S30">
            <v>0</v>
          </cell>
          <cell r="T30">
            <v>0</v>
          </cell>
          <cell r="U30">
            <v>0</v>
          </cell>
          <cell r="V30" t="str">
            <v>|</v>
          </cell>
        </row>
        <row r="31">
          <cell r="A31" t="str">
            <v>CFERs: other</v>
          </cell>
          <cell r="B31" t="str">
            <v xml:space="preserve">   subtotal CFERs (S10 and S25)</v>
          </cell>
          <cell r="C31">
            <v>70.32842857639244</v>
          </cell>
          <cell r="D31">
            <v>22.672672813607949</v>
          </cell>
          <cell r="E31">
            <v>23.328428576392433</v>
          </cell>
          <cell r="F31">
            <v>22.620946335096505</v>
          </cell>
          <cell r="G31">
            <v>23.061175094759772</v>
          </cell>
          <cell r="H31">
            <v>22.937606286536361</v>
          </cell>
          <cell r="I31">
            <v>70.013431128974602</v>
          </cell>
          <cell r="J31">
            <v>22.363417243461466</v>
          </cell>
          <cell r="K31">
            <v>21.719323926641039</v>
          </cell>
          <cell r="L31">
            <v>22.343301392260937</v>
          </cell>
          <cell r="M31">
            <v>22.332099650302183</v>
          </cell>
          <cell r="N31">
            <v>20.442449295124622</v>
          </cell>
          <cell r="O31">
            <v>364.16328031955021</v>
          </cell>
          <cell r="P31" t="str">
            <v>|</v>
          </cell>
          <cell r="Q31">
            <v>116.32952996639281</v>
          </cell>
          <cell r="R31">
            <v>68.619727716392646</v>
          </cell>
          <cell r="S31">
            <v>114.09617229907711</v>
          </cell>
          <cell r="T31">
            <v>65.117850337687742</v>
          </cell>
          <cell r="U31">
            <v>364.16328031955032</v>
          </cell>
          <cell r="V31" t="str">
            <v>|</v>
          </cell>
        </row>
        <row r="33">
          <cell r="A33" t="str">
            <v>NIF - LA</v>
          </cell>
          <cell r="B33" t="str">
            <v>NIF - LA</v>
          </cell>
          <cell r="C33">
            <v>0</v>
          </cell>
          <cell r="D33">
            <v>0</v>
          </cell>
          <cell r="E33">
            <v>0</v>
          </cell>
          <cell r="F33">
            <v>0</v>
          </cell>
          <cell r="G33">
            <v>0</v>
          </cell>
          <cell r="H33">
            <v>0</v>
          </cell>
          <cell r="I33">
            <v>0</v>
          </cell>
          <cell r="J33">
            <v>0</v>
          </cell>
          <cell r="K33">
            <v>0</v>
          </cell>
          <cell r="L33">
            <v>0</v>
          </cell>
          <cell r="M33">
            <v>0</v>
          </cell>
          <cell r="N33">
            <v>0</v>
          </cell>
          <cell r="O33">
            <v>0</v>
          </cell>
          <cell r="P33" t="str">
            <v>|</v>
          </cell>
          <cell r="Q33">
            <v>0</v>
          </cell>
          <cell r="R33">
            <v>0</v>
          </cell>
          <cell r="S33">
            <v>0</v>
          </cell>
          <cell r="T33">
            <v>0</v>
          </cell>
          <cell r="U33">
            <v>0</v>
          </cell>
          <cell r="V33" t="str">
            <v>|</v>
          </cell>
        </row>
        <row r="34">
          <cell r="A34" t="str">
            <v>NLD  - LA</v>
          </cell>
        </row>
        <row r="36">
          <cell r="A36" t="str">
            <v>Northern Ireland rcpts from:</v>
          </cell>
          <cell r="B36" t="str">
            <v>Northern Ireland rcpts from:</v>
          </cell>
          <cell r="P36" t="str">
            <v>|</v>
          </cell>
          <cell r="Q36">
            <v>0</v>
          </cell>
          <cell r="R36">
            <v>0</v>
          </cell>
          <cell r="S36">
            <v>0</v>
          </cell>
          <cell r="T36">
            <v>0</v>
          </cell>
          <cell r="U36">
            <v>0</v>
          </cell>
          <cell r="V36" t="str">
            <v>|</v>
          </cell>
        </row>
        <row r="37">
          <cell r="A37" t="str">
            <v xml:space="preserve">   Local authorities</v>
          </cell>
          <cell r="B37" t="str">
            <v xml:space="preserve">   Local authorities</v>
          </cell>
          <cell r="C37">
            <v>2</v>
          </cell>
          <cell r="D37">
            <v>2</v>
          </cell>
          <cell r="E37">
            <v>2</v>
          </cell>
          <cell r="F37">
            <v>2</v>
          </cell>
          <cell r="G37">
            <v>2</v>
          </cell>
          <cell r="H37">
            <v>2</v>
          </cell>
          <cell r="I37">
            <v>2</v>
          </cell>
          <cell r="J37">
            <v>2</v>
          </cell>
          <cell r="K37">
            <v>2</v>
          </cell>
          <cell r="L37">
            <v>2</v>
          </cell>
          <cell r="M37">
            <v>2</v>
          </cell>
          <cell r="N37">
            <v>2</v>
          </cell>
          <cell r="O37">
            <v>24</v>
          </cell>
          <cell r="P37" t="str">
            <v>|</v>
          </cell>
          <cell r="Q37">
            <v>6</v>
          </cell>
          <cell r="R37">
            <v>6</v>
          </cell>
          <cell r="S37">
            <v>6</v>
          </cell>
          <cell r="T37">
            <v>6</v>
          </cell>
          <cell r="U37">
            <v>24</v>
          </cell>
          <cell r="V37" t="str">
            <v>|</v>
          </cell>
        </row>
        <row r="38">
          <cell r="A38" t="str">
            <v xml:space="preserve">   Public corporations</v>
          </cell>
          <cell r="B38" t="str">
            <v xml:space="preserve">   Public corporations</v>
          </cell>
          <cell r="C38">
            <v>9</v>
          </cell>
          <cell r="D38">
            <v>9</v>
          </cell>
          <cell r="E38">
            <v>9</v>
          </cell>
          <cell r="F38">
            <v>9</v>
          </cell>
          <cell r="G38">
            <v>9</v>
          </cell>
          <cell r="H38">
            <v>9</v>
          </cell>
          <cell r="I38">
            <v>9</v>
          </cell>
          <cell r="J38">
            <v>9</v>
          </cell>
          <cell r="K38">
            <v>9</v>
          </cell>
          <cell r="L38">
            <v>9</v>
          </cell>
          <cell r="M38">
            <v>9</v>
          </cell>
          <cell r="N38">
            <v>9</v>
          </cell>
          <cell r="O38">
            <v>108</v>
          </cell>
          <cell r="P38" t="str">
            <v>|</v>
          </cell>
          <cell r="Q38">
            <v>27</v>
          </cell>
          <cell r="R38">
            <v>27</v>
          </cell>
          <cell r="S38">
            <v>27</v>
          </cell>
          <cell r="T38">
            <v>27</v>
          </cell>
          <cell r="U38">
            <v>108</v>
          </cell>
          <cell r="V38" t="str">
            <v>|</v>
          </cell>
        </row>
        <row r="39">
          <cell r="A39" t="str">
            <v xml:space="preserve"> NHS Trusts (incl PDC divi</v>
          </cell>
          <cell r="B39" t="str">
            <v xml:space="preserve"> NHS Trusts (incl PDC divi</v>
          </cell>
          <cell r="C39">
            <v>0</v>
          </cell>
          <cell r="D39">
            <v>0</v>
          </cell>
          <cell r="E39">
            <v>0</v>
          </cell>
          <cell r="F39">
            <v>0</v>
          </cell>
          <cell r="G39">
            <v>0</v>
          </cell>
          <cell r="H39">
            <v>0</v>
          </cell>
          <cell r="I39">
            <v>0</v>
          </cell>
          <cell r="J39">
            <v>0</v>
          </cell>
          <cell r="K39">
            <v>0</v>
          </cell>
          <cell r="L39">
            <v>0</v>
          </cell>
          <cell r="M39">
            <v>0</v>
          </cell>
          <cell r="N39">
            <v>0</v>
          </cell>
          <cell r="O39">
            <v>0</v>
          </cell>
          <cell r="P39" t="str">
            <v>|</v>
          </cell>
          <cell r="Q39">
            <v>0</v>
          </cell>
          <cell r="R39">
            <v>0</v>
          </cell>
          <cell r="S39">
            <v>0</v>
          </cell>
          <cell r="T39">
            <v>0</v>
          </cell>
          <cell r="U39">
            <v>0</v>
          </cell>
          <cell r="V39" t="str">
            <v>|</v>
          </cell>
        </row>
        <row r="40">
          <cell r="A40" t="str">
            <v xml:space="preserve">   Other</v>
          </cell>
          <cell r="B40" t="str">
            <v xml:space="preserve">   Other</v>
          </cell>
          <cell r="C40">
            <v>0</v>
          </cell>
          <cell r="D40">
            <v>0</v>
          </cell>
          <cell r="E40">
            <v>0</v>
          </cell>
          <cell r="F40">
            <v>0</v>
          </cell>
          <cell r="G40">
            <v>0</v>
          </cell>
          <cell r="H40">
            <v>0</v>
          </cell>
          <cell r="I40">
            <v>0</v>
          </cell>
          <cell r="J40">
            <v>0</v>
          </cell>
          <cell r="K40">
            <v>0</v>
          </cell>
          <cell r="L40">
            <v>0</v>
          </cell>
          <cell r="M40">
            <v>0</v>
          </cell>
          <cell r="N40">
            <v>0</v>
          </cell>
          <cell r="O40">
            <v>0</v>
          </cell>
          <cell r="P40" t="str">
            <v>|</v>
          </cell>
          <cell r="Q40">
            <v>0</v>
          </cell>
          <cell r="R40">
            <v>0</v>
          </cell>
          <cell r="S40">
            <v>0</v>
          </cell>
          <cell r="T40">
            <v>0</v>
          </cell>
          <cell r="U40">
            <v>0</v>
          </cell>
          <cell r="V40" t="str">
            <v>|</v>
          </cell>
        </row>
        <row r="41">
          <cell r="P41" t="str">
            <v>|</v>
          </cell>
          <cell r="Q41">
            <v>0</v>
          </cell>
          <cell r="R41">
            <v>0</v>
          </cell>
          <cell r="S41">
            <v>0</v>
          </cell>
          <cell r="T41">
            <v>0</v>
          </cell>
          <cell r="U41">
            <v>0</v>
          </cell>
          <cell r="V41" t="str">
            <v>|</v>
          </cell>
        </row>
        <row r="42">
          <cell r="A42" t="str">
            <v>Miscellaneous rcpts from:</v>
          </cell>
          <cell r="B42" t="str">
            <v>Miscellaneous rcpts from:</v>
          </cell>
          <cell r="P42" t="str">
            <v>|</v>
          </cell>
          <cell r="Q42">
            <v>0</v>
          </cell>
          <cell r="R42">
            <v>0</v>
          </cell>
          <cell r="S42">
            <v>0</v>
          </cell>
          <cell r="T42">
            <v>0</v>
          </cell>
          <cell r="U42">
            <v>0</v>
          </cell>
          <cell r="V42" t="str">
            <v>|</v>
          </cell>
        </row>
        <row r="43">
          <cell r="A43" t="str">
            <v xml:space="preserve">   Local authorities</v>
          </cell>
          <cell r="B43" t="str">
            <v xml:space="preserve">   Local authorities</v>
          </cell>
          <cell r="C43">
            <v>1</v>
          </cell>
          <cell r="D43">
            <v>1</v>
          </cell>
          <cell r="E43">
            <v>1</v>
          </cell>
          <cell r="F43">
            <v>1</v>
          </cell>
          <cell r="G43">
            <v>1</v>
          </cell>
          <cell r="H43">
            <v>1</v>
          </cell>
          <cell r="I43">
            <v>1</v>
          </cell>
          <cell r="J43">
            <v>1</v>
          </cell>
          <cell r="K43">
            <v>1</v>
          </cell>
          <cell r="L43">
            <v>1</v>
          </cell>
          <cell r="M43">
            <v>1</v>
          </cell>
          <cell r="N43">
            <v>1</v>
          </cell>
          <cell r="O43">
            <v>12</v>
          </cell>
          <cell r="P43" t="str">
            <v>|</v>
          </cell>
          <cell r="Q43">
            <v>3</v>
          </cell>
          <cell r="R43">
            <v>3</v>
          </cell>
          <cell r="S43">
            <v>3</v>
          </cell>
          <cell r="T43">
            <v>3</v>
          </cell>
          <cell r="U43">
            <v>12</v>
          </cell>
          <cell r="V43" t="str">
            <v>|</v>
          </cell>
        </row>
        <row r="44">
          <cell r="A44" t="str">
            <v xml:space="preserve">   Public corporations</v>
          </cell>
          <cell r="B44" t="str">
            <v xml:space="preserve">   Public corporations</v>
          </cell>
          <cell r="C44">
            <v>1</v>
          </cell>
          <cell r="D44">
            <v>1</v>
          </cell>
          <cell r="E44">
            <v>1</v>
          </cell>
          <cell r="F44">
            <v>1</v>
          </cell>
          <cell r="G44">
            <v>1</v>
          </cell>
          <cell r="H44">
            <v>1</v>
          </cell>
          <cell r="I44">
            <v>1</v>
          </cell>
          <cell r="J44">
            <v>1</v>
          </cell>
          <cell r="K44">
            <v>1</v>
          </cell>
          <cell r="L44">
            <v>1</v>
          </cell>
          <cell r="M44">
            <v>1</v>
          </cell>
          <cell r="N44">
            <v>1</v>
          </cell>
          <cell r="O44">
            <v>12</v>
          </cell>
          <cell r="P44" t="str">
            <v>|</v>
          </cell>
          <cell r="Q44">
            <v>3</v>
          </cell>
          <cell r="R44">
            <v>3</v>
          </cell>
          <cell r="S44">
            <v>3</v>
          </cell>
          <cell r="T44">
            <v>3</v>
          </cell>
          <cell r="U44">
            <v>12</v>
          </cell>
          <cell r="V44" t="str">
            <v>|</v>
          </cell>
        </row>
        <row r="45">
          <cell r="A45" t="str">
            <v xml:space="preserve">   Other</v>
          </cell>
          <cell r="B45">
            <v>0</v>
          </cell>
          <cell r="C45">
            <v>0</v>
          </cell>
          <cell r="D45">
            <v>0</v>
          </cell>
          <cell r="E45">
            <v>0</v>
          </cell>
          <cell r="F45">
            <v>0</v>
          </cell>
          <cell r="G45">
            <v>0</v>
          </cell>
          <cell r="H45">
            <v>0</v>
          </cell>
          <cell r="I45">
            <v>0</v>
          </cell>
          <cell r="J45">
            <v>0</v>
          </cell>
          <cell r="K45">
            <v>0</v>
          </cell>
          <cell r="L45">
            <v>0</v>
          </cell>
          <cell r="M45">
            <v>0</v>
          </cell>
          <cell r="N45">
            <v>0</v>
          </cell>
          <cell r="P45" t="str">
            <v>|</v>
          </cell>
          <cell r="Q45">
            <v>0</v>
          </cell>
          <cell r="R45">
            <v>0</v>
          </cell>
          <cell r="S45">
            <v>0</v>
          </cell>
          <cell r="T45">
            <v>0</v>
          </cell>
          <cell r="U45">
            <v>0</v>
          </cell>
          <cell r="V45" t="str">
            <v>|</v>
          </cell>
        </row>
        <row r="46">
          <cell r="P46" t="str">
            <v>|</v>
          </cell>
          <cell r="Q46">
            <v>0</v>
          </cell>
          <cell r="R46">
            <v>0</v>
          </cell>
          <cell r="S46">
            <v>0</v>
          </cell>
          <cell r="T46">
            <v>0</v>
          </cell>
          <cell r="U46">
            <v>0</v>
          </cell>
          <cell r="V46" t="str">
            <v>|</v>
          </cell>
        </row>
        <row r="47">
          <cell r="A47" t="str">
            <v>Int from housing assocs</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t="str">
            <v>|</v>
          </cell>
          <cell r="Q47">
            <v>0</v>
          </cell>
          <cell r="R47">
            <v>0</v>
          </cell>
          <cell r="S47">
            <v>0</v>
          </cell>
          <cell r="T47">
            <v>0</v>
          </cell>
          <cell r="U47">
            <v>0</v>
          </cell>
          <cell r="V47" t="str">
            <v>|</v>
          </cell>
        </row>
        <row r="48">
          <cell r="C48" t="str">
            <v xml:space="preserve"> </v>
          </cell>
          <cell r="O48">
            <v>0</v>
          </cell>
          <cell r="P48" t="str">
            <v>|</v>
          </cell>
          <cell r="V48" t="str">
            <v>|</v>
          </cell>
        </row>
        <row r="49">
          <cell r="A49" t="str">
            <v>GEFCO</v>
          </cell>
          <cell r="B49" t="str">
            <v>GEFCO</v>
          </cell>
          <cell r="C49" t="str">
            <v xml:space="preserve"> </v>
          </cell>
          <cell r="O49" t="str">
            <v xml:space="preserve"> </v>
          </cell>
        </row>
        <row r="50">
          <cell r="A50" t="str">
            <v>Buy-outs (-ve)</v>
          </cell>
          <cell r="B50" t="str">
            <v>Buy-outs (-ve)</v>
          </cell>
          <cell r="C50">
            <v>0</v>
          </cell>
          <cell r="D50">
            <v>0</v>
          </cell>
          <cell r="E50">
            <v>0</v>
          </cell>
          <cell r="F50">
            <v>0</v>
          </cell>
          <cell r="G50">
            <v>0</v>
          </cell>
          <cell r="H50">
            <v>0</v>
          </cell>
          <cell r="I50">
            <v>0</v>
          </cell>
          <cell r="J50">
            <v>0</v>
          </cell>
          <cell r="K50">
            <v>0</v>
          </cell>
          <cell r="L50">
            <v>0</v>
          </cell>
          <cell r="M50">
            <v>0</v>
          </cell>
          <cell r="N50">
            <v>0</v>
          </cell>
          <cell r="O50">
            <v>0</v>
          </cell>
          <cell r="Q50">
            <v>0</v>
          </cell>
          <cell r="R50">
            <v>0</v>
          </cell>
          <cell r="S50">
            <v>0</v>
          </cell>
          <cell r="T50">
            <v>0</v>
          </cell>
          <cell r="U50">
            <v>0</v>
          </cell>
        </row>
        <row r="51">
          <cell r="A51" t="str">
            <v>Drawings (-ve)</v>
          </cell>
          <cell r="B51" t="str">
            <v>Drawings (-ve)</v>
          </cell>
          <cell r="C51">
            <v>0</v>
          </cell>
          <cell r="D51">
            <v>0</v>
          </cell>
          <cell r="E51">
            <v>0</v>
          </cell>
          <cell r="F51">
            <v>0</v>
          </cell>
          <cell r="G51">
            <v>0</v>
          </cell>
          <cell r="H51">
            <v>0</v>
          </cell>
          <cell r="I51">
            <v>0</v>
          </cell>
          <cell r="J51">
            <v>0</v>
          </cell>
          <cell r="K51">
            <v>0</v>
          </cell>
          <cell r="L51">
            <v>0</v>
          </cell>
          <cell r="M51">
            <v>0</v>
          </cell>
          <cell r="N51">
            <v>0</v>
          </cell>
          <cell r="O51">
            <v>0</v>
          </cell>
          <cell r="Q51">
            <v>0</v>
          </cell>
          <cell r="R51">
            <v>0</v>
          </cell>
          <cell r="S51">
            <v>0</v>
          </cell>
          <cell r="T51">
            <v>0</v>
          </cell>
          <cell r="U51">
            <v>0</v>
          </cell>
        </row>
        <row r="52">
          <cell r="A52" t="str">
            <v>Repayments  (+ve)</v>
          </cell>
          <cell r="B52" t="str">
            <v>Repayments  (+ve)</v>
          </cell>
          <cell r="C52">
            <v>24.693368331578945</v>
          </cell>
          <cell r="D52">
            <v>14.761265126315793</v>
          </cell>
          <cell r="E52">
            <v>12.14272236</v>
          </cell>
          <cell r="F52">
            <v>22.686846250000002</v>
          </cell>
          <cell r="G52">
            <v>9.6809232826315803</v>
          </cell>
          <cell r="H52">
            <v>26.867566499999995</v>
          </cell>
          <cell r="I52">
            <v>19.677218660000001</v>
          </cell>
          <cell r="J52">
            <v>44.082273519999994</v>
          </cell>
          <cell r="K52">
            <v>6.7601182500000006</v>
          </cell>
          <cell r="L52">
            <v>12.43250402</v>
          </cell>
          <cell r="M52">
            <v>7.9439738900000005</v>
          </cell>
          <cell r="N52">
            <v>10.930205299999999</v>
          </cell>
          <cell r="O52">
            <v>212.65898549052633</v>
          </cell>
          <cell r="Q52">
            <v>51.597355817894737</v>
          </cell>
          <cell r="R52">
            <v>59.235336032631579</v>
          </cell>
          <cell r="S52">
            <v>70.51961043</v>
          </cell>
          <cell r="T52">
            <v>31.306683209999996</v>
          </cell>
          <cell r="U52">
            <v>212.65898549052631</v>
          </cell>
        </row>
        <row r="53">
          <cell r="A53" t="str">
            <v>Net policy loans &gt;&gt; -iii</v>
          </cell>
          <cell r="B53" t="str">
            <v>Net policy loans &gt;&gt; -iii</v>
          </cell>
          <cell r="C53">
            <v>24.693368331578945</v>
          </cell>
          <cell r="D53">
            <v>14.761265126315793</v>
          </cell>
          <cell r="E53">
            <v>12.14272236</v>
          </cell>
          <cell r="F53">
            <v>22.686846250000002</v>
          </cell>
          <cell r="G53">
            <v>9.6809232826315803</v>
          </cell>
          <cell r="H53">
            <v>26.867566499999995</v>
          </cell>
          <cell r="I53">
            <v>19.677218660000001</v>
          </cell>
          <cell r="J53">
            <v>44.082273519999994</v>
          </cell>
          <cell r="K53">
            <v>6.7601182500000006</v>
          </cell>
          <cell r="L53">
            <v>12.43250402</v>
          </cell>
          <cell r="M53">
            <v>7.9439738900000005</v>
          </cell>
          <cell r="N53">
            <v>10.930205299999999</v>
          </cell>
          <cell r="O53">
            <v>212.65898549052633</v>
          </cell>
          <cell r="Q53">
            <v>51.597355817894737</v>
          </cell>
          <cell r="R53">
            <v>59.235336032631579</v>
          </cell>
          <cell r="S53">
            <v>70.51961043</v>
          </cell>
          <cell r="T53">
            <v>31.306683209999996</v>
          </cell>
          <cell r="U53">
            <v>212.65898549052631</v>
          </cell>
        </row>
        <row r="54">
          <cell r="B54" t="str">
            <v xml:space="preserve"> </v>
          </cell>
          <cell r="C54">
            <v>0</v>
          </cell>
          <cell r="D54">
            <v>0</v>
          </cell>
          <cell r="E54">
            <v>0</v>
          </cell>
          <cell r="F54">
            <v>0</v>
          </cell>
          <cell r="G54">
            <v>0</v>
          </cell>
          <cell r="H54">
            <v>0</v>
          </cell>
          <cell r="I54">
            <v>0</v>
          </cell>
          <cell r="J54">
            <v>0</v>
          </cell>
          <cell r="K54">
            <v>0</v>
          </cell>
          <cell r="L54">
            <v>0</v>
          </cell>
          <cell r="M54">
            <v>0</v>
          </cell>
          <cell r="N54">
            <v>0</v>
          </cell>
          <cell r="O54">
            <v>0</v>
          </cell>
        </row>
        <row r="55">
          <cell r="A55" t="str">
            <v>Int pmts: swaps (-ve)</v>
          </cell>
          <cell r="B55" t="str">
            <v>Int pmts: swaps (-ve)</v>
          </cell>
          <cell r="C55">
            <v>0</v>
          </cell>
          <cell r="D55">
            <v>0</v>
          </cell>
          <cell r="E55">
            <v>-0.36749040999999999</v>
          </cell>
          <cell r="F55">
            <v>-2.35083047</v>
          </cell>
          <cell r="G55">
            <v>0</v>
          </cell>
          <cell r="H55">
            <v>0</v>
          </cell>
          <cell r="I55">
            <v>0</v>
          </cell>
          <cell r="J55">
            <v>0</v>
          </cell>
          <cell r="K55">
            <v>-0.37354795000000002</v>
          </cell>
          <cell r="L55">
            <v>-0.59547944999999991</v>
          </cell>
          <cell r="M55">
            <v>0</v>
          </cell>
          <cell r="N55">
            <v>0</v>
          </cell>
          <cell r="O55">
            <v>-3.6873482799999997</v>
          </cell>
          <cell r="Q55">
            <v>-0.36749040999999999</v>
          </cell>
          <cell r="R55">
            <v>-2.35083047</v>
          </cell>
          <cell r="S55">
            <v>-0.37354795000000002</v>
          </cell>
          <cell r="T55">
            <v>-0.59547944999999991</v>
          </cell>
          <cell r="U55">
            <v>-3.6873482799999997</v>
          </cell>
        </row>
        <row r="56">
          <cell r="A56" t="str">
            <v>Int pmts: bonds</v>
          </cell>
          <cell r="B56" t="str">
            <v>Int pmts: bonds</v>
          </cell>
          <cell r="C56">
            <v>0</v>
          </cell>
          <cell r="D56">
            <v>0</v>
          </cell>
          <cell r="E56">
            <v>0</v>
          </cell>
          <cell r="F56">
            <v>0</v>
          </cell>
          <cell r="G56">
            <v>0</v>
          </cell>
          <cell r="H56">
            <v>0</v>
          </cell>
          <cell r="I56">
            <v>0</v>
          </cell>
          <cell r="J56">
            <v>0</v>
          </cell>
          <cell r="K56">
            <v>0</v>
          </cell>
          <cell r="L56">
            <v>-24.375</v>
          </cell>
          <cell r="M56">
            <v>0</v>
          </cell>
          <cell r="N56">
            <v>0</v>
          </cell>
          <cell r="O56">
            <v>-24.375</v>
          </cell>
          <cell r="Q56">
            <v>0</v>
          </cell>
          <cell r="R56">
            <v>0</v>
          </cell>
          <cell r="S56">
            <v>0</v>
          </cell>
          <cell r="T56">
            <v>-24.375</v>
          </cell>
          <cell r="U56">
            <v>-24.375</v>
          </cell>
        </row>
        <row r="57">
          <cell r="A57" t="str">
            <v>Int pmts: libor/OD</v>
          </cell>
          <cell r="B57" t="str">
            <v>Int pmts: libor/OD</v>
          </cell>
          <cell r="C57">
            <v>-3.6213984210526323E-2</v>
          </cell>
          <cell r="D57">
            <v>-1.3414208189442526E-2</v>
          </cell>
          <cell r="E57">
            <v>0</v>
          </cell>
          <cell r="F57">
            <v>0</v>
          </cell>
          <cell r="G57">
            <v>0</v>
          </cell>
          <cell r="H57">
            <v>0</v>
          </cell>
          <cell r="I57">
            <v>-8.4068105263157902E-3</v>
          </cell>
          <cell r="J57">
            <v>-1.10204E-2</v>
          </cell>
          <cell r="K57">
            <v>0</v>
          </cell>
          <cell r="L57">
            <v>0</v>
          </cell>
          <cell r="M57">
            <v>0</v>
          </cell>
          <cell r="N57">
            <v>0</v>
          </cell>
          <cell r="O57">
            <v>-6.9055402926284648E-2</v>
          </cell>
          <cell r="Q57">
            <v>-4.9628192399968851E-2</v>
          </cell>
          <cell r="R57">
            <v>0</v>
          </cell>
          <cell r="S57">
            <v>-1.942721052631579E-2</v>
          </cell>
          <cell r="T57">
            <v>0</v>
          </cell>
          <cell r="U57">
            <v>-6.9055402926284648E-2</v>
          </cell>
        </row>
        <row r="58">
          <cell r="A58" t="str">
            <v>Int pmts: to CG &gt;&gt; iv</v>
          </cell>
          <cell r="B58" t="str">
            <v>Int pmts: to CG &gt;&gt; iv</v>
          </cell>
          <cell r="C58">
            <v>-2.5387177799999998</v>
          </cell>
          <cell r="D58">
            <v>-1.59587715</v>
          </cell>
          <cell r="E58">
            <v>-2.1481347599999996</v>
          </cell>
          <cell r="F58">
            <v>-2.8004129299999998</v>
          </cell>
          <cell r="G58">
            <v>-1.06637859</v>
          </cell>
          <cell r="H58">
            <v>-4.8797985700000002</v>
          </cell>
          <cell r="I58">
            <v>-1.87952293</v>
          </cell>
          <cell r="J58">
            <v>-1.4376979599999999</v>
          </cell>
          <cell r="K58">
            <v>-1.6232989099999999</v>
          </cell>
          <cell r="L58">
            <v>-1.75623606</v>
          </cell>
          <cell r="M58">
            <v>-0.77327086</v>
          </cell>
          <cell r="N58">
            <v>-4.5609903899999997</v>
          </cell>
          <cell r="O58">
            <v>-27.060336889999999</v>
          </cell>
          <cell r="Q58">
            <v>-6.2827296899999991</v>
          </cell>
          <cell r="R58">
            <v>-8.7465900899999998</v>
          </cell>
          <cell r="S58">
            <v>-4.9405197999999997</v>
          </cell>
          <cell r="T58">
            <v>-7.0904973099999999</v>
          </cell>
          <cell r="U58">
            <v>-27.060336889999999</v>
          </cell>
        </row>
        <row r="59">
          <cell r="B59" t="str">
            <v xml:space="preserve"> </v>
          </cell>
          <cell r="C59">
            <v>0</v>
          </cell>
          <cell r="D59">
            <v>0</v>
          </cell>
          <cell r="E59">
            <v>0</v>
          </cell>
          <cell r="F59">
            <v>0</v>
          </cell>
          <cell r="G59">
            <v>0</v>
          </cell>
          <cell r="H59">
            <v>0</v>
          </cell>
          <cell r="I59">
            <v>0</v>
          </cell>
          <cell r="J59">
            <v>0</v>
          </cell>
          <cell r="K59">
            <v>0</v>
          </cell>
          <cell r="L59">
            <v>0</v>
          </cell>
          <cell r="M59">
            <v>0</v>
          </cell>
          <cell r="N59">
            <v>0</v>
          </cell>
          <cell r="O59">
            <v>0</v>
          </cell>
        </row>
        <row r="60">
          <cell r="A60" t="str">
            <v>Int rcpts: Loans (+ve)</v>
          </cell>
          <cell r="B60" t="str">
            <v>Int rcpts: Loans (+ve)</v>
          </cell>
          <cell r="C60">
            <v>2.1246523736842109</v>
          </cell>
          <cell r="D60">
            <v>1.6270560477701037</v>
          </cell>
          <cell r="E60">
            <v>1.8114986887606697</v>
          </cell>
          <cell r="F60">
            <v>1.3287467278947371</v>
          </cell>
          <cell r="G60">
            <v>0.76606815631578939</v>
          </cell>
          <cell r="H60">
            <v>5.3824491594736843</v>
          </cell>
          <cell r="I60">
            <v>1.5803414257894737</v>
          </cell>
          <cell r="J60">
            <v>1.632849264736842</v>
          </cell>
          <cell r="K60">
            <v>1.3347442736842106</v>
          </cell>
          <cell r="L60">
            <v>0.80857235999999999</v>
          </cell>
          <cell r="M60">
            <v>0.59345131789473693</v>
          </cell>
          <cell r="N60">
            <v>4.8734856436842104</v>
          </cell>
          <cell r="O60">
            <v>23.863915439688668</v>
          </cell>
          <cell r="Q60">
            <v>5.563207110214984</v>
          </cell>
          <cell r="R60">
            <v>7.4772640436842108</v>
          </cell>
          <cell r="S60">
            <v>4.5479349642105262</v>
          </cell>
          <cell r="T60">
            <v>6.2755093215789479</v>
          </cell>
          <cell r="U60">
            <v>23.863915439688668</v>
          </cell>
        </row>
        <row r="61">
          <cell r="A61" t="str">
            <v>Int rcpts: surp assets</v>
          </cell>
          <cell r="B61" t="str">
            <v>Int rcpts: surp assets</v>
          </cell>
          <cell r="C61">
            <v>0</v>
          </cell>
          <cell r="D61">
            <v>0</v>
          </cell>
          <cell r="E61">
            <v>0</v>
          </cell>
          <cell r="F61">
            <v>4.0888627700000004</v>
          </cell>
          <cell r="G61">
            <v>0</v>
          </cell>
          <cell r="H61">
            <v>0</v>
          </cell>
          <cell r="I61">
            <v>0</v>
          </cell>
          <cell r="J61">
            <v>0</v>
          </cell>
          <cell r="K61">
            <v>0</v>
          </cell>
          <cell r="L61">
            <v>1.60292313</v>
          </cell>
          <cell r="M61">
            <v>0</v>
          </cell>
          <cell r="N61">
            <v>0</v>
          </cell>
          <cell r="O61">
            <v>5.6917859000000002</v>
          </cell>
          <cell r="Q61">
            <v>0</v>
          </cell>
          <cell r="R61">
            <v>4.0888627700000004</v>
          </cell>
          <cell r="S61">
            <v>0</v>
          </cell>
          <cell r="T61">
            <v>1.60292313</v>
          </cell>
          <cell r="U61">
            <v>5.6917859000000002</v>
          </cell>
        </row>
        <row r="62">
          <cell r="A62" t="str">
            <v>Int rcpts: swaps etc</v>
          </cell>
          <cell r="B62" t="str">
            <v>Int rcpts: swaps etc</v>
          </cell>
          <cell r="C62">
            <v>0</v>
          </cell>
          <cell r="D62">
            <v>0</v>
          </cell>
          <cell r="E62">
            <v>0.17325526999999999</v>
          </cell>
          <cell r="F62">
            <v>0</v>
          </cell>
          <cell r="G62">
            <v>0</v>
          </cell>
          <cell r="H62">
            <v>0</v>
          </cell>
          <cell r="I62">
            <v>0</v>
          </cell>
          <cell r="J62">
            <v>0</v>
          </cell>
          <cell r="K62">
            <v>8.1504820000000006E-2</v>
          </cell>
          <cell r="L62">
            <v>24.375</v>
          </cell>
          <cell r="M62">
            <v>0</v>
          </cell>
          <cell r="N62">
            <v>0</v>
          </cell>
          <cell r="O62">
            <v>24.629760090000001</v>
          </cell>
          <cell r="Q62">
            <v>0.17325526999999999</v>
          </cell>
          <cell r="R62">
            <v>0</v>
          </cell>
          <cell r="S62">
            <v>8.1504820000000006E-2</v>
          </cell>
          <cell r="T62">
            <v>24.375</v>
          </cell>
          <cell r="U62">
            <v>24.629760090000001</v>
          </cell>
        </row>
        <row r="63">
          <cell r="B63" t="str">
            <v xml:space="preserve"> </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Int equalisation: rcpts &gt;&gt; -i</v>
          </cell>
          <cell r="B64" t="str">
            <v>Int equalisation: rcpts &gt;&gt; -i</v>
          </cell>
          <cell r="C64">
            <v>7.4944280000000002E-2</v>
          </cell>
          <cell r="D64">
            <v>6.862958999999999E-2</v>
          </cell>
          <cell r="E64">
            <v>0.26828802000000002</v>
          </cell>
          <cell r="F64">
            <v>-0.61749763999999929</v>
          </cell>
          <cell r="G64">
            <v>6.3293929999999998E-2</v>
          </cell>
          <cell r="H64">
            <v>6.2E-2</v>
          </cell>
          <cell r="I64">
            <v>6.0499999999999998E-2</v>
          </cell>
          <cell r="J64">
            <v>5.9499999999999997E-2</v>
          </cell>
          <cell r="K64">
            <v>0.34904312999999998</v>
          </cell>
          <cell r="L64">
            <v>-0.28186856999999998</v>
          </cell>
          <cell r="M64">
            <v>5.5500000000000001E-2</v>
          </cell>
          <cell r="N64">
            <v>0</v>
          </cell>
          <cell r="O64">
            <v>0.1623327400000007</v>
          </cell>
          <cell r="Q64">
            <v>0.41186189000000001</v>
          </cell>
          <cell r="R64">
            <v>-0.49220370999999924</v>
          </cell>
          <cell r="S64">
            <v>0.46904312999999997</v>
          </cell>
          <cell r="T64">
            <v>-0.22636856999999999</v>
          </cell>
          <cell r="U64">
            <v>0.16233274000000075</v>
          </cell>
        </row>
        <row r="65">
          <cell r="A65" t="str">
            <v>Costs and fees (-ve)</v>
          </cell>
          <cell r="B65" t="str">
            <v>Costs and fees (-ve)</v>
          </cell>
          <cell r="C65">
            <v>-6.862958999999999E-2</v>
          </cell>
          <cell r="D65">
            <v>-6.862958999999999E-2</v>
          </cell>
          <cell r="E65">
            <v>-6.7695369999999991E-2</v>
          </cell>
          <cell r="F65">
            <v>-6.4892900000000003E-2</v>
          </cell>
          <cell r="G65">
            <v>-6.2628740000000002E-2</v>
          </cell>
          <cell r="H65">
            <v>0</v>
          </cell>
          <cell r="I65">
            <v>0</v>
          </cell>
          <cell r="J65">
            <v>0</v>
          </cell>
          <cell r="K65">
            <v>0</v>
          </cell>
          <cell r="L65">
            <v>0</v>
          </cell>
          <cell r="M65">
            <v>0</v>
          </cell>
          <cell r="N65">
            <v>0</v>
          </cell>
          <cell r="O65">
            <v>-0.33247619</v>
          </cell>
          <cell r="Q65">
            <v>-0.20495454999999996</v>
          </cell>
          <cell r="R65">
            <v>-0.12752163999999999</v>
          </cell>
          <cell r="S65">
            <v>0</v>
          </cell>
          <cell r="T65">
            <v>0</v>
          </cell>
          <cell r="U65">
            <v>-0.33247618999999995</v>
          </cell>
        </row>
        <row r="66">
          <cell r="A66" t="str">
            <v>Other</v>
          </cell>
          <cell r="B66" t="str">
            <v>Other</v>
          </cell>
          <cell r="C66">
            <v>0</v>
          </cell>
          <cell r="D66">
            <v>0</v>
          </cell>
          <cell r="E66">
            <v>0</v>
          </cell>
          <cell r="F66">
            <v>0</v>
          </cell>
          <cell r="G66">
            <v>0</v>
          </cell>
          <cell r="H66">
            <v>0</v>
          </cell>
          <cell r="I66">
            <v>0</v>
          </cell>
          <cell r="J66">
            <v>0</v>
          </cell>
          <cell r="K66">
            <v>0</v>
          </cell>
          <cell r="L66">
            <v>0</v>
          </cell>
          <cell r="M66">
            <v>0</v>
          </cell>
          <cell r="N66">
            <v>0</v>
          </cell>
          <cell r="O66">
            <v>0</v>
          </cell>
          <cell r="Q66">
            <v>0</v>
          </cell>
          <cell r="R66">
            <v>0</v>
          </cell>
          <cell r="S66">
            <v>0</v>
          </cell>
          <cell r="T66">
            <v>0</v>
          </cell>
          <cell r="U66">
            <v>0</v>
          </cell>
        </row>
        <row r="67">
          <cell r="B67" t="str">
            <v xml:space="preserve"> </v>
          </cell>
          <cell r="C67">
            <v>0</v>
          </cell>
          <cell r="D67">
            <v>0</v>
          </cell>
          <cell r="E67">
            <v>0</v>
          </cell>
          <cell r="F67">
            <v>0</v>
          </cell>
          <cell r="G67">
            <v>0</v>
          </cell>
          <cell r="H67">
            <v>0</v>
          </cell>
          <cell r="I67">
            <v>0</v>
          </cell>
          <cell r="J67">
            <v>0</v>
          </cell>
          <cell r="K67">
            <v>0</v>
          </cell>
          <cell r="L67">
            <v>0</v>
          </cell>
          <cell r="M67">
            <v>0</v>
          </cell>
          <cell r="N67">
            <v>0</v>
          </cell>
          <cell r="O67">
            <v>0</v>
          </cell>
        </row>
        <row r="68">
          <cell r="A68" t="str">
            <v>Change in balance &gt;&gt; v</v>
          </cell>
          <cell r="B68" t="str">
            <v>Change in balance &gt;&gt; v</v>
          </cell>
          <cell r="C68">
            <v>24.24940363105263</v>
          </cell>
          <cell r="D68">
            <v>14.779029815896456</v>
          </cell>
          <cell r="E68">
            <v>11.812443798760672</v>
          </cell>
          <cell r="F68">
            <v>22.270821807894741</v>
          </cell>
          <cell r="G68">
            <v>9.3812780389473716</v>
          </cell>
          <cell r="H68">
            <v>27.432217089473681</v>
          </cell>
          <cell r="I68">
            <v>19.430130345263159</v>
          </cell>
          <cell r="J68">
            <v>44.325904424736834</v>
          </cell>
          <cell r="K68">
            <v>6.528563613684212</v>
          </cell>
          <cell r="L68">
            <v>12.210415430000001</v>
          </cell>
          <cell r="M68">
            <v>7.8196543478947378</v>
          </cell>
          <cell r="N68">
            <v>11.242700553684209</v>
          </cell>
          <cell r="O68">
            <v>211.48256289728872</v>
          </cell>
          <cell r="Q68">
            <v>50.840877245709763</v>
          </cell>
          <cell r="R68">
            <v>59.084316936315794</v>
          </cell>
          <cell r="S68">
            <v>70.284598383684198</v>
          </cell>
          <cell r="T68">
            <v>31.272770331578947</v>
          </cell>
          <cell r="U68">
            <v>211.48256289728872</v>
          </cell>
        </row>
        <row r="69">
          <cell r="B69" t="str">
            <v xml:space="preserve">  </v>
          </cell>
          <cell r="C69">
            <v>0</v>
          </cell>
          <cell r="D69">
            <v>0</v>
          </cell>
          <cell r="E69">
            <v>0</v>
          </cell>
          <cell r="F69">
            <v>0</v>
          </cell>
          <cell r="G69">
            <v>0</v>
          </cell>
          <cell r="H69">
            <v>0</v>
          </cell>
          <cell r="I69">
            <v>0</v>
          </cell>
          <cell r="J69">
            <v>0</v>
          </cell>
          <cell r="K69">
            <v>0</v>
          </cell>
          <cell r="L69">
            <v>0</v>
          </cell>
          <cell r="M69">
            <v>0</v>
          </cell>
          <cell r="N69">
            <v>0</v>
          </cell>
          <cell r="O69">
            <v>0</v>
          </cell>
          <cell r="Q69">
            <v>0</v>
          </cell>
          <cell r="R69">
            <v>0</v>
          </cell>
          <cell r="S69">
            <v>0</v>
          </cell>
          <cell r="T69">
            <v>0</v>
          </cell>
          <cell r="U69">
            <v>0</v>
          </cell>
        </row>
        <row r="70">
          <cell r="A70" t="str">
            <v>memo: net pmts pte</v>
          </cell>
          <cell r="B70" t="str">
            <v>memo: net int pmts pte</v>
          </cell>
          <cell r="C70">
            <v>-3.6213984210526323E-2</v>
          </cell>
          <cell r="D70">
            <v>-1.3414208189442526E-2</v>
          </cell>
          <cell r="E70">
            <v>-0.19423514</v>
          </cell>
          <cell r="F70">
            <v>1.7380323000000004</v>
          </cell>
          <cell r="G70">
            <v>0</v>
          </cell>
          <cell r="H70">
            <v>0</v>
          </cell>
          <cell r="I70">
            <v>-8.4068105263157902E-3</v>
          </cell>
          <cell r="J70">
            <v>-1.10204E-2</v>
          </cell>
          <cell r="K70">
            <v>-0.29204313000000004</v>
          </cell>
          <cell r="L70">
            <v>1.0074436800000008</v>
          </cell>
          <cell r="M70">
            <v>0</v>
          </cell>
          <cell r="N70">
            <v>0</v>
          </cell>
          <cell r="O70">
            <v>2.1901423070737165</v>
          </cell>
          <cell r="Q70">
            <v>-0.24386333239996885</v>
          </cell>
          <cell r="R70">
            <v>1.7380323000000004</v>
          </cell>
          <cell r="S70">
            <v>-0.31147034052631584</v>
          </cell>
          <cell r="T70">
            <v>1.0074436800000008</v>
          </cell>
          <cell r="U70">
            <v>2.1901423070737165</v>
          </cell>
        </row>
        <row r="71">
          <cell r="A71" t="str">
            <v xml:space="preserve">           net rcpts</v>
          </cell>
          <cell r="B71" t="str">
            <v xml:space="preserve">           net int rcpts (loans only)</v>
          </cell>
          <cell r="C71">
            <v>2.1246523736842109</v>
          </cell>
          <cell r="D71">
            <v>1.6270560477701037</v>
          </cell>
          <cell r="E71">
            <v>1.8114986887606697</v>
          </cell>
          <cell r="F71">
            <v>1.3287467278947371</v>
          </cell>
          <cell r="G71">
            <v>0.76606815631578939</v>
          </cell>
          <cell r="H71">
            <v>5.3824491594736843</v>
          </cell>
          <cell r="I71">
            <v>1.5803414257894737</v>
          </cell>
          <cell r="J71">
            <v>1.632849264736842</v>
          </cell>
          <cell r="K71">
            <v>1.3347442736842106</v>
          </cell>
          <cell r="L71">
            <v>0.80857235999999999</v>
          </cell>
          <cell r="M71">
            <v>0.59345131789473693</v>
          </cell>
          <cell r="N71">
            <v>4.8734856436842104</v>
          </cell>
          <cell r="O71">
            <v>23.863915439688668</v>
          </cell>
          <cell r="Q71">
            <v>5.563207110214984</v>
          </cell>
          <cell r="R71">
            <v>7.4772640436842108</v>
          </cell>
          <cell r="S71">
            <v>4.5479349642105262</v>
          </cell>
          <cell r="T71">
            <v>6.2755093215789479</v>
          </cell>
          <cell r="U71">
            <v>23.863915439688668</v>
          </cell>
        </row>
        <row r="72">
          <cell r="B72" t="str">
            <v xml:space="preserve"> </v>
          </cell>
          <cell r="C72">
            <v>0</v>
          </cell>
          <cell r="D72">
            <v>0</v>
          </cell>
          <cell r="E72">
            <v>0</v>
          </cell>
          <cell r="F72">
            <v>0</v>
          </cell>
          <cell r="G72">
            <v>0</v>
          </cell>
          <cell r="H72">
            <v>0</v>
          </cell>
          <cell r="I72">
            <v>0</v>
          </cell>
          <cell r="J72">
            <v>0</v>
          </cell>
          <cell r="K72">
            <v>0</v>
          </cell>
          <cell r="L72">
            <v>0</v>
          </cell>
          <cell r="M72">
            <v>0</v>
          </cell>
          <cell r="N72">
            <v>0</v>
          </cell>
          <cell r="O72">
            <v>0</v>
          </cell>
        </row>
        <row r="73">
          <cell r="A73" t="str">
            <v>financed by ECGD &gt;&gt; -ii</v>
          </cell>
          <cell r="B73" t="str">
            <v>financed by ECGD &gt;&gt; ii</v>
          </cell>
          <cell r="C73">
            <v>21.486406799999997</v>
          </cell>
          <cell r="D73">
            <v>11.445618520000002</v>
          </cell>
          <cell r="E73">
            <v>12.439058080000001</v>
          </cell>
          <cell r="F73">
            <v>22.686846249999999</v>
          </cell>
          <cell r="G73">
            <v>9.0633000299999971</v>
          </cell>
          <cell r="H73">
            <v>-1.023437120000003</v>
          </cell>
          <cell r="I73">
            <v>17.162302760000003</v>
          </cell>
          <cell r="J73">
            <v>-13.935949359999997</v>
          </cell>
          <cell r="K73">
            <v>6.7601182499999997</v>
          </cell>
          <cell r="L73">
            <v>12.43250402</v>
          </cell>
          <cell r="M73">
            <v>7.9439738900000005</v>
          </cell>
          <cell r="N73">
            <v>10.930205299999999</v>
          </cell>
          <cell r="O73">
            <v>117.39094742</v>
          </cell>
          <cell r="Q73">
            <v>45.371083400000003</v>
          </cell>
          <cell r="R73">
            <v>30.726709159999992</v>
          </cell>
          <cell r="S73">
            <v>9.9864716500000057</v>
          </cell>
          <cell r="T73">
            <v>31.306683209999996</v>
          </cell>
          <cell r="U73">
            <v>117.39094741999997</v>
          </cell>
        </row>
        <row r="74">
          <cell r="A74" t="str">
            <v>and other</v>
          </cell>
          <cell r="B74" t="str">
            <v>and other</v>
          </cell>
          <cell r="C74">
            <v>2.7629968310526323</v>
          </cell>
          <cell r="D74">
            <v>3.3334112958964539</v>
          </cell>
          <cell r="E74">
            <v>-0.62661428123932872</v>
          </cell>
          <cell r="F74">
            <v>-0.41602444210525746</v>
          </cell>
          <cell r="G74">
            <v>0.31797800894737449</v>
          </cell>
          <cell r="H74">
            <v>28.455654209473686</v>
          </cell>
          <cell r="I74">
            <v>2.2678275852631558</v>
          </cell>
          <cell r="J74">
            <v>58.261853784736829</v>
          </cell>
          <cell r="K74">
            <v>-0.23155463631578765</v>
          </cell>
          <cell r="L74">
            <v>-0.22208858999999848</v>
          </cell>
          <cell r="M74">
            <v>-0.12431954210526275</v>
          </cell>
          <cell r="N74">
            <v>0.31249525368420983</v>
          </cell>
          <cell r="O74">
            <v>94.091615477288684</v>
          </cell>
          <cell r="Q74">
            <v>5.4697938457097575</v>
          </cell>
          <cell r="R74">
            <v>28.357607776315803</v>
          </cell>
          <cell r="S74">
            <v>60.2981267336842</v>
          </cell>
          <cell r="T74">
            <v>-3.3912878421051396E-2</v>
          </cell>
          <cell r="U74">
            <v>94.091615477288713</v>
          </cell>
        </row>
        <row r="75">
          <cell r="T75" t="str">
            <v xml:space="preserve"> </v>
          </cell>
        </row>
      </sheetData>
      <sheetData sheetId="7"/>
      <sheetData sheetId="8"/>
      <sheetData sheetId="9"/>
      <sheetData sheetId="10"/>
      <sheetData sheetId="11" refreshError="1"/>
      <sheetData sheetId="12" refreshError="1"/>
      <sheetData sheetId="13" refreshError="1"/>
      <sheetData sheetId="14"/>
      <sheetData sheetId="15"/>
      <sheetData sheetId="16">
        <row r="3">
          <cell r="B3" t="str">
            <v>OT</v>
          </cell>
        </row>
      </sheetData>
      <sheetData sheetId="17"/>
      <sheetData sheetId="18">
        <row r="6">
          <cell r="A6" t="str">
            <v xml:space="preserve">  NSBF</v>
          </cell>
        </row>
      </sheetData>
      <sheetData sheetId="19"/>
      <sheetData sheetId="20"/>
      <sheetData sheetId="21"/>
      <sheetData sheetId="22"/>
      <sheetData sheetId="23"/>
      <sheetData sheetId="24"/>
      <sheetData sheetId="25">
        <row r="3">
          <cell r="B3" t="str">
            <v>OT</v>
          </cell>
        </row>
      </sheetData>
      <sheetData sheetId="26"/>
      <sheetData sheetId="27">
        <row r="6">
          <cell r="A6" t="str">
            <v xml:space="preserve">  NSBF</v>
          </cell>
        </row>
      </sheetData>
      <sheetData sheetId="28"/>
      <sheetData sheetId="29"/>
      <sheetData sheetId="30"/>
      <sheetData sheetId="3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issioning"/>
      <sheetName val="Top-Down Efficiency"/>
      <sheetName val=" FS Dashboard (2)"/>
      <sheetName val=" FS Dashboard"/>
      <sheetName val="Copy from CLG modelling 6Aug15"/>
      <sheetName val="LA BCF Breakdown"/>
      <sheetName val="DCLG Budget 15-16"/>
      <sheetName val="BCF+Income"/>
      <sheetName val="Tool"/>
      <sheetName val="31032015 deflator update"/>
      <sheetName val="Analysis"/>
      <sheetName val="Sheet1"/>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sheetData sheetId="9"/>
      <sheetData sheetId="10" refreshError="1"/>
      <sheetData sheetId="11"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ance"/>
      <sheetName val="Dashboard"/>
      <sheetName val="Monthly report"/>
      <sheetName val="Removals Summary"/>
      <sheetName val="Referrals_Expanded"/>
      <sheetName val="Back Page"/>
      <sheetName val="ERS"/>
      <sheetName val="PTA data"/>
      <sheetName val="TERS Data"/>
      <sheetName val="FNO Referrals"/>
      <sheetName val="Population"/>
      <sheetName val="JSAS extract P1 IN"/>
      <sheetName val="JSAS extract P2 IN"/>
      <sheetName val="JSExtractUPLoads"/>
      <sheetName val="Codes"/>
      <sheetName val="FNO Report v.2.4"/>
      <sheetName val="Monthly_report"/>
      <sheetName val="Removals_Summary"/>
      <sheetName val="Back_Page"/>
      <sheetName val="PTA_data"/>
      <sheetName val="TERS_Data"/>
      <sheetName val="FNO_Referrals"/>
      <sheetName val="JSAS_extract_P1_IN"/>
      <sheetName val="JSAS_extract_P2_IN"/>
      <sheetName val="FNO_Report_v_2_4"/>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sheetData sheetId="15" refreshError="1"/>
      <sheetData sheetId="16"/>
      <sheetData sheetId="17"/>
      <sheetData sheetId="18"/>
      <sheetData sheetId="19"/>
      <sheetData sheetId="20"/>
      <sheetData sheetId="21"/>
      <sheetData sheetId="22"/>
      <sheetData sheetId="23"/>
      <sheetData sheetId="24"/>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ex Empty"/>
      <sheetName val="Data"/>
      <sheetName val="Sheet2"/>
    </sheetNames>
    <sheetDataSet>
      <sheetData sheetId="0"/>
      <sheetData sheetId="1"/>
      <sheetData sheetId="2"/>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 val="Data (month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 val="Data (monthly)"/>
    </sheetNames>
    <sheetDataSet>
      <sheetData sheetId="0"/>
      <sheetData sheetId="1">
        <row r="1">
          <cell r="B1" t="str">
            <v>CGC</v>
          </cell>
          <cell r="C1" t="str">
            <v>CGGILTS</v>
          </cell>
          <cell r="D1" t="str">
            <v>CGNCR</v>
          </cell>
          <cell r="E1" t="str">
            <v>CGOD</v>
          </cell>
          <cell r="F1" t="str">
            <v>COIN</v>
          </cell>
          <cell r="G1" t="str">
            <v>dGILT</v>
          </cell>
          <cell r="H1" t="str">
            <v>DICGLA</v>
          </cell>
          <cell r="I1" t="str">
            <v>DICGOP</v>
          </cell>
          <cell r="J1" t="str">
            <v>DICGPC</v>
          </cell>
          <cell r="K1" t="str">
            <v>DILACG</v>
          </cell>
          <cell r="L1" t="str">
            <v>DILAPC</v>
          </cell>
          <cell r="M1" t="str">
            <v>DILAPR</v>
          </cell>
          <cell r="N1" t="str">
            <v>dILGILT</v>
          </cell>
          <cell r="O1" t="str">
            <v>DIPCCG</v>
          </cell>
          <cell r="P1" t="str">
            <v>DIPCLA</v>
          </cell>
          <cell r="Q1" t="str">
            <v>DIPCOP</v>
          </cell>
          <cell r="R1" t="str">
            <v>DIPLDC</v>
          </cell>
          <cell r="S1" t="str">
            <v>DIPNSC</v>
          </cell>
          <cell r="T1" t="str">
            <v>DIPRPC</v>
          </cell>
          <cell r="U1" t="str">
            <v>DIRCG</v>
          </cell>
          <cell r="V1" t="str">
            <v>DIRLA</v>
          </cell>
          <cell r="W1" t="str">
            <v>DIRPC</v>
          </cell>
          <cell r="X1" t="str">
            <v>DRES</v>
          </cell>
          <cell r="Y1" t="str">
            <v>DVPCCG</v>
          </cell>
          <cell r="Z1" t="str">
            <v>DVPCLA</v>
          </cell>
          <cell r="AA1" t="str">
            <v>DVPSCG</v>
          </cell>
          <cell r="AB1" t="str">
            <v>FLOATER</v>
          </cell>
          <cell r="AC1" t="str">
            <v>IDBILL</v>
          </cell>
          <cell r="AD1" t="str">
            <v>IILG</v>
          </cell>
          <cell r="AE1" t="str">
            <v>ILGAC</v>
          </cell>
          <cell r="AF1" t="str">
            <v>ILGCSH</v>
          </cell>
          <cell r="AG1" t="str">
            <v>ILGUP</v>
          </cell>
          <cell r="AH1" t="str">
            <v>LABRO</v>
          </cell>
          <cell r="AI1" t="str">
            <v>NATSAV</v>
          </cell>
          <cell r="AJ1" t="str">
            <v>OCGASS</v>
          </cell>
          <cell r="AK1" t="str">
            <v>OCGBRF</v>
          </cell>
          <cell r="AL1" t="str">
            <v>OXFPS</v>
          </cell>
          <cell r="AM1" t="str">
            <v>PCBRO</v>
          </cell>
          <cell r="AN1" t="str">
            <v>PCNB</v>
          </cell>
          <cell r="AO1" t="str">
            <v>POISS</v>
          </cell>
          <cell r="AP1" t="str">
            <v>PSFA</v>
          </cell>
          <cell r="AQ1" t="str">
            <v>PSINTR</v>
          </cell>
          <cell r="AR1" t="str">
            <v>REDGILT</v>
          </cell>
          <cell r="AS1" t="str">
            <v>REDILGILT</v>
          </cell>
          <cell r="AT1" t="str">
            <v>REDOTH</v>
          </cell>
          <cell r="AU1" t="str">
            <v>REVIG</v>
          </cell>
          <cell r="AV1" t="str">
            <v>REVIG3</v>
          </cell>
          <cell r="AW1" t="str">
            <v>REVIG8</v>
          </cell>
          <cell r="AX1" t="str">
            <v>RILG</v>
          </cell>
          <cell r="AY1" t="str">
            <v>RNS</v>
          </cell>
          <cell r="AZ1" t="str">
            <v>SLAB</v>
          </cell>
          <cell r="BA1" t="str">
            <v>SLAM</v>
          </cell>
          <cell r="BB1" t="str">
            <v>SLAPO</v>
          </cell>
          <cell r="BC1" t="str">
            <v>SLCGLA</v>
          </cell>
          <cell r="BD1" t="str">
            <v>SLCGPR</v>
          </cell>
          <cell r="BE1" t="str">
            <v>SPCBCG</v>
          </cell>
          <cell r="BF1" t="str">
            <v>TBILLS</v>
          </cell>
          <cell r="BG1" t="str">
            <v>TXCERT</v>
          </cell>
          <cell r="BH1" t="str">
            <v>PR</v>
          </cell>
          <cell r="BI1" t="str">
            <v>RSM</v>
          </cell>
          <cell r="BJ1" t="str">
            <v>R5YR</v>
          </cell>
          <cell r="BK1" t="str">
            <v>RLM</v>
          </cell>
          <cell r="BL1" t="str">
            <v>M0</v>
          </cell>
          <cell r="BM1" t="str">
            <v>RMORTMK</v>
          </cell>
          <cell r="BN1" t="str">
            <v>FLEASGG</v>
          </cell>
          <cell r="BO1" t="str">
            <v>CGNDIV</v>
          </cell>
          <cell r="BP1" t="str">
            <v>LANDIV</v>
          </cell>
          <cell r="BQ1" t="str">
            <v>PCNDIV</v>
          </cell>
          <cell r="BR1" t="str">
            <v>LCGLA</v>
          </cell>
          <cell r="BS1" t="str">
            <v>LCGPC</v>
          </cell>
          <cell r="BT1" t="str">
            <v>LALEND</v>
          </cell>
          <cell r="BU1" t="str">
            <v>RMORT</v>
          </cell>
          <cell r="BV1" t="str">
            <v>OSPC</v>
          </cell>
          <cell r="BW1" t="str">
            <v>CGINTRA</v>
          </cell>
          <cell r="BX1" t="str">
            <v>LAINTRA</v>
          </cell>
          <cell r="BY1" t="str">
            <v>PCINTRA</v>
          </cell>
          <cell r="BZ1" t="str">
            <v>SPREAD</v>
          </cell>
        </row>
        <row r="2">
          <cell r="A2">
            <v>199902</v>
          </cell>
          <cell r="B2">
            <v>0</v>
          </cell>
          <cell r="C2">
            <v>267530</v>
          </cell>
          <cell r="D2">
            <v>4834</v>
          </cell>
          <cell r="E2">
            <v>-890</v>
          </cell>
          <cell r="F2">
            <v>2671</v>
          </cell>
          <cell r="G2">
            <v>4904</v>
          </cell>
          <cell r="H2">
            <v>17</v>
          </cell>
          <cell r="I2">
            <v>6685</v>
          </cell>
          <cell r="J2">
            <v>77</v>
          </cell>
          <cell r="K2">
            <v>908</v>
          </cell>
          <cell r="L2">
            <v>1</v>
          </cell>
          <cell r="M2">
            <v>64</v>
          </cell>
          <cell r="N2">
            <v>860</v>
          </cell>
          <cell r="O2">
            <v>448</v>
          </cell>
          <cell r="P2">
            <v>-338</v>
          </cell>
          <cell r="Q2">
            <v>41</v>
          </cell>
          <cell r="R2">
            <v>4543</v>
          </cell>
          <cell r="S2">
            <v>800</v>
          </cell>
          <cell r="T2">
            <v>122</v>
          </cell>
          <cell r="U2">
            <v>1705</v>
          </cell>
          <cell r="V2">
            <v>-126</v>
          </cell>
          <cell r="W2">
            <v>206</v>
          </cell>
          <cell r="X2">
            <v>-202</v>
          </cell>
          <cell r="Y2">
            <v>-251</v>
          </cell>
          <cell r="Z2">
            <v>1174</v>
          </cell>
          <cell r="AA2">
            <v>317</v>
          </cell>
          <cell r="AB2">
            <v>3000</v>
          </cell>
          <cell r="AC2">
            <v>8097</v>
          </cell>
          <cell r="AD2">
            <v>260</v>
          </cell>
          <cell r="AE2">
            <v>-578</v>
          </cell>
          <cell r="AF2">
            <v>0</v>
          </cell>
          <cell r="AG2">
            <v>578</v>
          </cell>
          <cell r="AH2">
            <v>544</v>
          </cell>
          <cell r="AI2">
            <v>63989</v>
          </cell>
          <cell r="AJ2">
            <v>1610</v>
          </cell>
          <cell r="AK2">
            <v>390</v>
          </cell>
          <cell r="AL2">
            <v>-271</v>
          </cell>
          <cell r="AM2">
            <v>-72</v>
          </cell>
          <cell r="AN2">
            <v>-668</v>
          </cell>
          <cell r="AO2">
            <v>290</v>
          </cell>
          <cell r="AP2">
            <v>257842</v>
          </cell>
          <cell r="AQ2">
            <v>983</v>
          </cell>
          <cell r="AR2">
            <v>1248</v>
          </cell>
          <cell r="AS2">
            <v>0</v>
          </cell>
          <cell r="AT2">
            <v>0</v>
          </cell>
          <cell r="AU2">
            <v>63446</v>
          </cell>
          <cell r="AV2">
            <v>0</v>
          </cell>
          <cell r="AW2">
            <v>63446</v>
          </cell>
          <cell r="AX2">
            <v>1.9635899999999999</v>
          </cell>
          <cell r="AY2">
            <v>5.0954300000000003</v>
          </cell>
          <cell r="AZ2">
            <v>7917</v>
          </cell>
          <cell r="BA2">
            <v>15360</v>
          </cell>
          <cell r="BB2">
            <v>616</v>
          </cell>
          <cell r="BC2">
            <v>45113</v>
          </cell>
          <cell r="BD2">
            <v>6198</v>
          </cell>
          <cell r="BE2">
            <v>9255</v>
          </cell>
          <cell r="BF2">
            <v>6777</v>
          </cell>
          <cell r="BG2">
            <v>534</v>
          </cell>
          <cell r="BH2">
            <v>165.5</v>
          </cell>
          <cell r="BI2">
            <v>5.2</v>
          </cell>
          <cell r="BJ2">
            <v>5.05</v>
          </cell>
          <cell r="BK2">
            <v>4.67</v>
          </cell>
          <cell r="BL2">
            <v>28534</v>
          </cell>
          <cell r="BM2">
            <v>6.77</v>
          </cell>
          <cell r="BN2">
            <v>1310</v>
          </cell>
          <cell r="BO2">
            <v>666</v>
          </cell>
          <cell r="BP2">
            <v>195</v>
          </cell>
          <cell r="BQ2">
            <v>122</v>
          </cell>
          <cell r="BR2">
            <v>-17</v>
          </cell>
          <cell r="BS2">
            <v>60</v>
          </cell>
          <cell r="BT2">
            <v>31</v>
          </cell>
          <cell r="BU2" t="e">
            <v>#N/A</v>
          </cell>
          <cell r="BV2" t="e">
            <v>#N/A</v>
          </cell>
          <cell r="BW2">
            <v>1018</v>
          </cell>
          <cell r="BX2">
            <v>-12</v>
          </cell>
          <cell r="BY2">
            <v>-1006</v>
          </cell>
          <cell r="BZ2">
            <v>0</v>
          </cell>
          <cell r="CA2" t="e">
            <v>#N/A</v>
          </cell>
          <cell r="CB2" t="e">
            <v>#N/A</v>
          </cell>
          <cell r="CC2" t="e">
            <v>#N/A</v>
          </cell>
          <cell r="CD2" t="e">
            <v>#N/A</v>
          </cell>
          <cell r="CE2" t="e">
            <v>#N/A</v>
          </cell>
        </row>
        <row r="3">
          <cell r="A3">
            <v>199903</v>
          </cell>
          <cell r="B3">
            <v>0</v>
          </cell>
          <cell r="C3">
            <v>254297</v>
          </cell>
          <cell r="D3">
            <v>-2177</v>
          </cell>
          <cell r="E3">
            <v>1716</v>
          </cell>
          <cell r="F3">
            <v>2700</v>
          </cell>
          <cell r="G3">
            <v>-2479</v>
          </cell>
          <cell r="H3">
            <v>9</v>
          </cell>
          <cell r="I3">
            <v>5802</v>
          </cell>
          <cell r="J3">
            <v>82</v>
          </cell>
          <cell r="K3">
            <v>1105</v>
          </cell>
          <cell r="L3">
            <v>2</v>
          </cell>
          <cell r="M3">
            <v>60</v>
          </cell>
          <cell r="N3">
            <v>775</v>
          </cell>
          <cell r="O3">
            <v>348</v>
          </cell>
          <cell r="P3">
            <v>-278</v>
          </cell>
          <cell r="Q3">
            <v>43</v>
          </cell>
          <cell r="R3">
            <v>4491</v>
          </cell>
          <cell r="S3">
            <v>657</v>
          </cell>
          <cell r="T3">
            <v>120</v>
          </cell>
          <cell r="U3">
            <v>1821</v>
          </cell>
          <cell r="V3">
            <v>-96</v>
          </cell>
          <cell r="W3">
            <v>209</v>
          </cell>
          <cell r="X3">
            <v>759</v>
          </cell>
          <cell r="Y3">
            <v>-191</v>
          </cell>
          <cell r="Z3">
            <v>1179</v>
          </cell>
          <cell r="AA3">
            <v>453</v>
          </cell>
          <cell r="AB3">
            <v>3000</v>
          </cell>
          <cell r="AC3">
            <v>5750</v>
          </cell>
          <cell r="AD3">
            <v>551</v>
          </cell>
          <cell r="AE3">
            <v>431</v>
          </cell>
          <cell r="AF3">
            <v>0</v>
          </cell>
          <cell r="AG3">
            <v>-431</v>
          </cell>
          <cell r="AH3">
            <v>-913</v>
          </cell>
          <cell r="AI3">
            <v>63595</v>
          </cell>
          <cell r="AJ3">
            <v>2160</v>
          </cell>
          <cell r="AK3">
            <v>-345</v>
          </cell>
          <cell r="AL3">
            <v>-1359</v>
          </cell>
          <cell r="AM3">
            <v>-125</v>
          </cell>
          <cell r="AN3">
            <v>-747</v>
          </cell>
          <cell r="AO3">
            <v>295</v>
          </cell>
          <cell r="AP3">
            <v>260590</v>
          </cell>
          <cell r="AQ3">
            <v>1114</v>
          </cell>
          <cell r="AR3">
            <v>6479</v>
          </cell>
          <cell r="AS3">
            <v>0</v>
          </cell>
          <cell r="AT3">
            <v>0</v>
          </cell>
          <cell r="AU3">
            <v>63807</v>
          </cell>
          <cell r="AV3">
            <v>0</v>
          </cell>
          <cell r="AW3">
            <v>63807</v>
          </cell>
          <cell r="AX3">
            <v>2.1757300000000002</v>
          </cell>
          <cell r="AY3">
            <v>4.1968800000000002</v>
          </cell>
          <cell r="AZ3">
            <v>7820</v>
          </cell>
          <cell r="BA3">
            <v>16072</v>
          </cell>
          <cell r="BB3">
            <v>653</v>
          </cell>
          <cell r="BC3">
            <v>45708</v>
          </cell>
          <cell r="BD3">
            <v>6468</v>
          </cell>
          <cell r="BE3">
            <v>7746</v>
          </cell>
          <cell r="BF3">
            <v>6670</v>
          </cell>
          <cell r="BG3">
            <v>498</v>
          </cell>
          <cell r="BH3">
            <v>165.6</v>
          </cell>
          <cell r="BI3">
            <v>5.19</v>
          </cell>
          <cell r="BJ3">
            <v>5.84</v>
          </cell>
          <cell r="BK3">
            <v>4.6100000000000003</v>
          </cell>
          <cell r="BL3">
            <v>29168</v>
          </cell>
          <cell r="BM3">
            <v>6.72</v>
          </cell>
          <cell r="BN3">
            <v>1331</v>
          </cell>
          <cell r="BO3">
            <v>821</v>
          </cell>
          <cell r="BP3">
            <v>173</v>
          </cell>
          <cell r="BQ3">
            <v>120</v>
          </cell>
          <cell r="BR3">
            <v>560</v>
          </cell>
          <cell r="BS3">
            <v>64</v>
          </cell>
          <cell r="BT3">
            <v>33</v>
          </cell>
          <cell r="BU3" t="e">
            <v>#N/A</v>
          </cell>
          <cell r="BV3" t="e">
            <v>#N/A</v>
          </cell>
          <cell r="BW3">
            <v>1190</v>
          </cell>
          <cell r="BX3">
            <v>-339</v>
          </cell>
          <cell r="BY3">
            <v>-851</v>
          </cell>
          <cell r="BZ3">
            <v>0.12</v>
          </cell>
          <cell r="CA3" t="e">
            <v>#N/A</v>
          </cell>
          <cell r="CB3" t="e">
            <v>#N/A</v>
          </cell>
          <cell r="CC3" t="e">
            <v>#N/A</v>
          </cell>
          <cell r="CD3" t="e">
            <v>#N/A</v>
          </cell>
          <cell r="CE3" t="e">
            <v>#N/A</v>
          </cell>
        </row>
        <row r="4">
          <cell r="A4">
            <v>199904</v>
          </cell>
          <cell r="B4">
            <v>0</v>
          </cell>
          <cell r="C4">
            <v>259055</v>
          </cell>
          <cell r="D4">
            <v>2609</v>
          </cell>
          <cell r="E4">
            <v>3277</v>
          </cell>
          <cell r="F4">
            <v>2817</v>
          </cell>
          <cell r="G4">
            <v>1411</v>
          </cell>
          <cell r="H4">
            <v>19</v>
          </cell>
          <cell r="I4">
            <v>6601</v>
          </cell>
          <cell r="J4">
            <v>86</v>
          </cell>
          <cell r="K4">
            <v>939</v>
          </cell>
          <cell r="L4">
            <v>3</v>
          </cell>
          <cell r="M4">
            <v>61</v>
          </cell>
          <cell r="N4">
            <v>774</v>
          </cell>
          <cell r="O4">
            <v>650</v>
          </cell>
          <cell r="P4">
            <v>-387</v>
          </cell>
          <cell r="Q4">
            <v>45</v>
          </cell>
          <cell r="R4">
            <v>4395</v>
          </cell>
          <cell r="S4">
            <v>745</v>
          </cell>
          <cell r="T4">
            <v>127</v>
          </cell>
          <cell r="U4">
            <v>2039</v>
          </cell>
          <cell r="V4">
            <v>-145</v>
          </cell>
          <cell r="W4">
            <v>222</v>
          </cell>
          <cell r="X4">
            <v>-755</v>
          </cell>
          <cell r="Y4">
            <v>-310</v>
          </cell>
          <cell r="Z4">
            <v>1181</v>
          </cell>
          <cell r="AA4">
            <v>352</v>
          </cell>
          <cell r="AB4">
            <v>3000</v>
          </cell>
          <cell r="AC4">
            <v>11686</v>
          </cell>
          <cell r="AD4">
            <v>262</v>
          </cell>
          <cell r="AE4">
            <v>-711</v>
          </cell>
          <cell r="AF4">
            <v>2</v>
          </cell>
          <cell r="AG4">
            <v>713</v>
          </cell>
          <cell r="AH4">
            <v>-379</v>
          </cell>
          <cell r="AI4">
            <v>63788</v>
          </cell>
          <cell r="AJ4">
            <v>1856</v>
          </cell>
          <cell r="AK4">
            <v>-132</v>
          </cell>
          <cell r="AL4">
            <v>228</v>
          </cell>
          <cell r="AM4">
            <v>-63</v>
          </cell>
          <cell r="AN4">
            <v>-889</v>
          </cell>
          <cell r="AO4">
            <v>291</v>
          </cell>
          <cell r="AP4">
            <v>262651</v>
          </cell>
          <cell r="AQ4">
            <v>1152</v>
          </cell>
          <cell r="AR4">
            <v>1788</v>
          </cell>
          <cell r="AS4">
            <v>0</v>
          </cell>
          <cell r="AT4">
            <v>0</v>
          </cell>
          <cell r="AU4">
            <v>65246</v>
          </cell>
          <cell r="AV4">
            <v>0</v>
          </cell>
          <cell r="AW4">
            <v>65246</v>
          </cell>
          <cell r="AX4">
            <v>1.99834</v>
          </cell>
          <cell r="AY4">
            <v>4.7542099999999996</v>
          </cell>
          <cell r="AZ4">
            <v>7894</v>
          </cell>
          <cell r="BA4">
            <v>16681</v>
          </cell>
          <cell r="BB4">
            <v>693</v>
          </cell>
          <cell r="BC4">
            <v>46707</v>
          </cell>
          <cell r="BD4">
            <v>7036</v>
          </cell>
          <cell r="BE4">
            <v>6212</v>
          </cell>
          <cell r="BF4">
            <v>4248</v>
          </cell>
          <cell r="BG4">
            <v>471</v>
          </cell>
          <cell r="BH4">
            <v>166.8</v>
          </cell>
          <cell r="BI4">
            <v>5.89</v>
          </cell>
          <cell r="BJ4">
            <v>6.11</v>
          </cell>
          <cell r="BK4">
            <v>4.29</v>
          </cell>
          <cell r="BL4">
            <v>30077</v>
          </cell>
          <cell r="BM4">
            <v>6.93</v>
          </cell>
          <cell r="BN4">
            <v>1344</v>
          </cell>
          <cell r="BO4">
            <v>802</v>
          </cell>
          <cell r="BP4">
            <v>223</v>
          </cell>
          <cell r="BQ4">
            <v>127</v>
          </cell>
          <cell r="BR4">
            <v>1080</v>
          </cell>
          <cell r="BS4">
            <v>7</v>
          </cell>
          <cell r="BT4">
            <v>36</v>
          </cell>
          <cell r="BU4" t="e">
            <v>#N/A</v>
          </cell>
          <cell r="BV4" t="e">
            <v>#N/A</v>
          </cell>
          <cell r="BW4">
            <v>1181</v>
          </cell>
          <cell r="BX4">
            <v>-193</v>
          </cell>
          <cell r="BY4">
            <v>-988</v>
          </cell>
          <cell r="BZ4">
            <v>0.49</v>
          </cell>
          <cell r="CA4" t="e">
            <v>#N/A</v>
          </cell>
          <cell r="CB4" t="e">
            <v>#N/A</v>
          </cell>
          <cell r="CC4" t="e">
            <v>#N/A</v>
          </cell>
          <cell r="CD4" t="e">
            <v>#N/A</v>
          </cell>
          <cell r="CE4" t="e">
            <v>#N/A</v>
          </cell>
        </row>
        <row r="5">
          <cell r="A5">
            <v>200001</v>
          </cell>
          <cell r="B5">
            <v>218</v>
          </cell>
          <cell r="C5">
            <v>254346</v>
          </cell>
          <cell r="D5">
            <v>-14403</v>
          </cell>
          <cell r="E5">
            <v>-2812</v>
          </cell>
          <cell r="F5">
            <v>2805</v>
          </cell>
          <cell r="G5">
            <v>-5038</v>
          </cell>
          <cell r="H5">
            <v>9</v>
          </cell>
          <cell r="I5">
            <v>5880</v>
          </cell>
          <cell r="J5">
            <v>78</v>
          </cell>
          <cell r="K5">
            <v>1104</v>
          </cell>
          <cell r="L5">
            <v>3</v>
          </cell>
          <cell r="M5">
            <v>67</v>
          </cell>
          <cell r="N5">
            <v>338</v>
          </cell>
          <cell r="O5">
            <v>590</v>
          </cell>
          <cell r="P5">
            <v>-552</v>
          </cell>
          <cell r="Q5">
            <v>47</v>
          </cell>
          <cell r="R5">
            <v>4395</v>
          </cell>
          <cell r="S5">
            <v>647</v>
          </cell>
          <cell r="T5">
            <v>123</v>
          </cell>
          <cell r="U5">
            <v>1973</v>
          </cell>
          <cell r="V5">
            <v>-305</v>
          </cell>
          <cell r="W5">
            <v>210</v>
          </cell>
          <cell r="X5">
            <v>365</v>
          </cell>
          <cell r="Y5">
            <v>-462</v>
          </cell>
          <cell r="Z5">
            <v>1177</v>
          </cell>
          <cell r="AA5">
            <v>497</v>
          </cell>
          <cell r="AB5">
            <v>3000</v>
          </cell>
          <cell r="AC5">
            <v>12436</v>
          </cell>
          <cell r="AD5">
            <v>572</v>
          </cell>
          <cell r="AE5">
            <v>41</v>
          </cell>
          <cell r="AF5">
            <v>0</v>
          </cell>
          <cell r="AG5">
            <v>-41</v>
          </cell>
          <cell r="AH5">
            <v>327</v>
          </cell>
          <cell r="AI5">
            <v>63331</v>
          </cell>
          <cell r="AJ5">
            <v>6635</v>
          </cell>
          <cell r="AK5">
            <v>1022</v>
          </cell>
          <cell r="AL5">
            <v>-917</v>
          </cell>
          <cell r="AM5">
            <v>1845</v>
          </cell>
          <cell r="AN5">
            <v>-1419</v>
          </cell>
          <cell r="AO5">
            <v>450</v>
          </cell>
          <cell r="AP5">
            <v>265795</v>
          </cell>
          <cell r="AQ5">
            <v>1137</v>
          </cell>
          <cell r="AR5">
            <v>5549</v>
          </cell>
          <cell r="AS5">
            <v>0</v>
          </cell>
          <cell r="AT5">
            <v>0</v>
          </cell>
          <cell r="AU5">
            <v>65740</v>
          </cell>
          <cell r="AV5">
            <v>0</v>
          </cell>
          <cell r="AW5">
            <v>65740</v>
          </cell>
          <cell r="AX5">
            <v>2.0279500000000001</v>
          </cell>
          <cell r="AY5">
            <v>4.1495199999999999</v>
          </cell>
          <cell r="AZ5">
            <v>7024</v>
          </cell>
          <cell r="BA5">
            <v>15889</v>
          </cell>
          <cell r="BB5">
            <v>748</v>
          </cell>
          <cell r="BC5">
            <v>46521</v>
          </cell>
          <cell r="BD5">
            <v>7019</v>
          </cell>
          <cell r="BE5">
            <v>4307</v>
          </cell>
          <cell r="BF5">
            <v>4453</v>
          </cell>
          <cell r="BG5">
            <v>535</v>
          </cell>
          <cell r="BH5">
            <v>167.5</v>
          </cell>
          <cell r="BI5">
            <v>6.12</v>
          </cell>
          <cell r="BJ5">
            <v>6.2</v>
          </cell>
          <cell r="BK5">
            <v>4.72</v>
          </cell>
          <cell r="BL5">
            <v>30571</v>
          </cell>
          <cell r="BM5">
            <v>7.3766699999999998</v>
          </cell>
          <cell r="BN5">
            <v>1655</v>
          </cell>
          <cell r="BO5">
            <v>776</v>
          </cell>
          <cell r="BP5">
            <v>238</v>
          </cell>
          <cell r="BQ5">
            <v>123</v>
          </cell>
          <cell r="BR5">
            <v>-223</v>
          </cell>
          <cell r="BS5">
            <v>-4</v>
          </cell>
          <cell r="BT5">
            <v>53</v>
          </cell>
          <cell r="BU5" t="e">
            <v>#N/A</v>
          </cell>
          <cell r="BV5" t="e">
            <v>#N/A</v>
          </cell>
          <cell r="BW5">
            <v>1154</v>
          </cell>
          <cell r="BX5">
            <v>-795</v>
          </cell>
          <cell r="BY5">
            <v>-359</v>
          </cell>
          <cell r="BZ5">
            <v>0.25</v>
          </cell>
          <cell r="CA5" t="e">
            <v>#N/A</v>
          </cell>
          <cell r="CB5" t="e">
            <v>#N/A</v>
          </cell>
          <cell r="CC5" t="e">
            <v>#N/A</v>
          </cell>
          <cell r="CD5" t="e">
            <v>#N/A</v>
          </cell>
          <cell r="CE5" t="e">
            <v>#N/A</v>
          </cell>
        </row>
        <row r="6">
          <cell r="A6">
            <v>200002</v>
          </cell>
          <cell r="B6">
            <v>236</v>
          </cell>
          <cell r="C6">
            <v>258072</v>
          </cell>
          <cell r="D6">
            <v>-11262</v>
          </cell>
          <cell r="E6">
            <v>2322</v>
          </cell>
          <cell r="F6">
            <v>2810</v>
          </cell>
          <cell r="G6">
            <v>2620</v>
          </cell>
          <cell r="H6">
            <v>18</v>
          </cell>
          <cell r="I6">
            <v>6652</v>
          </cell>
          <cell r="J6">
            <v>65</v>
          </cell>
          <cell r="K6">
            <v>822</v>
          </cell>
          <cell r="L6">
            <v>3</v>
          </cell>
          <cell r="M6">
            <v>85</v>
          </cell>
          <cell r="N6">
            <v>880</v>
          </cell>
          <cell r="O6">
            <v>283</v>
          </cell>
          <cell r="P6">
            <v>-225</v>
          </cell>
          <cell r="Q6">
            <v>46</v>
          </cell>
          <cell r="R6">
            <v>4290</v>
          </cell>
          <cell r="S6">
            <v>949</v>
          </cell>
          <cell r="T6">
            <v>156</v>
          </cell>
          <cell r="U6">
            <v>1581</v>
          </cell>
          <cell r="V6">
            <v>37</v>
          </cell>
          <cell r="W6">
            <v>229</v>
          </cell>
          <cell r="X6">
            <v>-3953</v>
          </cell>
          <cell r="Y6">
            <v>-131</v>
          </cell>
          <cell r="Z6">
            <v>1148</v>
          </cell>
          <cell r="AA6">
            <v>460</v>
          </cell>
          <cell r="AB6">
            <v>3000</v>
          </cell>
          <cell r="AC6">
            <v>14153</v>
          </cell>
          <cell r="AD6">
            <v>269</v>
          </cell>
          <cell r="AE6">
            <v>-562</v>
          </cell>
          <cell r="AF6">
            <v>0</v>
          </cell>
          <cell r="AG6">
            <v>562</v>
          </cell>
          <cell r="AH6">
            <v>-901</v>
          </cell>
          <cell r="AI6">
            <v>63459</v>
          </cell>
          <cell r="AJ6">
            <v>19297</v>
          </cell>
          <cell r="AK6">
            <v>-541</v>
          </cell>
          <cell r="AL6">
            <v>288</v>
          </cell>
          <cell r="AM6">
            <v>344</v>
          </cell>
          <cell r="AN6">
            <v>-612</v>
          </cell>
          <cell r="AO6">
            <v>378</v>
          </cell>
          <cell r="AP6">
            <v>284193</v>
          </cell>
          <cell r="AQ6">
            <v>1336</v>
          </cell>
          <cell r="AR6">
            <v>22</v>
          </cell>
          <cell r="AS6">
            <v>0</v>
          </cell>
          <cell r="AT6">
            <v>0</v>
          </cell>
          <cell r="AU6">
            <v>67104</v>
          </cell>
          <cell r="AV6">
            <v>0</v>
          </cell>
          <cell r="AW6">
            <v>67104</v>
          </cell>
          <cell r="AX6">
            <v>1.9654199999999999</v>
          </cell>
          <cell r="AY6">
            <v>6.1173400000000004</v>
          </cell>
          <cell r="AZ6">
            <v>7062</v>
          </cell>
          <cell r="BA6">
            <v>16930</v>
          </cell>
          <cell r="BB6">
            <v>818</v>
          </cell>
          <cell r="BC6">
            <v>47775</v>
          </cell>
          <cell r="BD6">
            <v>7587</v>
          </cell>
          <cell r="BE6">
            <v>4368</v>
          </cell>
          <cell r="BF6">
            <v>3982</v>
          </cell>
          <cell r="BG6">
            <v>504</v>
          </cell>
          <cell r="BH6">
            <v>170.6</v>
          </cell>
          <cell r="BI6">
            <v>6.19</v>
          </cell>
          <cell r="BJ6">
            <v>5.85</v>
          </cell>
          <cell r="BK6">
            <v>4.66</v>
          </cell>
          <cell r="BL6">
            <v>30795</v>
          </cell>
          <cell r="BM6">
            <v>7.6366699999999996</v>
          </cell>
          <cell r="BN6">
            <v>1693</v>
          </cell>
          <cell r="BO6">
            <v>936</v>
          </cell>
          <cell r="BP6">
            <v>244</v>
          </cell>
          <cell r="BQ6">
            <v>156</v>
          </cell>
          <cell r="BR6">
            <v>1168</v>
          </cell>
          <cell r="BS6">
            <v>58</v>
          </cell>
          <cell r="BT6">
            <v>-17</v>
          </cell>
          <cell r="BU6" t="e">
            <v>#N/A</v>
          </cell>
          <cell r="BV6" t="e">
            <v>#N/A</v>
          </cell>
          <cell r="BW6">
            <v>894</v>
          </cell>
          <cell r="BX6">
            <v>16</v>
          </cell>
          <cell r="BY6">
            <v>-910</v>
          </cell>
          <cell r="BZ6">
            <v>0.19</v>
          </cell>
          <cell r="CA6" t="e">
            <v>#N/A</v>
          </cell>
          <cell r="CB6" t="e">
            <v>#N/A</v>
          </cell>
          <cell r="CC6" t="e">
            <v>#N/A</v>
          </cell>
          <cell r="CD6" t="e">
            <v>#N/A</v>
          </cell>
          <cell r="CE6" t="e">
            <v>#N/A</v>
          </cell>
        </row>
        <row r="7">
          <cell r="A7">
            <v>200003</v>
          </cell>
          <cell r="B7">
            <v>255</v>
          </cell>
          <cell r="C7">
            <v>250691</v>
          </cell>
          <cell r="D7">
            <v>-16215</v>
          </cell>
          <cell r="E7">
            <v>-3702</v>
          </cell>
          <cell r="F7">
            <v>2832</v>
          </cell>
          <cell r="G7">
            <v>-5223</v>
          </cell>
          <cell r="H7">
            <v>13</v>
          </cell>
          <cell r="I7">
            <v>6217</v>
          </cell>
          <cell r="J7">
            <v>80</v>
          </cell>
          <cell r="K7">
            <v>796</v>
          </cell>
          <cell r="L7">
            <v>2</v>
          </cell>
          <cell r="M7">
            <v>87</v>
          </cell>
          <cell r="N7">
            <v>746</v>
          </cell>
          <cell r="O7">
            <v>336</v>
          </cell>
          <cell r="P7">
            <v>-330</v>
          </cell>
          <cell r="Q7">
            <v>50</v>
          </cell>
          <cell r="R7">
            <v>4297</v>
          </cell>
          <cell r="S7">
            <v>778</v>
          </cell>
          <cell r="T7">
            <v>159</v>
          </cell>
          <cell r="U7">
            <v>1904</v>
          </cell>
          <cell r="V7">
            <v>-81</v>
          </cell>
          <cell r="W7">
            <v>246</v>
          </cell>
          <cell r="X7">
            <v>-2340</v>
          </cell>
          <cell r="Y7">
            <v>-233</v>
          </cell>
          <cell r="Z7">
            <v>1147</v>
          </cell>
          <cell r="AA7">
            <v>455</v>
          </cell>
          <cell r="AB7">
            <v>3000</v>
          </cell>
          <cell r="AC7">
            <v>15137</v>
          </cell>
          <cell r="AD7">
            <v>586</v>
          </cell>
          <cell r="AE7">
            <v>-40</v>
          </cell>
          <cell r="AF7">
            <v>0</v>
          </cell>
          <cell r="AG7">
            <v>40</v>
          </cell>
          <cell r="AH7">
            <v>-542</v>
          </cell>
          <cell r="AI7">
            <v>63635</v>
          </cell>
          <cell r="AJ7">
            <v>24851</v>
          </cell>
          <cell r="AK7">
            <v>-1799</v>
          </cell>
          <cell r="AL7">
            <v>312</v>
          </cell>
          <cell r="AM7">
            <v>273</v>
          </cell>
          <cell r="AN7">
            <v>-684</v>
          </cell>
          <cell r="AO7">
            <v>402</v>
          </cell>
          <cell r="AP7">
            <v>290920</v>
          </cell>
          <cell r="AQ7">
            <v>1622</v>
          </cell>
          <cell r="AR7">
            <v>3102</v>
          </cell>
          <cell r="AS7">
            <v>0</v>
          </cell>
          <cell r="AT7">
            <v>0</v>
          </cell>
          <cell r="AU7">
            <v>67853</v>
          </cell>
          <cell r="AV7">
            <v>0</v>
          </cell>
          <cell r="AW7">
            <v>67853</v>
          </cell>
          <cell r="AX7">
            <v>2.0731899999999999</v>
          </cell>
          <cell r="AY7">
            <v>4.98081</v>
          </cell>
          <cell r="AZ7">
            <v>7424</v>
          </cell>
          <cell r="BA7">
            <v>17189</v>
          </cell>
          <cell r="BB7">
            <v>815</v>
          </cell>
          <cell r="BC7">
            <v>47520</v>
          </cell>
          <cell r="BD7">
            <v>7891</v>
          </cell>
          <cell r="BE7">
            <v>4371</v>
          </cell>
          <cell r="BF7">
            <v>2332</v>
          </cell>
          <cell r="BG7">
            <v>474</v>
          </cell>
          <cell r="BH7">
            <v>170.9</v>
          </cell>
          <cell r="BI7">
            <v>6.12</v>
          </cell>
          <cell r="BJ7">
            <v>5.73</v>
          </cell>
          <cell r="BK7">
            <v>4.76</v>
          </cell>
          <cell r="BL7">
            <v>31371</v>
          </cell>
          <cell r="BM7">
            <v>7.62</v>
          </cell>
          <cell r="BN7">
            <v>1793</v>
          </cell>
          <cell r="BO7">
            <v>1227</v>
          </cell>
          <cell r="BP7">
            <v>236</v>
          </cell>
          <cell r="BQ7">
            <v>159</v>
          </cell>
          <cell r="BR7">
            <v>-283</v>
          </cell>
          <cell r="BS7">
            <v>-23</v>
          </cell>
          <cell r="BT7">
            <v>-16</v>
          </cell>
          <cell r="BU7" t="e">
            <v>#N/A</v>
          </cell>
          <cell r="BV7" t="e">
            <v>#N/A</v>
          </cell>
          <cell r="BW7">
            <v>820</v>
          </cell>
          <cell r="BX7">
            <v>-71</v>
          </cell>
          <cell r="BY7">
            <v>-749</v>
          </cell>
          <cell r="BZ7">
            <v>0.12</v>
          </cell>
          <cell r="CA7" t="e">
            <v>#N/A</v>
          </cell>
          <cell r="CB7" t="e">
            <v>#N/A</v>
          </cell>
          <cell r="CC7" t="e">
            <v>#N/A</v>
          </cell>
          <cell r="CD7" t="e">
            <v>#N/A</v>
          </cell>
          <cell r="CE7" t="e">
            <v>#N/A</v>
          </cell>
        </row>
        <row r="8">
          <cell r="A8">
            <v>200004</v>
          </cell>
          <cell r="B8">
            <v>276</v>
          </cell>
          <cell r="C8">
            <v>244246</v>
          </cell>
          <cell r="D8">
            <v>4304</v>
          </cell>
          <cell r="E8">
            <v>7391</v>
          </cell>
          <cell r="F8">
            <v>3001</v>
          </cell>
          <cell r="G8">
            <v>-7199</v>
          </cell>
          <cell r="H8">
            <v>19</v>
          </cell>
          <cell r="I8">
            <v>6930</v>
          </cell>
          <cell r="J8">
            <v>89</v>
          </cell>
          <cell r="K8">
            <v>1099</v>
          </cell>
          <cell r="L8">
            <v>3</v>
          </cell>
          <cell r="M8">
            <v>88</v>
          </cell>
          <cell r="N8">
            <v>754</v>
          </cell>
          <cell r="O8">
            <v>539</v>
          </cell>
          <cell r="P8">
            <v>-388</v>
          </cell>
          <cell r="Q8">
            <v>51</v>
          </cell>
          <cell r="R8">
            <v>4087</v>
          </cell>
          <cell r="S8">
            <v>569</v>
          </cell>
          <cell r="T8">
            <v>160</v>
          </cell>
          <cell r="U8">
            <v>2384</v>
          </cell>
          <cell r="V8">
            <v>-143</v>
          </cell>
          <cell r="W8">
            <v>257</v>
          </cell>
          <cell r="X8">
            <v>-1416</v>
          </cell>
          <cell r="Y8">
            <v>-306</v>
          </cell>
          <cell r="Z8">
            <v>1142</v>
          </cell>
          <cell r="AA8">
            <v>491</v>
          </cell>
          <cell r="AB8">
            <v>3000</v>
          </cell>
          <cell r="AC8">
            <v>18684</v>
          </cell>
          <cell r="AD8">
            <v>277</v>
          </cell>
          <cell r="AE8">
            <v>-1443</v>
          </cell>
          <cell r="AF8">
            <v>0</v>
          </cell>
          <cell r="AG8">
            <v>1443</v>
          </cell>
          <cell r="AH8">
            <v>-62</v>
          </cell>
          <cell r="AI8">
            <v>63270</v>
          </cell>
          <cell r="AJ8">
            <v>21548</v>
          </cell>
          <cell r="AK8">
            <v>-1826</v>
          </cell>
          <cell r="AL8">
            <v>194</v>
          </cell>
          <cell r="AM8">
            <v>-577</v>
          </cell>
          <cell r="AN8">
            <v>-728</v>
          </cell>
          <cell r="AO8">
            <v>410</v>
          </cell>
          <cell r="AP8">
            <v>295986</v>
          </cell>
          <cell r="AQ8">
            <v>1623</v>
          </cell>
          <cell r="AR8">
            <v>9352</v>
          </cell>
          <cell r="AS8">
            <v>0</v>
          </cell>
          <cell r="AT8">
            <v>0</v>
          </cell>
          <cell r="AU8">
            <v>69747</v>
          </cell>
          <cell r="AV8">
            <v>0</v>
          </cell>
          <cell r="AW8">
            <v>69747</v>
          </cell>
          <cell r="AX8">
            <v>2.0520299999999998</v>
          </cell>
          <cell r="AY8">
            <v>3.6461000000000001</v>
          </cell>
          <cell r="AZ8">
            <v>7287</v>
          </cell>
          <cell r="BA8">
            <v>17329</v>
          </cell>
          <cell r="BB8">
            <v>804</v>
          </cell>
          <cell r="BC8">
            <v>48194</v>
          </cell>
          <cell r="BD8">
            <v>8847</v>
          </cell>
          <cell r="BE8">
            <v>4371</v>
          </cell>
          <cell r="BF8">
            <v>2590</v>
          </cell>
          <cell r="BG8">
            <v>457</v>
          </cell>
          <cell r="BH8">
            <v>172</v>
          </cell>
          <cell r="BI8">
            <v>5.99</v>
          </cell>
          <cell r="BJ8">
            <v>5.41</v>
          </cell>
          <cell r="BK8">
            <v>4.6500000000000004</v>
          </cell>
          <cell r="BL8">
            <v>32063</v>
          </cell>
          <cell r="BM8">
            <v>7.57667</v>
          </cell>
          <cell r="BN8">
            <v>1781</v>
          </cell>
          <cell r="BO8">
            <v>1237</v>
          </cell>
          <cell r="BP8">
            <v>226</v>
          </cell>
          <cell r="BQ8">
            <v>160</v>
          </cell>
          <cell r="BR8">
            <v>738</v>
          </cell>
          <cell r="BS8">
            <v>55</v>
          </cell>
          <cell r="BT8">
            <v>-16</v>
          </cell>
          <cell r="BU8" t="e">
            <v>#N/A</v>
          </cell>
          <cell r="BV8" t="e">
            <v>#N/A</v>
          </cell>
          <cell r="BW8">
            <v>1237</v>
          </cell>
          <cell r="BX8">
            <v>-454</v>
          </cell>
          <cell r="BY8">
            <v>-783</v>
          </cell>
          <cell r="BZ8">
            <v>-0.01</v>
          </cell>
          <cell r="CA8" t="e">
            <v>#N/A</v>
          </cell>
          <cell r="CB8" t="e">
            <v>#N/A</v>
          </cell>
          <cell r="CC8" t="e">
            <v>#N/A</v>
          </cell>
          <cell r="CD8" t="e">
            <v>#N/A</v>
          </cell>
          <cell r="CE8" t="e">
            <v>#N/A</v>
          </cell>
        </row>
        <row r="9">
          <cell r="A9">
            <v>200101</v>
          </cell>
          <cell r="B9">
            <v>266</v>
          </cell>
          <cell r="C9">
            <v>238943</v>
          </cell>
          <cell r="D9">
            <v>-12396</v>
          </cell>
          <cell r="E9">
            <v>-7686</v>
          </cell>
          <cell r="F9">
            <v>2990</v>
          </cell>
          <cell r="G9">
            <v>-4437</v>
          </cell>
          <cell r="H9">
            <v>7</v>
          </cell>
          <cell r="I9">
            <v>6159</v>
          </cell>
          <cell r="J9">
            <v>78</v>
          </cell>
          <cell r="K9">
            <v>990</v>
          </cell>
          <cell r="L9">
            <v>3</v>
          </cell>
          <cell r="M9">
            <v>88</v>
          </cell>
          <cell r="N9">
            <v>393</v>
          </cell>
          <cell r="O9">
            <v>881</v>
          </cell>
          <cell r="P9">
            <v>-630</v>
          </cell>
          <cell r="Q9">
            <v>63</v>
          </cell>
          <cell r="R9">
            <v>4054</v>
          </cell>
          <cell r="S9">
            <v>863</v>
          </cell>
          <cell r="T9">
            <v>156</v>
          </cell>
          <cell r="U9">
            <v>2573</v>
          </cell>
          <cell r="V9">
            <v>-391</v>
          </cell>
          <cell r="W9">
            <v>242</v>
          </cell>
          <cell r="X9">
            <v>636</v>
          </cell>
          <cell r="Y9">
            <v>-538</v>
          </cell>
          <cell r="Z9">
            <v>1131</v>
          </cell>
          <cell r="AA9">
            <v>708</v>
          </cell>
          <cell r="AB9">
            <v>3000</v>
          </cell>
          <cell r="AC9">
            <v>15057</v>
          </cell>
          <cell r="AD9">
            <v>621</v>
          </cell>
          <cell r="AE9">
            <v>-165</v>
          </cell>
          <cell r="AF9">
            <v>0</v>
          </cell>
          <cell r="AG9">
            <v>165</v>
          </cell>
          <cell r="AH9">
            <v>-223</v>
          </cell>
          <cell r="AI9">
            <v>62611</v>
          </cell>
          <cell r="AJ9">
            <v>18467</v>
          </cell>
          <cell r="AK9">
            <v>1343</v>
          </cell>
          <cell r="AL9">
            <v>-2848</v>
          </cell>
          <cell r="AM9">
            <v>936</v>
          </cell>
          <cell r="AN9">
            <v>-757</v>
          </cell>
          <cell r="AO9">
            <v>463</v>
          </cell>
          <cell r="AP9">
            <v>294518</v>
          </cell>
          <cell r="AQ9">
            <v>1798</v>
          </cell>
          <cell r="AR9">
            <v>6098</v>
          </cell>
          <cell r="AS9">
            <v>0</v>
          </cell>
          <cell r="AT9">
            <v>0</v>
          </cell>
          <cell r="AU9">
            <v>70316</v>
          </cell>
          <cell r="AV9">
            <v>0</v>
          </cell>
          <cell r="AW9">
            <v>70316</v>
          </cell>
          <cell r="AX9">
            <v>2.0958299999999999</v>
          </cell>
          <cell r="AY9">
            <v>5.62845</v>
          </cell>
          <cell r="AZ9">
            <v>7222</v>
          </cell>
          <cell r="BA9">
            <v>17393</v>
          </cell>
          <cell r="BB9">
            <v>814</v>
          </cell>
          <cell r="BC9">
            <v>47720</v>
          </cell>
          <cell r="BD9">
            <v>9110</v>
          </cell>
          <cell r="BE9">
            <v>4714</v>
          </cell>
          <cell r="BF9">
            <v>3521</v>
          </cell>
          <cell r="BG9">
            <v>491</v>
          </cell>
          <cell r="BH9">
            <v>171.8</v>
          </cell>
          <cell r="BI9">
            <v>5.64</v>
          </cell>
          <cell r="BJ9">
            <v>5.04</v>
          </cell>
          <cell r="BK9">
            <v>4.54</v>
          </cell>
          <cell r="BL9">
            <v>32730</v>
          </cell>
          <cell r="BM9">
            <v>7.46333</v>
          </cell>
          <cell r="BN9">
            <v>1975</v>
          </cell>
          <cell r="BO9">
            <v>1410</v>
          </cell>
          <cell r="BP9">
            <v>232</v>
          </cell>
          <cell r="BQ9">
            <v>156</v>
          </cell>
          <cell r="BR9">
            <v>-506</v>
          </cell>
          <cell r="BS9">
            <v>475</v>
          </cell>
          <cell r="BT9">
            <v>16</v>
          </cell>
          <cell r="BU9" t="e">
            <v>#N/A</v>
          </cell>
          <cell r="BV9" t="e">
            <v>#N/A</v>
          </cell>
          <cell r="BW9">
            <v>1283</v>
          </cell>
          <cell r="BX9">
            <v>-906</v>
          </cell>
          <cell r="BY9">
            <v>-377</v>
          </cell>
          <cell r="BZ9">
            <v>-0.22</v>
          </cell>
          <cell r="CA9" t="e">
            <v>#N/A</v>
          </cell>
          <cell r="CB9" t="e">
            <v>#N/A</v>
          </cell>
          <cell r="CC9" t="e">
            <v>#N/A</v>
          </cell>
          <cell r="CD9" t="e">
            <v>#N/A</v>
          </cell>
          <cell r="CE9" t="e">
            <v>#N/A</v>
          </cell>
        </row>
        <row r="10">
          <cell r="A10">
            <v>200102</v>
          </cell>
          <cell r="B10">
            <v>251</v>
          </cell>
          <cell r="C10">
            <v>230681</v>
          </cell>
          <cell r="D10">
            <v>6257</v>
          </cell>
          <cell r="E10">
            <v>486</v>
          </cell>
          <cell r="F10">
            <v>2987</v>
          </cell>
          <cell r="G10">
            <v>2693</v>
          </cell>
          <cell r="H10">
            <v>9</v>
          </cell>
          <cell r="I10">
            <v>5838</v>
          </cell>
          <cell r="J10">
            <v>85</v>
          </cell>
          <cell r="K10">
            <v>1020</v>
          </cell>
          <cell r="L10">
            <v>2</v>
          </cell>
          <cell r="M10">
            <v>84</v>
          </cell>
          <cell r="N10">
            <v>1114</v>
          </cell>
          <cell r="O10">
            <v>519</v>
          </cell>
          <cell r="P10">
            <v>-445</v>
          </cell>
          <cell r="Q10">
            <v>63</v>
          </cell>
          <cell r="R10">
            <v>3900</v>
          </cell>
          <cell r="S10">
            <v>779</v>
          </cell>
          <cell r="T10">
            <v>184</v>
          </cell>
          <cell r="U10">
            <v>2108</v>
          </cell>
          <cell r="V10">
            <v>-220</v>
          </cell>
          <cell r="W10">
            <v>276</v>
          </cell>
          <cell r="X10">
            <v>-1276</v>
          </cell>
          <cell r="Y10">
            <v>-360</v>
          </cell>
          <cell r="Z10">
            <v>1146</v>
          </cell>
          <cell r="AA10">
            <v>420</v>
          </cell>
          <cell r="AB10">
            <v>3000</v>
          </cell>
          <cell r="AC10">
            <v>16296</v>
          </cell>
          <cell r="AD10">
            <v>284</v>
          </cell>
          <cell r="AE10">
            <v>-467</v>
          </cell>
          <cell r="AF10">
            <v>0</v>
          </cell>
          <cell r="AG10">
            <v>467</v>
          </cell>
          <cell r="AH10">
            <v>66</v>
          </cell>
          <cell r="AI10">
            <v>62129</v>
          </cell>
          <cell r="AJ10">
            <v>13956</v>
          </cell>
          <cell r="AK10">
            <v>171</v>
          </cell>
          <cell r="AL10">
            <v>6</v>
          </cell>
          <cell r="AM10">
            <v>30</v>
          </cell>
          <cell r="AN10">
            <v>-568</v>
          </cell>
          <cell r="AO10">
            <v>376</v>
          </cell>
          <cell r="AP10">
            <v>291489</v>
          </cell>
          <cell r="AQ10">
            <v>1389</v>
          </cell>
          <cell r="AR10">
            <v>0</v>
          </cell>
          <cell r="AS10">
            <v>0</v>
          </cell>
          <cell r="AT10">
            <v>0</v>
          </cell>
          <cell r="AU10">
            <v>71630</v>
          </cell>
          <cell r="AV10">
            <v>0</v>
          </cell>
          <cell r="AW10">
            <v>71630</v>
          </cell>
          <cell r="AX10">
            <v>2.5236399999999999</v>
          </cell>
          <cell r="AY10">
            <v>5.1104900000000004</v>
          </cell>
          <cell r="AZ10">
            <v>7494</v>
          </cell>
          <cell r="BA10">
            <v>17361</v>
          </cell>
          <cell r="BB10">
            <v>822</v>
          </cell>
          <cell r="BC10">
            <v>47506</v>
          </cell>
          <cell r="BD10">
            <v>9862</v>
          </cell>
          <cell r="BE10">
            <v>4804</v>
          </cell>
          <cell r="BF10">
            <v>3477</v>
          </cell>
          <cell r="BG10">
            <v>486</v>
          </cell>
          <cell r="BH10">
            <v>173.9</v>
          </cell>
          <cell r="BI10">
            <v>5.23</v>
          </cell>
          <cell r="BJ10">
            <v>5.19</v>
          </cell>
          <cell r="BK10">
            <v>4.97</v>
          </cell>
          <cell r="BL10">
            <v>32998</v>
          </cell>
          <cell r="BM10">
            <v>7.0466699999999998</v>
          </cell>
          <cell r="BN10">
            <v>1951</v>
          </cell>
          <cell r="BO10">
            <v>989</v>
          </cell>
          <cell r="BP10">
            <v>216</v>
          </cell>
          <cell r="BQ10">
            <v>184</v>
          </cell>
          <cell r="BR10">
            <v>-387</v>
          </cell>
          <cell r="BS10">
            <v>77</v>
          </cell>
          <cell r="BT10">
            <v>-29</v>
          </cell>
          <cell r="BU10" t="e">
            <v>#N/A</v>
          </cell>
          <cell r="BV10" t="e">
            <v>#N/A</v>
          </cell>
          <cell r="BW10">
            <v>1111</v>
          </cell>
          <cell r="BX10">
            <v>-287</v>
          </cell>
          <cell r="BY10">
            <v>-824</v>
          </cell>
          <cell r="BZ10">
            <v>-0.13</v>
          </cell>
          <cell r="CA10" t="e">
            <v>#N/A</v>
          </cell>
          <cell r="CB10" t="e">
            <v>#N/A</v>
          </cell>
          <cell r="CC10" t="e">
            <v>#N/A</v>
          </cell>
          <cell r="CD10" t="e">
            <v>#N/A</v>
          </cell>
          <cell r="CE10" t="e">
            <v>#N/A</v>
          </cell>
        </row>
        <row r="11">
          <cell r="A11">
            <v>200103</v>
          </cell>
          <cell r="B11">
            <v>240</v>
          </cell>
          <cell r="C11">
            <v>236491</v>
          </cell>
          <cell r="D11">
            <v>-5474</v>
          </cell>
          <cell r="E11">
            <v>-399</v>
          </cell>
          <cell r="F11">
            <v>2999</v>
          </cell>
          <cell r="G11">
            <v>-2936</v>
          </cell>
          <cell r="H11">
            <v>5</v>
          </cell>
          <cell r="I11">
            <v>5261</v>
          </cell>
          <cell r="J11">
            <v>73</v>
          </cell>
          <cell r="K11">
            <v>803</v>
          </cell>
          <cell r="L11">
            <v>2</v>
          </cell>
          <cell r="M11">
            <v>82</v>
          </cell>
          <cell r="N11">
            <v>910</v>
          </cell>
          <cell r="O11">
            <v>585</v>
          </cell>
          <cell r="P11">
            <v>-550</v>
          </cell>
          <cell r="Q11">
            <v>65</v>
          </cell>
          <cell r="R11">
            <v>3729</v>
          </cell>
          <cell r="S11">
            <v>644</v>
          </cell>
          <cell r="T11">
            <v>190</v>
          </cell>
          <cell r="U11">
            <v>1925</v>
          </cell>
          <cell r="V11">
            <v>-336</v>
          </cell>
          <cell r="W11">
            <v>269</v>
          </cell>
          <cell r="X11">
            <v>1056</v>
          </cell>
          <cell r="Y11">
            <v>-475</v>
          </cell>
          <cell r="Z11">
            <v>1146</v>
          </cell>
          <cell r="AA11">
            <v>426</v>
          </cell>
          <cell r="AB11">
            <v>0</v>
          </cell>
          <cell r="AC11">
            <v>17021</v>
          </cell>
          <cell r="AD11">
            <v>649</v>
          </cell>
          <cell r="AE11">
            <v>1380</v>
          </cell>
          <cell r="AF11">
            <v>1163</v>
          </cell>
          <cell r="AG11">
            <v>-217</v>
          </cell>
          <cell r="AH11">
            <v>-1406</v>
          </cell>
          <cell r="AI11">
            <v>62074</v>
          </cell>
          <cell r="AJ11">
            <v>15038</v>
          </cell>
          <cell r="AK11">
            <v>209</v>
          </cell>
          <cell r="AL11">
            <v>-1446</v>
          </cell>
          <cell r="AM11">
            <v>778</v>
          </cell>
          <cell r="AN11">
            <v>-567</v>
          </cell>
          <cell r="AO11">
            <v>370</v>
          </cell>
          <cell r="AP11">
            <v>293296</v>
          </cell>
          <cell r="AQ11">
            <v>1362</v>
          </cell>
          <cell r="AR11">
            <v>6094</v>
          </cell>
          <cell r="AS11">
            <v>0</v>
          </cell>
          <cell r="AT11">
            <v>0</v>
          </cell>
          <cell r="AU11">
            <v>68160</v>
          </cell>
          <cell r="AV11">
            <v>0</v>
          </cell>
          <cell r="AW11">
            <v>68160</v>
          </cell>
          <cell r="AX11">
            <v>2.39134</v>
          </cell>
          <cell r="AY11">
            <v>4.2149099999999997</v>
          </cell>
          <cell r="AZ11">
            <v>7576</v>
          </cell>
          <cell r="BA11">
            <v>18570</v>
          </cell>
          <cell r="BB11">
            <v>848</v>
          </cell>
          <cell r="BC11">
            <v>47852</v>
          </cell>
          <cell r="BD11">
            <v>10489</v>
          </cell>
          <cell r="BE11">
            <v>4365</v>
          </cell>
          <cell r="BF11">
            <v>2600</v>
          </cell>
          <cell r="BG11">
            <v>495</v>
          </cell>
          <cell r="BH11">
            <v>174</v>
          </cell>
          <cell r="BI11">
            <v>4.93</v>
          </cell>
          <cell r="BJ11">
            <v>5.15</v>
          </cell>
          <cell r="BK11">
            <v>4.93</v>
          </cell>
          <cell r="BL11">
            <v>33611</v>
          </cell>
          <cell r="BM11">
            <v>6.7166699999999997</v>
          </cell>
          <cell r="BN11">
            <v>1975</v>
          </cell>
          <cell r="BO11">
            <v>963</v>
          </cell>
          <cell r="BP11">
            <v>209</v>
          </cell>
          <cell r="BQ11">
            <v>190</v>
          </cell>
          <cell r="BR11">
            <v>709</v>
          </cell>
          <cell r="BS11">
            <v>-558</v>
          </cell>
          <cell r="BT11">
            <v>6</v>
          </cell>
          <cell r="BU11" t="e">
            <v>#N/A</v>
          </cell>
          <cell r="BV11" t="e">
            <v>#N/A</v>
          </cell>
          <cell r="BW11">
            <v>870</v>
          </cell>
          <cell r="BX11">
            <v>-166</v>
          </cell>
          <cell r="BY11">
            <v>-704</v>
          </cell>
          <cell r="BZ11">
            <v>-0.12</v>
          </cell>
          <cell r="CA11" t="e">
            <v>#N/A</v>
          </cell>
          <cell r="CB11" t="e">
            <v>#N/A</v>
          </cell>
          <cell r="CC11" t="e">
            <v>#N/A</v>
          </cell>
          <cell r="CD11" t="e">
            <v>#N/A</v>
          </cell>
          <cell r="CE11" t="e">
            <v>#N/A</v>
          </cell>
        </row>
        <row r="12">
          <cell r="A12">
            <v>200104</v>
          </cell>
          <cell r="B12">
            <v>204</v>
          </cell>
          <cell r="C12">
            <v>224731</v>
          </cell>
          <cell r="D12">
            <v>8906</v>
          </cell>
          <cell r="E12">
            <v>3018</v>
          </cell>
          <cell r="F12">
            <v>3165</v>
          </cell>
          <cell r="G12">
            <v>-7551</v>
          </cell>
          <cell r="H12">
            <v>16</v>
          </cell>
          <cell r="I12">
            <v>5883</v>
          </cell>
          <cell r="J12">
            <v>63</v>
          </cell>
          <cell r="K12">
            <v>1056</v>
          </cell>
          <cell r="L12">
            <v>3</v>
          </cell>
          <cell r="M12">
            <v>73</v>
          </cell>
          <cell r="N12">
            <v>736</v>
          </cell>
          <cell r="O12">
            <v>793</v>
          </cell>
          <cell r="P12">
            <v>-645</v>
          </cell>
          <cell r="Q12">
            <v>63</v>
          </cell>
          <cell r="R12">
            <v>3652</v>
          </cell>
          <cell r="S12">
            <v>630</v>
          </cell>
          <cell r="T12">
            <v>184</v>
          </cell>
          <cell r="U12">
            <v>2301</v>
          </cell>
          <cell r="V12">
            <v>-469</v>
          </cell>
          <cell r="W12">
            <v>255</v>
          </cell>
          <cell r="X12">
            <v>1892</v>
          </cell>
          <cell r="Y12">
            <v>-594</v>
          </cell>
          <cell r="Z12">
            <v>1148</v>
          </cell>
          <cell r="AA12">
            <v>394</v>
          </cell>
          <cell r="AB12">
            <v>0</v>
          </cell>
          <cell r="AC12">
            <v>18899</v>
          </cell>
          <cell r="AD12">
            <v>284</v>
          </cell>
          <cell r="AE12">
            <v>-802</v>
          </cell>
          <cell r="AF12">
            <v>7</v>
          </cell>
          <cell r="AG12">
            <v>809</v>
          </cell>
          <cell r="AH12">
            <v>527</v>
          </cell>
          <cell r="AI12">
            <v>62495</v>
          </cell>
          <cell r="AJ12">
            <v>10548</v>
          </cell>
          <cell r="AK12">
            <v>511</v>
          </cell>
          <cell r="AL12">
            <v>-1401</v>
          </cell>
          <cell r="AM12">
            <v>72</v>
          </cell>
          <cell r="AN12">
            <v>-447</v>
          </cell>
          <cell r="AO12">
            <v>324</v>
          </cell>
          <cell r="AP12">
            <v>291729</v>
          </cell>
          <cell r="AQ12">
            <v>1190</v>
          </cell>
          <cell r="AR12">
            <v>11711</v>
          </cell>
          <cell r="AS12">
            <v>0</v>
          </cell>
          <cell r="AT12">
            <v>0</v>
          </cell>
          <cell r="AU12">
            <v>69694</v>
          </cell>
          <cell r="AV12">
            <v>0</v>
          </cell>
          <cell r="AW12">
            <v>69694</v>
          </cell>
          <cell r="AX12">
            <v>2.33568</v>
          </cell>
          <cell r="AY12">
            <v>4.0937099999999997</v>
          </cell>
          <cell r="AZ12">
            <v>7304</v>
          </cell>
          <cell r="BA12">
            <v>18173</v>
          </cell>
          <cell r="BB12">
            <v>903</v>
          </cell>
          <cell r="BC12">
            <v>47933</v>
          </cell>
          <cell r="BD12">
            <v>12808</v>
          </cell>
          <cell r="BE12">
            <v>4492</v>
          </cell>
          <cell r="BF12">
            <v>11200</v>
          </cell>
          <cell r="BG12">
            <v>466</v>
          </cell>
          <cell r="BH12">
            <v>173.8</v>
          </cell>
          <cell r="BI12">
            <v>4.0999999999999996</v>
          </cell>
          <cell r="BJ12">
            <v>4.75</v>
          </cell>
          <cell r="BK12">
            <v>4.7</v>
          </cell>
          <cell r="BL12">
            <v>34559</v>
          </cell>
          <cell r="BM12">
            <v>6.0166700000000004</v>
          </cell>
          <cell r="BN12">
            <v>2008</v>
          </cell>
          <cell r="BO12">
            <v>846</v>
          </cell>
          <cell r="BP12">
            <v>160</v>
          </cell>
          <cell r="BQ12">
            <v>184</v>
          </cell>
          <cell r="BR12">
            <v>119</v>
          </cell>
          <cell r="BS12">
            <v>31</v>
          </cell>
          <cell r="BT12">
            <v>50</v>
          </cell>
          <cell r="BU12" t="e">
            <v>#N/A</v>
          </cell>
          <cell r="BV12" t="e">
            <v>#N/A</v>
          </cell>
          <cell r="BW12">
            <v>1192</v>
          </cell>
          <cell r="BX12">
            <v>-483</v>
          </cell>
          <cell r="BY12">
            <v>-709</v>
          </cell>
          <cell r="BZ12">
            <v>-0.13</v>
          </cell>
          <cell r="CA12" t="e">
            <v>#N/A</v>
          </cell>
          <cell r="CB12" t="e">
            <v>#N/A</v>
          </cell>
          <cell r="CC12" t="e">
            <v>#N/A</v>
          </cell>
          <cell r="CD12" t="e">
            <v>#N/A</v>
          </cell>
          <cell r="CE12" t="e">
            <v>#N/A</v>
          </cell>
        </row>
        <row r="13">
          <cell r="A13">
            <v>200201</v>
          </cell>
          <cell r="B13">
            <v>184</v>
          </cell>
          <cell r="C13">
            <v>222924</v>
          </cell>
          <cell r="D13">
            <v>-6918</v>
          </cell>
          <cell r="E13">
            <v>-3386</v>
          </cell>
          <cell r="F13">
            <v>3154</v>
          </cell>
          <cell r="G13">
            <v>2756</v>
          </cell>
          <cell r="H13">
            <v>10</v>
          </cell>
          <cell r="I13">
            <v>5018</v>
          </cell>
          <cell r="J13">
            <v>65</v>
          </cell>
          <cell r="K13">
            <v>832</v>
          </cell>
          <cell r="L13">
            <v>2</v>
          </cell>
          <cell r="M13">
            <v>66</v>
          </cell>
          <cell r="N13">
            <v>882</v>
          </cell>
          <cell r="O13">
            <v>1364</v>
          </cell>
          <cell r="P13">
            <v>-1100</v>
          </cell>
          <cell r="Q13">
            <v>67</v>
          </cell>
          <cell r="R13">
            <v>3690</v>
          </cell>
          <cell r="S13">
            <v>431</v>
          </cell>
          <cell r="T13">
            <v>180</v>
          </cell>
          <cell r="U13">
            <v>2611</v>
          </cell>
          <cell r="V13">
            <v>-929</v>
          </cell>
          <cell r="W13">
            <v>252</v>
          </cell>
          <cell r="X13">
            <v>358</v>
          </cell>
          <cell r="Y13">
            <v>-1041</v>
          </cell>
          <cell r="Z13">
            <v>1144</v>
          </cell>
          <cell r="AA13">
            <v>337</v>
          </cell>
          <cell r="AB13">
            <v>0</v>
          </cell>
          <cell r="AC13">
            <v>19390</v>
          </cell>
          <cell r="AD13">
            <v>622</v>
          </cell>
          <cell r="AE13">
            <v>-78</v>
          </cell>
          <cell r="AF13">
            <v>0</v>
          </cell>
          <cell r="AG13">
            <v>78</v>
          </cell>
          <cell r="AH13">
            <v>496</v>
          </cell>
          <cell r="AI13">
            <v>62275</v>
          </cell>
          <cell r="AJ13">
            <v>13545</v>
          </cell>
          <cell r="AK13">
            <v>969</v>
          </cell>
          <cell r="AL13">
            <v>-1236</v>
          </cell>
          <cell r="AM13">
            <v>768</v>
          </cell>
          <cell r="AN13">
            <v>-638</v>
          </cell>
          <cell r="AO13">
            <v>331</v>
          </cell>
          <cell r="AP13">
            <v>296816</v>
          </cell>
          <cell r="AQ13">
            <v>1093</v>
          </cell>
          <cell r="AR13">
            <v>0</v>
          </cell>
          <cell r="AS13">
            <v>0</v>
          </cell>
          <cell r="AT13">
            <v>0</v>
          </cell>
          <cell r="AU13">
            <v>70417</v>
          </cell>
          <cell r="AV13">
            <v>0</v>
          </cell>
          <cell r="AW13">
            <v>70417</v>
          </cell>
          <cell r="AX13">
            <v>2.4152300000000002</v>
          </cell>
          <cell r="AY13">
            <v>2.7972399999999999</v>
          </cell>
          <cell r="AZ13">
            <v>7356</v>
          </cell>
          <cell r="BA13">
            <v>17708</v>
          </cell>
          <cell r="BB13">
            <v>1047</v>
          </cell>
          <cell r="BC13">
            <v>47478</v>
          </cell>
          <cell r="BD13">
            <v>11424</v>
          </cell>
          <cell r="BE13">
            <v>4308</v>
          </cell>
          <cell r="BF13">
            <v>9700</v>
          </cell>
          <cell r="BG13">
            <v>478</v>
          </cell>
          <cell r="BH13">
            <v>173.9</v>
          </cell>
          <cell r="BI13">
            <v>4.01</v>
          </cell>
          <cell r="BJ13">
            <v>5.05</v>
          </cell>
          <cell r="BK13">
            <v>4.91</v>
          </cell>
          <cell r="BL13">
            <v>35314</v>
          </cell>
          <cell r="BM13">
            <v>5.6566700000000001</v>
          </cell>
          <cell r="BN13">
            <v>2128</v>
          </cell>
          <cell r="BO13">
            <v>752</v>
          </cell>
          <cell r="BP13">
            <v>161</v>
          </cell>
          <cell r="BQ13">
            <v>180</v>
          </cell>
          <cell r="BR13">
            <v>-547</v>
          </cell>
          <cell r="BS13">
            <v>-39</v>
          </cell>
          <cell r="BT13">
            <v>115</v>
          </cell>
          <cell r="BU13" t="e">
            <v>#N/A</v>
          </cell>
          <cell r="BV13" t="e">
            <v>#N/A</v>
          </cell>
          <cell r="BW13">
            <v>1132</v>
          </cell>
          <cell r="BX13">
            <v>-688</v>
          </cell>
          <cell r="BY13">
            <v>-444</v>
          </cell>
          <cell r="BZ13">
            <v>0.01</v>
          </cell>
          <cell r="CA13" t="e">
            <v>#N/A</v>
          </cell>
          <cell r="CB13" t="e">
            <v>#N/A</v>
          </cell>
          <cell r="CC13" t="e">
            <v>#N/A</v>
          </cell>
          <cell r="CD13" t="e">
            <v>#N/A</v>
          </cell>
          <cell r="CE13" t="e">
            <v>#N/A</v>
          </cell>
        </row>
        <row r="14">
          <cell r="A14">
            <v>200202</v>
          </cell>
          <cell r="B14">
            <v>211</v>
          </cell>
          <cell r="C14">
            <v>221407</v>
          </cell>
          <cell r="D14">
            <v>7404</v>
          </cell>
          <cell r="E14">
            <v>2017</v>
          </cell>
          <cell r="F14">
            <v>3153</v>
          </cell>
          <cell r="G14">
            <v>-2885</v>
          </cell>
          <cell r="H14">
            <v>19</v>
          </cell>
          <cell r="I14">
            <v>5598</v>
          </cell>
          <cell r="J14">
            <v>54</v>
          </cell>
          <cell r="K14">
            <v>956</v>
          </cell>
          <cell r="L14">
            <v>2</v>
          </cell>
          <cell r="M14">
            <v>77</v>
          </cell>
          <cell r="N14">
            <v>893</v>
          </cell>
          <cell r="O14">
            <v>460</v>
          </cell>
          <cell r="P14">
            <v>-399</v>
          </cell>
          <cell r="Q14">
            <v>66</v>
          </cell>
          <cell r="R14">
            <v>3611</v>
          </cell>
          <cell r="S14">
            <v>597</v>
          </cell>
          <cell r="T14">
            <v>156</v>
          </cell>
          <cell r="U14">
            <v>1855</v>
          </cell>
          <cell r="V14">
            <v>-207</v>
          </cell>
          <cell r="W14">
            <v>217</v>
          </cell>
          <cell r="X14">
            <v>120</v>
          </cell>
          <cell r="Y14">
            <v>-335</v>
          </cell>
          <cell r="Z14">
            <v>1101</v>
          </cell>
          <cell r="AA14">
            <v>362</v>
          </cell>
          <cell r="AB14">
            <v>0</v>
          </cell>
          <cell r="AC14">
            <v>19116</v>
          </cell>
          <cell r="AD14">
            <v>289</v>
          </cell>
          <cell r="AE14">
            <v>-413</v>
          </cell>
          <cell r="AF14">
            <v>0</v>
          </cell>
          <cell r="AG14">
            <v>413</v>
          </cell>
          <cell r="AH14">
            <v>-284</v>
          </cell>
          <cell r="AI14">
            <v>61625</v>
          </cell>
          <cell r="AJ14">
            <v>13798</v>
          </cell>
          <cell r="AK14">
            <v>-2200</v>
          </cell>
          <cell r="AL14">
            <v>-3</v>
          </cell>
          <cell r="AM14">
            <v>-414</v>
          </cell>
          <cell r="AN14">
            <v>-710</v>
          </cell>
          <cell r="AO14">
            <v>301</v>
          </cell>
          <cell r="AP14">
            <v>296380</v>
          </cell>
          <cell r="AQ14">
            <v>1130</v>
          </cell>
          <cell r="AR14">
            <v>8792</v>
          </cell>
          <cell r="AS14">
            <v>0</v>
          </cell>
          <cell r="AT14">
            <v>0</v>
          </cell>
          <cell r="AU14">
            <v>71715</v>
          </cell>
          <cell r="AV14">
            <v>0</v>
          </cell>
          <cell r="AW14">
            <v>71715</v>
          </cell>
          <cell r="AX14">
            <v>2.33257</v>
          </cell>
          <cell r="AY14">
            <v>3.9317299999999999</v>
          </cell>
          <cell r="AZ14">
            <v>7502</v>
          </cell>
          <cell r="BA14">
            <v>18121</v>
          </cell>
          <cell r="BB14">
            <v>1014</v>
          </cell>
          <cell r="BC14">
            <v>46507</v>
          </cell>
          <cell r="BD14">
            <v>12178</v>
          </cell>
          <cell r="BE14">
            <v>4434</v>
          </cell>
          <cell r="BF14">
            <v>16450</v>
          </cell>
          <cell r="BG14">
            <v>437</v>
          </cell>
          <cell r="BH14">
            <v>176</v>
          </cell>
          <cell r="BI14">
            <v>4.0999999999999996</v>
          </cell>
          <cell r="BJ14">
            <v>5.2</v>
          </cell>
          <cell r="BK14">
            <v>5.12</v>
          </cell>
          <cell r="BL14">
            <v>35948</v>
          </cell>
          <cell r="BM14">
            <v>5.6566700000000001</v>
          </cell>
          <cell r="BN14">
            <v>2116</v>
          </cell>
          <cell r="BO14">
            <v>801</v>
          </cell>
          <cell r="BP14">
            <v>173</v>
          </cell>
          <cell r="BQ14">
            <v>156</v>
          </cell>
          <cell r="BR14">
            <v>-1126</v>
          </cell>
          <cell r="BS14">
            <v>-6</v>
          </cell>
          <cell r="BT14">
            <v>-76</v>
          </cell>
          <cell r="BU14" t="e">
            <v>#N/A</v>
          </cell>
          <cell r="BV14" t="e">
            <v>#N/A</v>
          </cell>
          <cell r="BW14">
            <v>1035</v>
          </cell>
          <cell r="BX14">
            <v>-228</v>
          </cell>
          <cell r="BY14">
            <v>-807</v>
          </cell>
          <cell r="BZ14">
            <v>0.1</v>
          </cell>
          <cell r="CA14" t="e">
            <v>#N/A</v>
          </cell>
          <cell r="CB14" t="e">
            <v>#N/A</v>
          </cell>
          <cell r="CC14" t="e">
            <v>#N/A</v>
          </cell>
          <cell r="CD14" t="e">
            <v>#N/A</v>
          </cell>
          <cell r="CE14" t="e">
            <v>#N/A</v>
          </cell>
        </row>
        <row r="15">
          <cell r="A15">
            <v>200203</v>
          </cell>
          <cell r="B15">
            <v>208</v>
          </cell>
          <cell r="C15">
            <v>227845</v>
          </cell>
          <cell r="D15">
            <v>2079</v>
          </cell>
          <cell r="E15">
            <v>728</v>
          </cell>
          <cell r="F15">
            <v>3155</v>
          </cell>
          <cell r="G15">
            <v>-1851</v>
          </cell>
          <cell r="H15">
            <v>19</v>
          </cell>
          <cell r="I15">
            <v>4316</v>
          </cell>
          <cell r="J15">
            <v>47</v>
          </cell>
          <cell r="K15">
            <v>1032</v>
          </cell>
          <cell r="L15">
            <v>2</v>
          </cell>
          <cell r="M15">
            <v>72</v>
          </cell>
          <cell r="N15">
            <v>1747</v>
          </cell>
          <cell r="O15">
            <v>577</v>
          </cell>
          <cell r="P15">
            <v>-558</v>
          </cell>
          <cell r="Q15">
            <v>83</v>
          </cell>
          <cell r="R15">
            <v>3414</v>
          </cell>
          <cell r="S15">
            <v>471</v>
          </cell>
          <cell r="T15">
            <v>159</v>
          </cell>
          <cell r="U15">
            <v>2041</v>
          </cell>
          <cell r="V15">
            <v>-352</v>
          </cell>
          <cell r="W15">
            <v>213</v>
          </cell>
          <cell r="X15">
            <v>-208</v>
          </cell>
          <cell r="Y15">
            <v>-505</v>
          </cell>
          <cell r="Z15">
            <v>1103</v>
          </cell>
          <cell r="AA15">
            <v>376</v>
          </cell>
          <cell r="AB15">
            <v>0</v>
          </cell>
          <cell r="AC15">
            <v>17326</v>
          </cell>
          <cell r="AD15">
            <v>645</v>
          </cell>
          <cell r="AE15">
            <v>425</v>
          </cell>
          <cell r="AF15">
            <v>0</v>
          </cell>
          <cell r="AG15">
            <v>-425</v>
          </cell>
          <cell r="AH15">
            <v>-2024</v>
          </cell>
          <cell r="AI15">
            <v>61704</v>
          </cell>
          <cell r="AJ15">
            <v>12185</v>
          </cell>
          <cell r="AK15">
            <v>-322</v>
          </cell>
          <cell r="AL15">
            <v>11</v>
          </cell>
          <cell r="AM15">
            <v>1197</v>
          </cell>
          <cell r="AN15">
            <v>-838</v>
          </cell>
          <cell r="AO15">
            <v>318</v>
          </cell>
          <cell r="AP15">
            <v>299229</v>
          </cell>
          <cell r="AQ15">
            <v>1154</v>
          </cell>
          <cell r="AR15">
            <v>6189</v>
          </cell>
          <cell r="AS15">
            <v>0</v>
          </cell>
          <cell r="AT15">
            <v>0</v>
          </cell>
          <cell r="AU15">
            <v>73076</v>
          </cell>
          <cell r="AV15">
            <v>0</v>
          </cell>
          <cell r="AW15">
            <v>73076</v>
          </cell>
          <cell r="AX15">
            <v>2.21305</v>
          </cell>
          <cell r="AY15">
            <v>3.0884200000000002</v>
          </cell>
          <cell r="AZ15">
            <v>7817</v>
          </cell>
          <cell r="BA15">
            <v>20260</v>
          </cell>
          <cell r="BB15">
            <v>1077</v>
          </cell>
          <cell r="BC15">
            <v>47010</v>
          </cell>
          <cell r="BD15">
            <v>12958</v>
          </cell>
          <cell r="BE15">
            <v>4858</v>
          </cell>
          <cell r="BF15">
            <v>18100</v>
          </cell>
          <cell r="BG15">
            <v>385</v>
          </cell>
          <cell r="BH15">
            <v>176.6</v>
          </cell>
          <cell r="BI15">
            <v>3.95</v>
          </cell>
          <cell r="BJ15">
            <v>4.63</v>
          </cell>
          <cell r="BK15">
            <v>4.68</v>
          </cell>
          <cell r="BL15">
            <v>36396</v>
          </cell>
          <cell r="BM15">
            <v>5.6566700000000001</v>
          </cell>
          <cell r="BN15">
            <v>2243</v>
          </cell>
          <cell r="BO15">
            <v>808</v>
          </cell>
          <cell r="BP15">
            <v>187</v>
          </cell>
          <cell r="BQ15">
            <v>159</v>
          </cell>
          <cell r="BR15">
            <v>673</v>
          </cell>
          <cell r="BS15">
            <v>200</v>
          </cell>
          <cell r="BT15">
            <v>57</v>
          </cell>
          <cell r="BU15" t="e">
            <v>#N/A</v>
          </cell>
          <cell r="BV15" t="e">
            <v>#N/A</v>
          </cell>
          <cell r="BW15">
            <v>1091</v>
          </cell>
          <cell r="BX15">
            <v>-442</v>
          </cell>
          <cell r="BY15">
            <v>-649</v>
          </cell>
          <cell r="BZ15">
            <v>-0.05</v>
          </cell>
          <cell r="CA15" t="e">
            <v>#N/A</v>
          </cell>
          <cell r="CB15" t="e">
            <v>#N/A</v>
          </cell>
          <cell r="CC15" t="e">
            <v>#N/A</v>
          </cell>
          <cell r="CD15" t="e">
            <v>#N/A</v>
          </cell>
          <cell r="CE15" t="e">
            <v>#N/A</v>
          </cell>
        </row>
        <row r="16">
          <cell r="A16">
            <v>200204</v>
          </cell>
          <cell r="B16">
            <v>217</v>
          </cell>
          <cell r="C16">
            <v>229172</v>
          </cell>
          <cell r="D16">
            <v>14796</v>
          </cell>
          <cell r="E16">
            <v>1298</v>
          </cell>
          <cell r="F16">
            <v>3286</v>
          </cell>
          <cell r="G16">
            <v>4834</v>
          </cell>
          <cell r="H16">
            <v>27</v>
          </cell>
          <cell r="I16">
            <v>5920</v>
          </cell>
          <cell r="J16">
            <v>60</v>
          </cell>
          <cell r="K16">
            <v>820</v>
          </cell>
          <cell r="L16">
            <v>2</v>
          </cell>
          <cell r="M16">
            <v>74</v>
          </cell>
          <cell r="N16">
            <v>962</v>
          </cell>
          <cell r="O16">
            <v>1051</v>
          </cell>
          <cell r="P16">
            <v>-911</v>
          </cell>
          <cell r="Q16">
            <v>204</v>
          </cell>
          <cell r="R16">
            <v>3510</v>
          </cell>
          <cell r="S16">
            <v>556</v>
          </cell>
          <cell r="T16">
            <v>160</v>
          </cell>
          <cell r="U16">
            <v>2246</v>
          </cell>
          <cell r="V16">
            <v>-681</v>
          </cell>
          <cell r="W16">
            <v>228</v>
          </cell>
          <cell r="X16">
            <v>2048</v>
          </cell>
          <cell r="Y16">
            <v>-862</v>
          </cell>
          <cell r="Z16">
            <v>1109</v>
          </cell>
          <cell r="AA16">
            <v>381</v>
          </cell>
          <cell r="AB16">
            <v>0</v>
          </cell>
          <cell r="AC16">
            <v>19841</v>
          </cell>
          <cell r="AD16">
            <v>305</v>
          </cell>
          <cell r="AE16">
            <v>-1050</v>
          </cell>
          <cell r="AF16">
            <v>0</v>
          </cell>
          <cell r="AG16">
            <v>1050</v>
          </cell>
          <cell r="AH16">
            <v>1214</v>
          </cell>
          <cell r="AI16">
            <v>61910</v>
          </cell>
          <cell r="AJ16">
            <v>8543</v>
          </cell>
          <cell r="AK16">
            <v>-1014</v>
          </cell>
          <cell r="AL16">
            <v>-1911</v>
          </cell>
          <cell r="AM16">
            <v>839</v>
          </cell>
          <cell r="AN16">
            <v>161</v>
          </cell>
          <cell r="AO16">
            <v>321</v>
          </cell>
          <cell r="AP16">
            <v>297020</v>
          </cell>
          <cell r="AQ16">
            <v>1119</v>
          </cell>
          <cell r="AR16">
            <v>1852</v>
          </cell>
          <cell r="AS16">
            <v>0</v>
          </cell>
          <cell r="AT16">
            <v>0</v>
          </cell>
          <cell r="AU16">
            <v>75046</v>
          </cell>
          <cell r="AV16">
            <v>0</v>
          </cell>
          <cell r="AW16">
            <v>75046</v>
          </cell>
          <cell r="AX16">
            <v>2.2651500000000002</v>
          </cell>
          <cell r="AY16">
            <v>3.6409899999999999</v>
          </cell>
          <cell r="AZ16">
            <v>8183</v>
          </cell>
          <cell r="BA16">
            <v>19703</v>
          </cell>
          <cell r="BB16">
            <v>1102</v>
          </cell>
          <cell r="BC16">
            <v>46373</v>
          </cell>
          <cell r="BD16">
            <v>13787</v>
          </cell>
          <cell r="BE16">
            <v>5108</v>
          </cell>
          <cell r="BF16">
            <v>21400</v>
          </cell>
          <cell r="BG16">
            <v>377</v>
          </cell>
          <cell r="BH16">
            <v>178.2</v>
          </cell>
          <cell r="BI16">
            <v>3.92</v>
          </cell>
          <cell r="BJ16">
            <v>4.38</v>
          </cell>
          <cell r="BK16">
            <v>4.6100000000000003</v>
          </cell>
          <cell r="BL16">
            <v>37003</v>
          </cell>
          <cell r="BM16">
            <v>5.65</v>
          </cell>
          <cell r="BN16">
            <v>2286</v>
          </cell>
          <cell r="BO16">
            <v>756</v>
          </cell>
          <cell r="BP16">
            <v>203</v>
          </cell>
          <cell r="BQ16">
            <v>160</v>
          </cell>
          <cell r="BR16">
            <v>-685</v>
          </cell>
          <cell r="BS16">
            <v>187</v>
          </cell>
          <cell r="BT16">
            <v>48</v>
          </cell>
          <cell r="BU16" t="e">
            <v>#N/A</v>
          </cell>
          <cell r="BV16" t="e">
            <v>#N/A</v>
          </cell>
          <cell r="BW16">
            <v>1011</v>
          </cell>
          <cell r="BX16">
            <v>-572</v>
          </cell>
          <cell r="BY16">
            <v>-439</v>
          </cell>
          <cell r="BZ16">
            <v>-0.08</v>
          </cell>
          <cell r="CA16" t="e">
            <v>#N/A</v>
          </cell>
          <cell r="CB16" t="e">
            <v>#N/A</v>
          </cell>
          <cell r="CC16" t="e">
            <v>#N/A</v>
          </cell>
          <cell r="CD16" t="e">
            <v>#N/A</v>
          </cell>
          <cell r="CE16" t="e">
            <v>#N/A</v>
          </cell>
        </row>
        <row r="17">
          <cell r="A17">
            <v>200301</v>
          </cell>
          <cell r="B17">
            <v>206</v>
          </cell>
          <cell r="C17">
            <v>237657</v>
          </cell>
          <cell r="D17">
            <v>-2528</v>
          </cell>
          <cell r="E17">
            <v>-2368</v>
          </cell>
          <cell r="F17">
            <v>3275</v>
          </cell>
          <cell r="G17">
            <v>8794</v>
          </cell>
          <cell r="H17">
            <v>8</v>
          </cell>
          <cell r="I17">
            <v>4854</v>
          </cell>
          <cell r="J17">
            <v>54</v>
          </cell>
          <cell r="K17">
            <v>1342</v>
          </cell>
          <cell r="L17">
            <v>0</v>
          </cell>
          <cell r="M17">
            <v>43</v>
          </cell>
          <cell r="N17">
            <v>961</v>
          </cell>
          <cell r="O17">
            <v>1296</v>
          </cell>
          <cell r="P17">
            <v>-1021</v>
          </cell>
          <cell r="Q17">
            <v>208</v>
          </cell>
          <cell r="R17">
            <v>3555</v>
          </cell>
          <cell r="S17">
            <v>455</v>
          </cell>
          <cell r="T17">
            <v>172</v>
          </cell>
          <cell r="U17">
            <v>3002</v>
          </cell>
          <cell r="V17">
            <v>-826</v>
          </cell>
          <cell r="W17">
            <v>230</v>
          </cell>
          <cell r="X17">
            <v>1911</v>
          </cell>
          <cell r="Y17">
            <v>-973</v>
          </cell>
          <cell r="Z17">
            <v>1063</v>
          </cell>
          <cell r="AA17">
            <v>359</v>
          </cell>
          <cell r="AB17">
            <v>0</v>
          </cell>
          <cell r="AC17">
            <v>18208</v>
          </cell>
          <cell r="AD17">
            <v>680</v>
          </cell>
          <cell r="AE17">
            <v>-86</v>
          </cell>
          <cell r="AF17">
            <v>0</v>
          </cell>
          <cell r="AG17">
            <v>86</v>
          </cell>
          <cell r="AH17">
            <v>816</v>
          </cell>
          <cell r="AI17">
            <v>63087</v>
          </cell>
          <cell r="AJ17">
            <v>11041</v>
          </cell>
          <cell r="AK17">
            <v>1322</v>
          </cell>
          <cell r="AL17">
            <v>-1303</v>
          </cell>
          <cell r="AM17">
            <v>1499</v>
          </cell>
          <cell r="AN17">
            <v>-863</v>
          </cell>
          <cell r="AO17">
            <v>302</v>
          </cell>
          <cell r="AP17">
            <v>300168</v>
          </cell>
          <cell r="AQ17">
            <v>1082</v>
          </cell>
          <cell r="AR17">
            <v>156</v>
          </cell>
          <cell r="AS17">
            <v>0</v>
          </cell>
          <cell r="AT17">
            <v>0</v>
          </cell>
          <cell r="AU17">
            <v>75966</v>
          </cell>
          <cell r="AV17">
            <v>0</v>
          </cell>
          <cell r="AW17">
            <v>75966</v>
          </cell>
          <cell r="AX17">
            <v>1.94546</v>
          </cell>
          <cell r="AY17">
            <v>2.9162699999999999</v>
          </cell>
          <cell r="AZ17">
            <v>8372</v>
          </cell>
          <cell r="BA17">
            <v>18830</v>
          </cell>
          <cell r="BB17">
            <v>1274</v>
          </cell>
          <cell r="BC17">
            <v>44841</v>
          </cell>
          <cell r="BD17">
            <v>14310</v>
          </cell>
          <cell r="BE17">
            <v>4171</v>
          </cell>
          <cell r="BF17">
            <v>15000</v>
          </cell>
          <cell r="BG17">
            <v>376</v>
          </cell>
          <cell r="BH17">
            <v>179.2</v>
          </cell>
          <cell r="BI17">
            <v>3.73</v>
          </cell>
          <cell r="BJ17">
            <v>3.99</v>
          </cell>
          <cell r="BK17">
            <v>4.46</v>
          </cell>
          <cell r="BL17">
            <v>37565</v>
          </cell>
          <cell r="BM17">
            <v>5.5866699999999998</v>
          </cell>
          <cell r="BN17">
            <v>2513</v>
          </cell>
          <cell r="BO17">
            <v>723</v>
          </cell>
          <cell r="BP17">
            <v>187</v>
          </cell>
          <cell r="BQ17">
            <v>172</v>
          </cell>
          <cell r="BR17">
            <v>-1299</v>
          </cell>
          <cell r="BS17">
            <v>-407</v>
          </cell>
          <cell r="BT17">
            <v>169</v>
          </cell>
          <cell r="BU17" t="e">
            <v>#N/A</v>
          </cell>
          <cell r="BV17" t="e">
            <v>#N/A</v>
          </cell>
          <cell r="BW17">
            <v>1693</v>
          </cell>
          <cell r="BX17">
            <v>-1274</v>
          </cell>
          <cell r="BY17">
            <v>-419</v>
          </cell>
          <cell r="BZ17">
            <v>-0.12</v>
          </cell>
          <cell r="CA17" t="e">
            <v>#N/A</v>
          </cell>
          <cell r="CB17" t="e">
            <v>#N/A</v>
          </cell>
          <cell r="CC17" t="e">
            <v>#N/A</v>
          </cell>
          <cell r="CD17" t="e">
            <v>#N/A</v>
          </cell>
          <cell r="CE17" t="e">
            <v>#N/A</v>
          </cell>
        </row>
        <row r="18">
          <cell r="A18">
            <v>200302</v>
          </cell>
          <cell r="B18">
            <v>197</v>
          </cell>
          <cell r="C18">
            <v>243938</v>
          </cell>
          <cell r="D18">
            <v>17379</v>
          </cell>
          <cell r="E18">
            <v>434</v>
          </cell>
          <cell r="F18">
            <v>3274</v>
          </cell>
          <cell r="G18">
            <v>4676</v>
          </cell>
          <cell r="H18">
            <v>13</v>
          </cell>
          <cell r="I18">
            <v>5750</v>
          </cell>
          <cell r="J18">
            <v>37</v>
          </cell>
          <cell r="K18">
            <v>858</v>
          </cell>
          <cell r="L18">
            <v>0</v>
          </cell>
          <cell r="M18">
            <v>62</v>
          </cell>
          <cell r="N18">
            <v>1695</v>
          </cell>
          <cell r="O18">
            <v>545</v>
          </cell>
          <cell r="P18">
            <v>-478</v>
          </cell>
          <cell r="Q18">
            <v>117</v>
          </cell>
          <cell r="R18">
            <v>3536</v>
          </cell>
          <cell r="S18">
            <v>561</v>
          </cell>
          <cell r="T18">
            <v>191</v>
          </cell>
          <cell r="U18">
            <v>1718</v>
          </cell>
          <cell r="V18">
            <v>-267</v>
          </cell>
          <cell r="W18">
            <v>231</v>
          </cell>
          <cell r="X18">
            <v>427</v>
          </cell>
          <cell r="Y18">
            <v>-414</v>
          </cell>
          <cell r="Z18">
            <v>1072</v>
          </cell>
          <cell r="AA18">
            <v>369</v>
          </cell>
          <cell r="AB18">
            <v>0</v>
          </cell>
          <cell r="AC18">
            <v>19160</v>
          </cell>
          <cell r="AD18">
            <v>321</v>
          </cell>
          <cell r="AE18">
            <v>539</v>
          </cell>
          <cell r="AF18">
            <v>1424</v>
          </cell>
          <cell r="AG18">
            <v>885</v>
          </cell>
          <cell r="AH18">
            <v>-996</v>
          </cell>
          <cell r="AI18">
            <v>64830</v>
          </cell>
          <cell r="AJ18">
            <v>7770</v>
          </cell>
          <cell r="AK18">
            <v>-672</v>
          </cell>
          <cell r="AL18">
            <v>-76</v>
          </cell>
          <cell r="AM18">
            <v>-1104</v>
          </cell>
          <cell r="AN18">
            <v>-1108</v>
          </cell>
          <cell r="AO18">
            <v>309</v>
          </cell>
          <cell r="AP18">
            <v>300661</v>
          </cell>
          <cell r="AQ18">
            <v>1073</v>
          </cell>
          <cell r="AR18">
            <v>10835</v>
          </cell>
          <cell r="AS18">
            <v>0</v>
          </cell>
          <cell r="AT18">
            <v>0</v>
          </cell>
          <cell r="AU18">
            <v>72856</v>
          </cell>
          <cell r="AV18">
            <v>0</v>
          </cell>
          <cell r="AW18">
            <v>72856</v>
          </cell>
          <cell r="AX18">
            <v>1.89211</v>
          </cell>
          <cell r="AY18">
            <v>3.5065499999999998</v>
          </cell>
          <cell r="AZ18">
            <v>8744</v>
          </cell>
          <cell r="BA18">
            <v>20586</v>
          </cell>
          <cell r="BB18">
            <v>1292</v>
          </cell>
          <cell r="BC18">
            <v>44131</v>
          </cell>
          <cell r="BD18">
            <v>15152</v>
          </cell>
          <cell r="BE18">
            <v>4266</v>
          </cell>
          <cell r="BF18">
            <v>21200</v>
          </cell>
          <cell r="BG18">
            <v>363</v>
          </cell>
          <cell r="BH18">
            <v>181.3</v>
          </cell>
          <cell r="BI18">
            <v>3.57</v>
          </cell>
          <cell r="BJ18">
            <v>3.9</v>
          </cell>
          <cell r="BK18">
            <v>4.5</v>
          </cell>
          <cell r="BL18">
            <v>38734</v>
          </cell>
          <cell r="BM18">
            <v>5.5033300000000001</v>
          </cell>
          <cell r="BN18">
            <v>2676</v>
          </cell>
          <cell r="BO18">
            <v>684</v>
          </cell>
          <cell r="BP18">
            <v>198</v>
          </cell>
          <cell r="BQ18">
            <v>191</v>
          </cell>
          <cell r="BR18">
            <v>-711</v>
          </cell>
          <cell r="BS18">
            <v>-21</v>
          </cell>
          <cell r="BT18">
            <v>8</v>
          </cell>
          <cell r="BU18" t="e">
            <v>#N/A</v>
          </cell>
          <cell r="BV18" t="e">
            <v>#N/A</v>
          </cell>
          <cell r="BW18">
            <v>973</v>
          </cell>
          <cell r="BX18">
            <v>-173</v>
          </cell>
          <cell r="BY18">
            <v>-800</v>
          </cell>
          <cell r="BZ18">
            <v>-0.18</v>
          </cell>
          <cell r="CA18" t="e">
            <v>#N/A</v>
          </cell>
          <cell r="CB18" t="e">
            <v>#N/A</v>
          </cell>
          <cell r="CC18" t="e">
            <v>#N/A</v>
          </cell>
          <cell r="CD18" t="e">
            <v>#N/A</v>
          </cell>
          <cell r="CE18" t="e">
            <v>#N/A</v>
          </cell>
        </row>
        <row r="19">
          <cell r="A19">
            <v>200303</v>
          </cell>
          <cell r="B19">
            <v>197</v>
          </cell>
          <cell r="C19">
            <v>250587</v>
          </cell>
          <cell r="D19">
            <v>6359</v>
          </cell>
          <cell r="E19">
            <v>-927</v>
          </cell>
          <cell r="F19">
            <v>3304</v>
          </cell>
          <cell r="G19">
            <v>12683</v>
          </cell>
          <cell r="H19">
            <v>10</v>
          </cell>
          <cell r="I19">
            <v>4992</v>
          </cell>
          <cell r="J19">
            <v>31</v>
          </cell>
          <cell r="K19">
            <v>1065</v>
          </cell>
          <cell r="L19">
            <v>0</v>
          </cell>
          <cell r="M19">
            <v>29</v>
          </cell>
          <cell r="N19">
            <v>1560</v>
          </cell>
          <cell r="O19">
            <v>740</v>
          </cell>
          <cell r="P19">
            <v>-714</v>
          </cell>
          <cell r="Q19">
            <v>147</v>
          </cell>
          <cell r="R19">
            <v>3605</v>
          </cell>
          <cell r="S19">
            <v>430</v>
          </cell>
          <cell r="T19">
            <v>189</v>
          </cell>
          <cell r="U19">
            <v>2145</v>
          </cell>
          <cell r="V19">
            <v>-522</v>
          </cell>
          <cell r="W19">
            <v>223</v>
          </cell>
          <cell r="X19">
            <v>-717</v>
          </cell>
          <cell r="Y19">
            <v>-664</v>
          </cell>
          <cell r="Z19">
            <v>1065</v>
          </cell>
          <cell r="AA19">
            <v>363</v>
          </cell>
          <cell r="AB19">
            <v>0</v>
          </cell>
          <cell r="AC19">
            <v>19511</v>
          </cell>
          <cell r="AD19">
            <v>701</v>
          </cell>
          <cell r="AE19">
            <v>-210</v>
          </cell>
          <cell r="AF19">
            <v>0</v>
          </cell>
          <cell r="AG19">
            <v>210</v>
          </cell>
          <cell r="AH19">
            <v>-256</v>
          </cell>
          <cell r="AI19">
            <v>65674</v>
          </cell>
          <cell r="AJ19">
            <v>9352</v>
          </cell>
          <cell r="AK19">
            <v>-72</v>
          </cell>
          <cell r="AL19">
            <v>1805</v>
          </cell>
          <cell r="AM19">
            <v>-286</v>
          </cell>
          <cell r="AN19">
            <v>-1044</v>
          </cell>
          <cell r="AO19">
            <v>305</v>
          </cell>
          <cell r="AP19">
            <v>306105</v>
          </cell>
          <cell r="AQ19">
            <v>1074</v>
          </cell>
          <cell r="AR19">
            <v>2271</v>
          </cell>
          <cell r="AS19">
            <v>0</v>
          </cell>
          <cell r="AT19">
            <v>0</v>
          </cell>
          <cell r="AU19">
            <v>74578</v>
          </cell>
          <cell r="AV19">
            <v>0</v>
          </cell>
          <cell r="AW19">
            <v>74578</v>
          </cell>
          <cell r="AX19">
            <v>1.98272</v>
          </cell>
          <cell r="AY19">
            <v>2.6448299999999998</v>
          </cell>
          <cell r="AZ19">
            <v>9336</v>
          </cell>
          <cell r="BA19">
            <v>21099</v>
          </cell>
          <cell r="BB19">
            <v>1313</v>
          </cell>
          <cell r="BC19">
            <v>43021</v>
          </cell>
          <cell r="BD19">
            <v>15867</v>
          </cell>
          <cell r="BE19">
            <v>4634</v>
          </cell>
          <cell r="BF19">
            <v>15500</v>
          </cell>
          <cell r="BG19">
            <v>334</v>
          </cell>
          <cell r="BH19">
            <v>181.8</v>
          </cell>
          <cell r="BI19">
            <v>3.5</v>
          </cell>
          <cell r="BJ19">
            <v>4.29</v>
          </cell>
          <cell r="BK19">
            <v>4.71</v>
          </cell>
          <cell r="BL19">
            <v>39210</v>
          </cell>
          <cell r="BM19">
            <v>5.3766699999999998</v>
          </cell>
          <cell r="BN19">
            <v>2658</v>
          </cell>
          <cell r="BO19">
            <v>703</v>
          </cell>
          <cell r="BP19">
            <v>182</v>
          </cell>
          <cell r="BQ19">
            <v>189</v>
          </cell>
          <cell r="BR19">
            <v>-1105</v>
          </cell>
          <cell r="BS19">
            <v>67</v>
          </cell>
          <cell r="BT19">
            <v>2</v>
          </cell>
          <cell r="BU19" t="e">
            <v>#N/A</v>
          </cell>
          <cell r="BV19" t="e">
            <v>#N/A</v>
          </cell>
          <cell r="BW19">
            <v>1148</v>
          </cell>
          <cell r="BX19">
            <v>-620</v>
          </cell>
          <cell r="BY19">
            <v>-528</v>
          </cell>
          <cell r="BZ19">
            <v>-0.03</v>
          </cell>
          <cell r="CA19" t="e">
            <v>#N/A</v>
          </cell>
          <cell r="CB19" t="e">
            <v>#N/A</v>
          </cell>
          <cell r="CC19" t="e">
            <v>#N/A</v>
          </cell>
          <cell r="CD19" t="e">
            <v>#N/A</v>
          </cell>
          <cell r="CE19" t="e">
            <v>#N/A</v>
          </cell>
        </row>
        <row r="20">
          <cell r="A20">
            <v>200304</v>
          </cell>
          <cell r="B20">
            <v>191</v>
          </cell>
          <cell r="C20">
            <v>246703</v>
          </cell>
          <cell r="D20">
            <v>16405</v>
          </cell>
          <cell r="E20">
            <v>2674</v>
          </cell>
          <cell r="F20">
            <v>3428</v>
          </cell>
          <cell r="G20">
            <v>1646</v>
          </cell>
          <cell r="H20">
            <v>10</v>
          </cell>
          <cell r="I20">
            <v>6216</v>
          </cell>
          <cell r="J20">
            <v>38</v>
          </cell>
          <cell r="K20">
            <v>973</v>
          </cell>
          <cell r="L20">
            <v>1</v>
          </cell>
          <cell r="M20">
            <v>76</v>
          </cell>
          <cell r="N20">
            <v>1671</v>
          </cell>
          <cell r="O20">
            <v>966</v>
          </cell>
          <cell r="P20">
            <v>-830</v>
          </cell>
          <cell r="Q20">
            <v>118</v>
          </cell>
          <cell r="R20">
            <v>3607</v>
          </cell>
          <cell r="S20">
            <v>493</v>
          </cell>
          <cell r="T20">
            <v>191</v>
          </cell>
          <cell r="U20">
            <v>2367</v>
          </cell>
          <cell r="V20">
            <v>-610</v>
          </cell>
          <cell r="W20">
            <v>233</v>
          </cell>
          <cell r="X20">
            <v>287</v>
          </cell>
          <cell r="Y20">
            <v>-781</v>
          </cell>
          <cell r="Z20">
            <v>1060</v>
          </cell>
          <cell r="AA20">
            <v>368</v>
          </cell>
          <cell r="AB20">
            <v>0</v>
          </cell>
          <cell r="AC20">
            <v>23080</v>
          </cell>
          <cell r="AD20">
            <v>256</v>
          </cell>
          <cell r="AE20">
            <v>-1204</v>
          </cell>
          <cell r="AF20">
            <v>0</v>
          </cell>
          <cell r="AG20">
            <v>1204</v>
          </cell>
          <cell r="AH20">
            <v>668</v>
          </cell>
          <cell r="AI20">
            <v>66358</v>
          </cell>
          <cell r="AJ20">
            <v>6477</v>
          </cell>
          <cell r="AK20">
            <v>450</v>
          </cell>
          <cell r="AL20">
            <v>17</v>
          </cell>
          <cell r="AM20">
            <v>-704</v>
          </cell>
          <cell r="AN20">
            <v>-1335</v>
          </cell>
          <cell r="AO20">
            <v>306</v>
          </cell>
          <cell r="AP20">
            <v>305442</v>
          </cell>
          <cell r="AQ20">
            <v>1197</v>
          </cell>
          <cell r="AR20">
            <v>7877</v>
          </cell>
          <cell r="AS20">
            <v>0</v>
          </cell>
          <cell r="AT20">
            <v>0</v>
          </cell>
          <cell r="AU20">
            <v>77425</v>
          </cell>
          <cell r="AV20">
            <v>0</v>
          </cell>
          <cell r="AW20">
            <v>77425</v>
          </cell>
          <cell r="AX20">
            <v>2.09599</v>
          </cell>
          <cell r="AY20">
            <v>3.0050400000000002</v>
          </cell>
          <cell r="AZ20">
            <v>10178</v>
          </cell>
          <cell r="BA20">
            <v>21271</v>
          </cell>
          <cell r="BB20">
            <v>1353</v>
          </cell>
          <cell r="BC20">
            <v>42189</v>
          </cell>
          <cell r="BD20">
            <v>16851</v>
          </cell>
          <cell r="BE20">
            <v>4860</v>
          </cell>
          <cell r="BF20">
            <v>24000</v>
          </cell>
          <cell r="BG20">
            <v>340</v>
          </cell>
          <cell r="BH20">
            <v>182.9</v>
          </cell>
          <cell r="BI20">
            <v>3.86</v>
          </cell>
          <cell r="BJ20">
            <v>4.8099999999999996</v>
          </cell>
          <cell r="BK20">
            <v>4.8899999999999997</v>
          </cell>
          <cell r="BL20">
            <v>39809</v>
          </cell>
          <cell r="BM20">
            <v>5.4033300000000004</v>
          </cell>
          <cell r="BN20">
            <v>2800</v>
          </cell>
          <cell r="BO20">
            <v>796</v>
          </cell>
          <cell r="BP20">
            <v>210</v>
          </cell>
          <cell r="BQ20">
            <v>191</v>
          </cell>
          <cell r="BR20">
            <v>-828</v>
          </cell>
          <cell r="BS20">
            <v>-6</v>
          </cell>
          <cell r="BT20">
            <v>3</v>
          </cell>
          <cell r="BU20" t="e">
            <v>#N/A</v>
          </cell>
          <cell r="BV20" t="e">
            <v>#N/A</v>
          </cell>
          <cell r="BW20">
            <v>1144</v>
          </cell>
          <cell r="BX20">
            <v>-620</v>
          </cell>
          <cell r="BY20">
            <v>-524</v>
          </cell>
          <cell r="BZ20">
            <v>0.21</v>
          </cell>
          <cell r="CA20" t="e">
            <v>#N/A</v>
          </cell>
          <cell r="CB20" t="e">
            <v>#N/A</v>
          </cell>
          <cell r="CC20" t="e">
            <v>#N/A</v>
          </cell>
          <cell r="CD20" t="e">
            <v>#N/A</v>
          </cell>
          <cell r="CE20" t="e">
            <v>#N/A</v>
          </cell>
        </row>
        <row r="21">
          <cell r="A21">
            <v>200401</v>
          </cell>
          <cell r="B21">
            <v>178</v>
          </cell>
          <cell r="C21">
            <v>255585</v>
          </cell>
          <cell r="D21">
            <v>-752</v>
          </cell>
          <cell r="E21">
            <v>19229</v>
          </cell>
          <cell r="F21">
            <v>3421</v>
          </cell>
          <cell r="G21">
            <v>9807</v>
          </cell>
          <cell r="H21">
            <v>5</v>
          </cell>
          <cell r="I21">
            <v>5046</v>
          </cell>
          <cell r="J21">
            <v>52</v>
          </cell>
          <cell r="K21">
            <v>1141</v>
          </cell>
          <cell r="L21">
            <v>1</v>
          </cell>
          <cell r="M21">
            <v>69</v>
          </cell>
          <cell r="N21">
            <v>1585</v>
          </cell>
          <cell r="O21">
            <v>1340</v>
          </cell>
          <cell r="P21">
            <v>-941</v>
          </cell>
          <cell r="Q21">
            <v>146</v>
          </cell>
          <cell r="R21">
            <v>3648</v>
          </cell>
          <cell r="S21">
            <v>431</v>
          </cell>
          <cell r="T21">
            <v>189</v>
          </cell>
          <cell r="U21">
            <v>2916</v>
          </cell>
          <cell r="V21">
            <v>-721</v>
          </cell>
          <cell r="W21">
            <v>246</v>
          </cell>
          <cell r="X21">
            <v>-71</v>
          </cell>
          <cell r="Y21">
            <v>-908</v>
          </cell>
          <cell r="Z21">
            <v>1053</v>
          </cell>
          <cell r="AA21">
            <v>385</v>
          </cell>
          <cell r="AB21">
            <v>0</v>
          </cell>
          <cell r="AC21">
            <v>19245</v>
          </cell>
          <cell r="AD21">
            <v>750</v>
          </cell>
          <cell r="AE21">
            <v>-43</v>
          </cell>
          <cell r="AF21">
            <v>0</v>
          </cell>
          <cell r="AG21">
            <v>43</v>
          </cell>
          <cell r="AH21">
            <v>1162</v>
          </cell>
          <cell r="AI21">
            <v>66522</v>
          </cell>
          <cell r="AJ21">
            <v>10956</v>
          </cell>
          <cell r="AK21">
            <v>1394</v>
          </cell>
          <cell r="AL21">
            <v>21</v>
          </cell>
          <cell r="AM21">
            <v>591</v>
          </cell>
          <cell r="AN21">
            <v>131</v>
          </cell>
          <cell r="AO21">
            <v>328</v>
          </cell>
          <cell r="AP21">
            <v>317684</v>
          </cell>
          <cell r="AQ21">
            <v>1224</v>
          </cell>
          <cell r="AR21">
            <v>71</v>
          </cell>
          <cell r="AS21">
            <v>0</v>
          </cell>
          <cell r="AT21">
            <v>0</v>
          </cell>
          <cell r="AU21">
            <v>78982</v>
          </cell>
          <cell r="AV21">
            <v>0</v>
          </cell>
          <cell r="AW21">
            <v>78982</v>
          </cell>
          <cell r="AX21">
            <v>1.8562399999999999</v>
          </cell>
          <cell r="AY21">
            <v>2.6169199999999999</v>
          </cell>
          <cell r="AZ21">
            <v>11041</v>
          </cell>
          <cell r="BA21">
            <v>22968</v>
          </cell>
          <cell r="BB21">
            <v>1314</v>
          </cell>
          <cell r="BC21">
            <v>41556</v>
          </cell>
          <cell r="BD21">
            <v>16936</v>
          </cell>
          <cell r="BE21">
            <v>5188</v>
          </cell>
          <cell r="BF21">
            <v>19300</v>
          </cell>
          <cell r="BG21">
            <v>407</v>
          </cell>
          <cell r="BH21">
            <v>183.8</v>
          </cell>
          <cell r="BI21">
            <v>4.1100000000000003</v>
          </cell>
          <cell r="BJ21">
            <v>4.6399999999999997</v>
          </cell>
          <cell r="BK21">
            <v>4.74</v>
          </cell>
          <cell r="BL21">
            <v>40256</v>
          </cell>
          <cell r="BM21">
            <v>5.6633300000000002</v>
          </cell>
          <cell r="BN21">
            <v>2898</v>
          </cell>
          <cell r="BO21">
            <v>820</v>
          </cell>
          <cell r="BP21">
            <v>215</v>
          </cell>
          <cell r="BQ21">
            <v>189</v>
          </cell>
          <cell r="BR21">
            <v>-646</v>
          </cell>
          <cell r="BS21">
            <v>-76</v>
          </cell>
          <cell r="BT21">
            <v>-75</v>
          </cell>
          <cell r="BU21" t="e">
            <v>#N/A</v>
          </cell>
          <cell r="BV21" t="e">
            <v>#N/A</v>
          </cell>
          <cell r="BW21">
            <v>1527</v>
          </cell>
          <cell r="BX21">
            <v>-1198</v>
          </cell>
          <cell r="BY21">
            <v>-329</v>
          </cell>
          <cell r="BZ21">
            <v>0.2</v>
          </cell>
          <cell r="CA21" t="e">
            <v>#N/A</v>
          </cell>
          <cell r="CB21" t="e">
            <v>#N/A</v>
          </cell>
          <cell r="CC21" t="e">
            <v>#N/A</v>
          </cell>
          <cell r="CD21" t="e">
            <v>#N/A</v>
          </cell>
          <cell r="CE21" t="e">
            <v>#N/A</v>
          </cell>
        </row>
        <row r="22">
          <cell r="A22">
            <v>200402</v>
          </cell>
          <cell r="B22">
            <v>176</v>
          </cell>
          <cell r="C22">
            <v>253088</v>
          </cell>
          <cell r="D22">
            <v>13756</v>
          </cell>
          <cell r="E22">
            <v>20032.400000000001</v>
          </cell>
          <cell r="F22">
            <v>3560.69</v>
          </cell>
          <cell r="G22">
            <v>5869.27</v>
          </cell>
          <cell r="H22">
            <v>5</v>
          </cell>
          <cell r="I22">
            <v>5726</v>
          </cell>
          <cell r="J22">
            <v>51</v>
          </cell>
          <cell r="K22">
            <v>682</v>
          </cell>
          <cell r="L22">
            <v>1</v>
          </cell>
          <cell r="M22">
            <v>75</v>
          </cell>
          <cell r="N22">
            <v>2409</v>
          </cell>
          <cell r="O22">
            <v>684</v>
          </cell>
          <cell r="P22">
            <v>-571</v>
          </cell>
          <cell r="Q22">
            <v>117</v>
          </cell>
          <cell r="R22">
            <v>3633</v>
          </cell>
          <cell r="S22">
            <v>574</v>
          </cell>
          <cell r="T22">
            <v>353</v>
          </cell>
          <cell r="U22">
            <v>1787</v>
          </cell>
          <cell r="V22">
            <v>-316</v>
          </cell>
          <cell r="W22">
            <v>411</v>
          </cell>
          <cell r="X22">
            <v>-291.52800000000002</v>
          </cell>
          <cell r="Y22">
            <v>-536</v>
          </cell>
          <cell r="Z22">
            <v>887</v>
          </cell>
          <cell r="AA22">
            <v>425</v>
          </cell>
          <cell r="AB22">
            <v>0</v>
          </cell>
          <cell r="AC22">
            <v>20927</v>
          </cell>
          <cell r="AD22">
            <v>257</v>
          </cell>
          <cell r="AE22">
            <v>-570</v>
          </cell>
          <cell r="AF22">
            <v>0</v>
          </cell>
          <cell r="AG22">
            <v>570</v>
          </cell>
          <cell r="AH22">
            <v>-2342</v>
          </cell>
          <cell r="AI22">
            <v>66790.899999999994</v>
          </cell>
          <cell r="AJ22">
            <v>7731.09</v>
          </cell>
          <cell r="AK22">
            <v>-52.997</v>
          </cell>
          <cell r="AL22">
            <v>-1.0369999999999999</v>
          </cell>
          <cell r="AM22">
            <v>588</v>
          </cell>
          <cell r="AN22">
            <v>-1397</v>
          </cell>
          <cell r="AO22">
            <v>362</v>
          </cell>
          <cell r="AP22">
            <v>316927</v>
          </cell>
          <cell r="AQ22">
            <v>1449</v>
          </cell>
          <cell r="AR22">
            <v>7057</v>
          </cell>
          <cell r="AS22">
            <v>0</v>
          </cell>
          <cell r="AT22">
            <v>0</v>
          </cell>
          <cell r="AU22">
            <v>81829</v>
          </cell>
          <cell r="AV22">
            <v>0</v>
          </cell>
          <cell r="AW22">
            <v>81829</v>
          </cell>
          <cell r="AX22">
            <v>1.9618500000000001</v>
          </cell>
          <cell r="AY22">
            <v>3.4820000000000002</v>
          </cell>
          <cell r="AZ22">
            <v>11762</v>
          </cell>
          <cell r="BA22">
            <v>25375</v>
          </cell>
          <cell r="BB22">
            <v>1325</v>
          </cell>
          <cell r="BC22">
            <v>41579</v>
          </cell>
          <cell r="BD22">
            <v>17696</v>
          </cell>
          <cell r="BE22">
            <v>5283</v>
          </cell>
          <cell r="BF22">
            <v>23252.799999999999</v>
          </cell>
          <cell r="BG22">
            <v>5003.53</v>
          </cell>
          <cell r="BH22">
            <v>186.3</v>
          </cell>
          <cell r="BI22">
            <v>4.51</v>
          </cell>
          <cell r="BJ22">
            <v>5.04</v>
          </cell>
          <cell r="BK22">
            <v>4.97</v>
          </cell>
          <cell r="BL22">
            <v>40957</v>
          </cell>
          <cell r="BM22">
            <v>5.9033300000000004</v>
          </cell>
          <cell r="BN22">
            <v>2964</v>
          </cell>
          <cell r="BO22">
            <v>846</v>
          </cell>
          <cell r="BP22">
            <v>250</v>
          </cell>
          <cell r="BQ22">
            <v>353</v>
          </cell>
          <cell r="BR22">
            <v>24</v>
          </cell>
          <cell r="BS22">
            <v>-163</v>
          </cell>
          <cell r="BT22">
            <v>28</v>
          </cell>
          <cell r="BU22" t="e">
            <v>#N/A</v>
          </cell>
          <cell r="BV22" t="e">
            <v>#N/A</v>
          </cell>
          <cell r="BW22">
            <v>794</v>
          </cell>
          <cell r="BX22">
            <v>-314</v>
          </cell>
          <cell r="BY22">
            <v>-480</v>
          </cell>
          <cell r="BZ22">
            <v>0.28999999999999998</v>
          </cell>
          <cell r="CA22" t="e">
            <v>#N/A</v>
          </cell>
          <cell r="CB22" t="e">
            <v>#N/A</v>
          </cell>
          <cell r="CC22" t="e">
            <v>#N/A</v>
          </cell>
          <cell r="CD22" t="e">
            <v>#N/A</v>
          </cell>
          <cell r="CE22" t="e">
            <v>#N/A</v>
          </cell>
        </row>
        <row r="23">
          <cell r="A23">
            <v>200403</v>
          </cell>
          <cell r="B23">
            <v>172</v>
          </cell>
          <cell r="C23">
            <v>267307</v>
          </cell>
          <cell r="D23">
            <v>7304</v>
          </cell>
          <cell r="E23">
            <v>22533.200000000001</v>
          </cell>
          <cell r="F23">
            <v>3577.01</v>
          </cell>
          <cell r="G23">
            <v>11587.9</v>
          </cell>
          <cell r="H23">
            <v>5</v>
          </cell>
          <cell r="I23">
            <v>5490</v>
          </cell>
          <cell r="J23">
            <v>53</v>
          </cell>
          <cell r="K23">
            <v>784</v>
          </cell>
          <cell r="L23">
            <v>1</v>
          </cell>
          <cell r="M23">
            <v>98</v>
          </cell>
          <cell r="N23">
            <v>1610</v>
          </cell>
          <cell r="O23">
            <v>839</v>
          </cell>
          <cell r="P23">
            <v>-745</v>
          </cell>
          <cell r="Q23">
            <v>175</v>
          </cell>
          <cell r="R23">
            <v>3679</v>
          </cell>
          <cell r="S23">
            <v>545</v>
          </cell>
          <cell r="T23">
            <v>352</v>
          </cell>
          <cell r="U23">
            <v>2043</v>
          </cell>
          <cell r="V23">
            <v>-433</v>
          </cell>
          <cell r="W23">
            <v>412</v>
          </cell>
          <cell r="X23">
            <v>839.81200000000001</v>
          </cell>
          <cell r="Y23">
            <v>-714</v>
          </cell>
          <cell r="Z23">
            <v>885</v>
          </cell>
          <cell r="AA23">
            <v>465</v>
          </cell>
          <cell r="AB23">
            <v>0</v>
          </cell>
          <cell r="AC23">
            <v>21659</v>
          </cell>
          <cell r="AD23">
            <v>784</v>
          </cell>
          <cell r="AE23">
            <v>-226</v>
          </cell>
          <cell r="AF23">
            <v>0</v>
          </cell>
          <cell r="AG23">
            <v>226</v>
          </cell>
          <cell r="AH23">
            <v>-268</v>
          </cell>
          <cell r="AI23">
            <v>67169</v>
          </cell>
          <cell r="AJ23">
            <v>7073.89</v>
          </cell>
          <cell r="AK23">
            <v>381.50599999999997</v>
          </cell>
          <cell r="AL23">
            <v>-1.748</v>
          </cell>
          <cell r="AM23">
            <v>14</v>
          </cell>
          <cell r="AN23">
            <v>-1189</v>
          </cell>
          <cell r="AO23">
            <v>408</v>
          </cell>
          <cell r="AP23">
            <v>319381</v>
          </cell>
          <cell r="AQ23">
            <v>1544</v>
          </cell>
          <cell r="AR23">
            <v>0</v>
          </cell>
          <cell r="AS23">
            <v>0</v>
          </cell>
          <cell r="AT23">
            <v>0</v>
          </cell>
          <cell r="AU23">
            <v>83399</v>
          </cell>
          <cell r="AV23">
            <v>0</v>
          </cell>
          <cell r="AW23">
            <v>83399</v>
          </cell>
          <cell r="AX23">
            <v>1.8919699999999999</v>
          </cell>
          <cell r="AY23">
            <v>3.2820900000000002</v>
          </cell>
          <cell r="AZ23">
            <v>11945</v>
          </cell>
          <cell r="BA23">
            <v>26008</v>
          </cell>
          <cell r="BB23">
            <v>1328</v>
          </cell>
          <cell r="BC23">
            <v>41894</v>
          </cell>
          <cell r="BD23">
            <v>18409</v>
          </cell>
          <cell r="BE23">
            <v>5351</v>
          </cell>
          <cell r="BF23">
            <v>14211.9</v>
          </cell>
          <cell r="BG23">
            <v>4988.87</v>
          </cell>
          <cell r="BH23">
            <v>187.4</v>
          </cell>
          <cell r="BI23">
            <v>4.8499999999999996</v>
          </cell>
          <cell r="BJ23">
            <v>5.01</v>
          </cell>
          <cell r="BK23">
            <v>4.84</v>
          </cell>
          <cell r="BL23">
            <v>41417</v>
          </cell>
          <cell r="BM23">
            <v>6.41</v>
          </cell>
          <cell r="BN23">
            <v>3307</v>
          </cell>
          <cell r="BO23">
            <v>885</v>
          </cell>
          <cell r="BP23">
            <v>307</v>
          </cell>
          <cell r="BQ23">
            <v>352</v>
          </cell>
          <cell r="BR23">
            <v>316</v>
          </cell>
          <cell r="BS23">
            <v>68</v>
          </cell>
          <cell r="BT23">
            <v>7</v>
          </cell>
          <cell r="BU23" t="e">
            <v>#N/A</v>
          </cell>
          <cell r="BV23" t="e">
            <v>#N/A</v>
          </cell>
          <cell r="BW23">
            <v>967</v>
          </cell>
          <cell r="BX23">
            <v>-592</v>
          </cell>
          <cell r="BY23">
            <v>-375</v>
          </cell>
          <cell r="BZ23">
            <v>0.2</v>
          </cell>
          <cell r="CA23" t="e">
            <v>#N/A</v>
          </cell>
          <cell r="CB23" t="e">
            <v>#N/A</v>
          </cell>
          <cell r="CC23" t="e">
            <v>#N/A</v>
          </cell>
          <cell r="CD23" t="e">
            <v>#N/A</v>
          </cell>
          <cell r="CE23" t="e">
            <v>#N/A</v>
          </cell>
        </row>
        <row r="24">
          <cell r="A24">
            <v>200404</v>
          </cell>
          <cell r="B24">
            <v>179</v>
          </cell>
          <cell r="C24">
            <v>275864</v>
          </cell>
          <cell r="D24">
            <v>22885</v>
          </cell>
          <cell r="E24">
            <v>27327.4</v>
          </cell>
          <cell r="F24">
            <v>3721.95</v>
          </cell>
          <cell r="G24">
            <v>4808.05</v>
          </cell>
          <cell r="H24">
            <v>8</v>
          </cell>
          <cell r="I24">
            <v>6755</v>
          </cell>
          <cell r="J24">
            <v>55</v>
          </cell>
          <cell r="K24">
            <v>760</v>
          </cell>
          <cell r="L24">
            <v>0</v>
          </cell>
          <cell r="M24">
            <v>106</v>
          </cell>
          <cell r="N24">
            <v>1562</v>
          </cell>
          <cell r="O24">
            <v>1094</v>
          </cell>
          <cell r="P24">
            <v>-919</v>
          </cell>
          <cell r="Q24">
            <v>122</v>
          </cell>
          <cell r="R24">
            <v>3747</v>
          </cell>
          <cell r="S24">
            <v>657</v>
          </cell>
          <cell r="T24">
            <v>348</v>
          </cell>
          <cell r="U24">
            <v>2286</v>
          </cell>
          <cell r="V24">
            <v>-603</v>
          </cell>
          <cell r="W24">
            <v>409</v>
          </cell>
          <cell r="X24">
            <v>-550.44899999999996</v>
          </cell>
          <cell r="Y24">
            <v>-893</v>
          </cell>
          <cell r="Z24">
            <v>1044</v>
          </cell>
          <cell r="AA24">
            <v>503</v>
          </cell>
          <cell r="AB24">
            <v>0</v>
          </cell>
          <cell r="AC24">
            <v>26959</v>
          </cell>
          <cell r="AD24">
            <v>275</v>
          </cell>
          <cell r="AE24">
            <v>-783</v>
          </cell>
          <cell r="AF24">
            <v>395</v>
          </cell>
          <cell r="AG24">
            <v>1178</v>
          </cell>
          <cell r="AH24">
            <v>-153</v>
          </cell>
          <cell r="AI24">
            <v>67840.5</v>
          </cell>
          <cell r="AJ24">
            <v>4739.45</v>
          </cell>
          <cell r="AK24">
            <v>-54.17</v>
          </cell>
          <cell r="AL24">
            <v>-45.555999999999997</v>
          </cell>
          <cell r="AM24">
            <v>-535</v>
          </cell>
          <cell r="AN24">
            <v>-1189</v>
          </cell>
          <cell r="AO24">
            <v>435</v>
          </cell>
          <cell r="AP24">
            <v>328714</v>
          </cell>
          <cell r="AQ24">
            <v>1591</v>
          </cell>
          <cell r="AR24">
            <v>7638</v>
          </cell>
          <cell r="AS24">
            <v>0</v>
          </cell>
          <cell r="AT24">
            <v>0</v>
          </cell>
          <cell r="AU24">
            <v>84240</v>
          </cell>
          <cell r="AV24">
            <v>0</v>
          </cell>
          <cell r="AW24">
            <v>84240</v>
          </cell>
          <cell r="AX24">
            <v>1.69133</v>
          </cell>
          <cell r="AY24">
            <v>3.9277600000000001</v>
          </cell>
          <cell r="AZ24">
            <v>12355</v>
          </cell>
          <cell r="BA24">
            <v>26875</v>
          </cell>
          <cell r="BB24">
            <v>1344</v>
          </cell>
          <cell r="BC24">
            <v>42961</v>
          </cell>
          <cell r="BD24">
            <v>19127</v>
          </cell>
          <cell r="BE24">
            <v>5803</v>
          </cell>
          <cell r="BF24">
            <v>25002.1</v>
          </cell>
          <cell r="BG24">
            <v>4982.71</v>
          </cell>
          <cell r="BH24">
            <v>189.2</v>
          </cell>
          <cell r="BI24">
            <v>4.82</v>
          </cell>
          <cell r="BJ24">
            <v>4.5999999999999996</v>
          </cell>
          <cell r="BK24">
            <v>4.58</v>
          </cell>
          <cell r="BL24">
            <v>42095</v>
          </cell>
          <cell r="BM24">
            <v>6.6033299999999997</v>
          </cell>
          <cell r="BN24">
            <v>3213</v>
          </cell>
          <cell r="BO24">
            <v>935</v>
          </cell>
          <cell r="BP24">
            <v>308</v>
          </cell>
          <cell r="BQ24">
            <v>348</v>
          </cell>
          <cell r="BR24">
            <v>1066</v>
          </cell>
          <cell r="BS24">
            <v>452</v>
          </cell>
          <cell r="BT24">
            <v>27</v>
          </cell>
          <cell r="BU24" t="e">
            <v>#N/A</v>
          </cell>
          <cell r="BV24" t="e">
            <v>#N/A</v>
          </cell>
          <cell r="BW24">
            <v>965</v>
          </cell>
          <cell r="BX24">
            <v>-580</v>
          </cell>
          <cell r="BY24">
            <v>-385</v>
          </cell>
          <cell r="BZ24">
            <v>7.0000000000000007E-2</v>
          </cell>
          <cell r="CA24" t="e">
            <v>#N/A</v>
          </cell>
          <cell r="CB24" t="e">
            <v>#N/A</v>
          </cell>
          <cell r="CC24" t="e">
            <v>#N/A</v>
          </cell>
          <cell r="CD24" t="e">
            <v>#N/A</v>
          </cell>
          <cell r="CE24" t="e">
            <v>#N/A</v>
          </cell>
        </row>
        <row r="25">
          <cell r="A25">
            <v>200501</v>
          </cell>
          <cell r="B25">
            <v>168</v>
          </cell>
          <cell r="C25">
            <v>282953</v>
          </cell>
          <cell r="D25">
            <v>-5413</v>
          </cell>
          <cell r="E25">
            <v>16938.400000000001</v>
          </cell>
          <cell r="F25">
            <v>3722.21</v>
          </cell>
          <cell r="G25">
            <v>12982.5</v>
          </cell>
          <cell r="H25">
            <v>5</v>
          </cell>
          <cell r="I25">
            <v>6063</v>
          </cell>
          <cell r="J25">
            <v>74</v>
          </cell>
          <cell r="K25">
            <v>859</v>
          </cell>
          <cell r="L25">
            <v>0</v>
          </cell>
          <cell r="M25">
            <v>106</v>
          </cell>
          <cell r="N25">
            <v>2415</v>
          </cell>
          <cell r="O25">
            <v>1662</v>
          </cell>
          <cell r="P25">
            <v>-1340</v>
          </cell>
          <cell r="Q25">
            <v>162</v>
          </cell>
          <cell r="R25">
            <v>3830</v>
          </cell>
          <cell r="S25">
            <v>558</v>
          </cell>
          <cell r="T25">
            <v>330</v>
          </cell>
          <cell r="U25">
            <v>2964</v>
          </cell>
          <cell r="V25">
            <v>-1068</v>
          </cell>
          <cell r="W25">
            <v>412</v>
          </cell>
          <cell r="X25">
            <v>-131.155</v>
          </cell>
          <cell r="Y25">
            <v>-1298</v>
          </cell>
          <cell r="Z25">
            <v>1448</v>
          </cell>
          <cell r="AA25">
            <v>492</v>
          </cell>
          <cell r="AB25">
            <v>0</v>
          </cell>
          <cell r="AC25">
            <v>23497</v>
          </cell>
          <cell r="AD25">
            <v>838</v>
          </cell>
          <cell r="AE25">
            <v>-500</v>
          </cell>
          <cell r="AF25">
            <v>0</v>
          </cell>
          <cell r="AG25">
            <v>500</v>
          </cell>
          <cell r="AH25">
            <v>3249</v>
          </cell>
          <cell r="AI25">
            <v>68423.600000000006</v>
          </cell>
          <cell r="AJ25">
            <v>6921.59</v>
          </cell>
          <cell r="AK25">
            <v>-1612.76</v>
          </cell>
          <cell r="AL25">
            <v>-0.245</v>
          </cell>
          <cell r="AM25">
            <v>-603</v>
          </cell>
          <cell r="AN25">
            <v>-177</v>
          </cell>
          <cell r="AO25">
            <v>428</v>
          </cell>
          <cell r="AP25">
            <v>337754</v>
          </cell>
          <cell r="AQ25">
            <v>1532</v>
          </cell>
          <cell r="AR25">
            <v>0</v>
          </cell>
          <cell r="AS25">
            <v>0</v>
          </cell>
          <cell r="AT25">
            <v>0</v>
          </cell>
          <cell r="AU25">
            <v>86749</v>
          </cell>
          <cell r="AV25">
            <v>0</v>
          </cell>
          <cell r="AW25">
            <v>86749</v>
          </cell>
          <cell r="AX25">
            <v>1.7477799999999999</v>
          </cell>
          <cell r="AY25">
            <v>3.2982300000000002</v>
          </cell>
          <cell r="AZ25">
            <v>12966</v>
          </cell>
          <cell r="BA25">
            <v>23942</v>
          </cell>
          <cell r="BB25">
            <v>1485</v>
          </cell>
          <cell r="BC25">
            <v>42340</v>
          </cell>
          <cell r="BD25">
            <v>19027</v>
          </cell>
          <cell r="BE25">
            <v>5740</v>
          </cell>
          <cell r="BF25">
            <v>20351.400000000001</v>
          </cell>
          <cell r="BG25">
            <v>4970.1400000000003</v>
          </cell>
          <cell r="BH25">
            <v>189.7</v>
          </cell>
          <cell r="BI25">
            <v>4.8499999999999996</v>
          </cell>
          <cell r="BJ25">
            <v>4.62</v>
          </cell>
          <cell r="BK25">
            <v>4.58</v>
          </cell>
          <cell r="BL25">
            <v>42497</v>
          </cell>
          <cell r="BM25">
            <v>6.61</v>
          </cell>
          <cell r="BN25">
            <v>3740</v>
          </cell>
          <cell r="BO25">
            <v>935</v>
          </cell>
          <cell r="BP25">
            <v>267</v>
          </cell>
          <cell r="BQ25">
            <v>330</v>
          </cell>
          <cell r="BR25">
            <v>-622</v>
          </cell>
          <cell r="BS25">
            <v>-63</v>
          </cell>
          <cell r="BT25">
            <v>32</v>
          </cell>
          <cell r="BU25" t="e">
            <v>#N/A</v>
          </cell>
          <cell r="BV25" t="e">
            <v>#N/A</v>
          </cell>
          <cell r="BW25">
            <v>1168</v>
          </cell>
          <cell r="BX25">
            <v>-888</v>
          </cell>
          <cell r="BY25">
            <v>-280</v>
          </cell>
          <cell r="BZ25">
            <v>0.1</v>
          </cell>
          <cell r="CA25" t="e">
            <v>#N/A</v>
          </cell>
          <cell r="CB25" t="e">
            <v>#N/A</v>
          </cell>
          <cell r="CC25" t="e">
            <v>#N/A</v>
          </cell>
          <cell r="CD25" t="e">
            <v>#N/A</v>
          </cell>
          <cell r="CE25" t="e">
            <v>#N/A</v>
          </cell>
        </row>
        <row r="26">
          <cell r="A26">
            <v>200502</v>
          </cell>
          <cell r="B26">
            <v>162</v>
          </cell>
          <cell r="C26">
            <v>298043</v>
          </cell>
          <cell r="D26">
            <v>19030</v>
          </cell>
          <cell r="E26">
            <v>22984.799999999999</v>
          </cell>
          <cell r="F26">
            <v>3727.32</v>
          </cell>
          <cell r="G26">
            <v>9616.67</v>
          </cell>
          <cell r="H26">
            <v>5</v>
          </cell>
          <cell r="I26">
            <v>6491</v>
          </cell>
          <cell r="J26">
            <v>58</v>
          </cell>
          <cell r="K26">
            <v>646</v>
          </cell>
          <cell r="L26">
            <v>0</v>
          </cell>
          <cell r="M26">
            <v>106</v>
          </cell>
          <cell r="N26">
            <v>2956</v>
          </cell>
          <cell r="O26">
            <v>661</v>
          </cell>
          <cell r="P26">
            <v>-543</v>
          </cell>
          <cell r="Q26">
            <v>113</v>
          </cell>
          <cell r="R26">
            <v>3937</v>
          </cell>
          <cell r="S26">
            <v>685</v>
          </cell>
          <cell r="T26">
            <v>464</v>
          </cell>
          <cell r="U26">
            <v>1760</v>
          </cell>
          <cell r="V26">
            <v>-267</v>
          </cell>
          <cell r="W26">
            <v>534</v>
          </cell>
          <cell r="X26">
            <v>-14</v>
          </cell>
          <cell r="Y26">
            <v>-512</v>
          </cell>
          <cell r="Z26">
            <v>877</v>
          </cell>
          <cell r="AA26">
            <v>498</v>
          </cell>
          <cell r="AB26">
            <v>0</v>
          </cell>
          <cell r="AC26">
            <v>22780</v>
          </cell>
          <cell r="AD26">
            <v>214</v>
          </cell>
          <cell r="AE26">
            <v>-844</v>
          </cell>
          <cell r="AF26">
            <v>0</v>
          </cell>
          <cell r="AG26">
            <v>844</v>
          </cell>
          <cell r="AH26">
            <v>-3282</v>
          </cell>
          <cell r="AI26">
            <v>69068.800000000003</v>
          </cell>
          <cell r="AJ26">
            <v>8090.81</v>
          </cell>
          <cell r="AK26">
            <v>427.803</v>
          </cell>
          <cell r="AL26">
            <v>46.374000000000002</v>
          </cell>
          <cell r="AM26">
            <v>565</v>
          </cell>
          <cell r="AN26">
            <v>2619</v>
          </cell>
          <cell r="AO26">
            <v>432</v>
          </cell>
          <cell r="AP26">
            <v>352336</v>
          </cell>
          <cell r="AQ26">
            <v>1686</v>
          </cell>
          <cell r="AR26">
            <v>4374</v>
          </cell>
          <cell r="AS26">
            <v>0</v>
          </cell>
          <cell r="AT26">
            <v>0</v>
          </cell>
          <cell r="AU26">
            <v>90063</v>
          </cell>
          <cell r="AV26">
            <v>0</v>
          </cell>
          <cell r="AW26">
            <v>90063</v>
          </cell>
          <cell r="AX26">
            <v>1.5176799999999999</v>
          </cell>
          <cell r="AY26">
            <v>4.0197200000000004</v>
          </cell>
          <cell r="AZ26">
            <v>13336</v>
          </cell>
          <cell r="BA26">
            <v>27768</v>
          </cell>
          <cell r="BB26">
            <v>1567</v>
          </cell>
          <cell r="BC26">
            <v>44607</v>
          </cell>
          <cell r="BD26">
            <v>20255</v>
          </cell>
          <cell r="BE26">
            <v>5541</v>
          </cell>
          <cell r="BF26">
            <v>23850.1</v>
          </cell>
          <cell r="BG26">
            <v>4895.7299999999996</v>
          </cell>
          <cell r="BH26">
            <v>191.9</v>
          </cell>
          <cell r="BI26">
            <v>4.83</v>
          </cell>
          <cell r="BJ26">
            <v>4.3899999999999997</v>
          </cell>
          <cell r="BK26">
            <v>4.4400000000000004</v>
          </cell>
          <cell r="BL26">
            <v>42698</v>
          </cell>
          <cell r="BM26">
            <v>6.62</v>
          </cell>
          <cell r="BN26">
            <v>3838</v>
          </cell>
          <cell r="BO26">
            <v>951</v>
          </cell>
          <cell r="BP26">
            <v>271</v>
          </cell>
          <cell r="BQ26">
            <v>464</v>
          </cell>
          <cell r="BR26">
            <v>2267</v>
          </cell>
          <cell r="BS26">
            <v>-199</v>
          </cell>
          <cell r="BT26">
            <v>270</v>
          </cell>
          <cell r="BU26" t="e">
            <v>#N/A</v>
          </cell>
          <cell r="BV26" t="e">
            <v>#N/A</v>
          </cell>
          <cell r="BW26">
            <v>762</v>
          </cell>
          <cell r="BX26">
            <v>-308</v>
          </cell>
          <cell r="BY26">
            <v>-454</v>
          </cell>
          <cell r="BZ26">
            <v>0.08</v>
          </cell>
          <cell r="CA26" t="e">
            <v>#N/A</v>
          </cell>
          <cell r="CB26" t="e">
            <v>#N/A</v>
          </cell>
          <cell r="CC26" t="e">
            <v>#N/A</v>
          </cell>
          <cell r="CD26" t="e">
            <v>#N/A</v>
          </cell>
          <cell r="CE26" t="e">
            <v>#N/A</v>
          </cell>
        </row>
        <row r="27">
          <cell r="A27">
            <v>200503</v>
          </cell>
          <cell r="B27">
            <v>163</v>
          </cell>
          <cell r="C27">
            <v>306521</v>
          </cell>
          <cell r="D27">
            <v>8065</v>
          </cell>
          <cell r="E27">
            <v>23434</v>
          </cell>
          <cell r="F27">
            <v>3743.39</v>
          </cell>
          <cell r="G27">
            <v>13163.2</v>
          </cell>
          <cell r="H27">
            <v>5</v>
          </cell>
          <cell r="I27">
            <v>5832</v>
          </cell>
          <cell r="J27">
            <v>48</v>
          </cell>
          <cell r="K27">
            <v>776</v>
          </cell>
          <cell r="L27">
            <v>0</v>
          </cell>
          <cell r="M27">
            <v>111</v>
          </cell>
          <cell r="N27">
            <v>2327</v>
          </cell>
          <cell r="O27">
            <v>1030</v>
          </cell>
          <cell r="P27">
            <v>-935</v>
          </cell>
          <cell r="Q27">
            <v>142</v>
          </cell>
          <cell r="R27">
            <v>3988</v>
          </cell>
          <cell r="S27">
            <v>642</v>
          </cell>
          <cell r="T27">
            <v>462</v>
          </cell>
          <cell r="U27">
            <v>2278</v>
          </cell>
          <cell r="V27">
            <v>-653</v>
          </cell>
          <cell r="W27">
            <v>521</v>
          </cell>
          <cell r="X27">
            <v>729.86400000000003</v>
          </cell>
          <cell r="Y27">
            <v>-937</v>
          </cell>
          <cell r="Z27">
            <v>1049</v>
          </cell>
          <cell r="AA27">
            <v>491</v>
          </cell>
          <cell r="AB27">
            <v>0</v>
          </cell>
          <cell r="AC27">
            <v>26399</v>
          </cell>
          <cell r="AD27">
            <v>939</v>
          </cell>
          <cell r="AE27">
            <v>-143</v>
          </cell>
          <cell r="AF27">
            <v>0</v>
          </cell>
          <cell r="AG27">
            <v>143</v>
          </cell>
          <cell r="AH27">
            <v>555</v>
          </cell>
          <cell r="AI27">
            <v>70651.5</v>
          </cell>
          <cell r="AJ27">
            <v>9707.41</v>
          </cell>
          <cell r="AK27">
            <v>750.87</v>
          </cell>
          <cell r="AL27">
            <v>-46.694000000000003</v>
          </cell>
          <cell r="AM27">
            <v>-366</v>
          </cell>
          <cell r="AN27">
            <v>-1253</v>
          </cell>
          <cell r="AO27">
            <v>429</v>
          </cell>
          <cell r="AP27">
            <v>357526</v>
          </cell>
          <cell r="AQ27">
            <v>1702</v>
          </cell>
          <cell r="AR27">
            <v>2</v>
          </cell>
          <cell r="AS27">
            <v>0</v>
          </cell>
          <cell r="AT27">
            <v>104</v>
          </cell>
          <cell r="AU27">
            <v>92367</v>
          </cell>
          <cell r="AV27">
            <v>1250</v>
          </cell>
          <cell r="AW27">
            <v>91117</v>
          </cell>
          <cell r="AX27">
            <v>1.44007</v>
          </cell>
          <cell r="AY27">
            <v>3.6783800000000002</v>
          </cell>
          <cell r="AZ27">
            <v>13265</v>
          </cell>
          <cell r="BA27">
            <v>27224</v>
          </cell>
          <cell r="BB27">
            <v>1603</v>
          </cell>
          <cell r="BC27">
            <v>45029</v>
          </cell>
          <cell r="BD27">
            <v>21217</v>
          </cell>
          <cell r="BE27">
            <v>5697</v>
          </cell>
          <cell r="BF27">
            <v>16899.7</v>
          </cell>
          <cell r="BG27">
            <v>4880.66</v>
          </cell>
          <cell r="BH27">
            <v>192.6</v>
          </cell>
          <cell r="BI27">
            <v>4.55</v>
          </cell>
          <cell r="BJ27">
            <v>4.21</v>
          </cell>
          <cell r="BK27">
            <v>4.3099999999999996</v>
          </cell>
          <cell r="BL27">
            <v>43251</v>
          </cell>
          <cell r="BM27">
            <v>6.53</v>
          </cell>
          <cell r="BN27">
            <v>3806</v>
          </cell>
          <cell r="BO27">
            <v>963</v>
          </cell>
          <cell r="BP27">
            <v>277</v>
          </cell>
          <cell r="BQ27">
            <v>462</v>
          </cell>
          <cell r="BR27">
            <v>423</v>
          </cell>
          <cell r="BS27">
            <v>156</v>
          </cell>
          <cell r="BT27">
            <v>62</v>
          </cell>
          <cell r="BU27" t="e">
            <v>#N/A</v>
          </cell>
          <cell r="BV27" t="e">
            <v>#N/A</v>
          </cell>
          <cell r="BW27">
            <v>1000</v>
          </cell>
          <cell r="BX27">
            <v>-660</v>
          </cell>
          <cell r="BY27">
            <v>-340</v>
          </cell>
          <cell r="BZ27">
            <v>-0.04</v>
          </cell>
          <cell r="CA27" t="e">
            <v>#N/A</v>
          </cell>
          <cell r="CB27" t="e">
            <v>#N/A</v>
          </cell>
          <cell r="CC27" t="e">
            <v>#N/A</v>
          </cell>
          <cell r="CD27" t="e">
            <v>#N/A</v>
          </cell>
          <cell r="CE27" t="e">
            <v>#N/A</v>
          </cell>
        </row>
        <row r="28">
          <cell r="A28">
            <v>200504</v>
          </cell>
          <cell r="B28">
            <v>166</v>
          </cell>
          <cell r="C28">
            <v>309722</v>
          </cell>
          <cell r="D28">
            <v>18740</v>
          </cell>
          <cell r="E28">
            <v>31228.799999999999</v>
          </cell>
          <cell r="F28">
            <v>3901.38</v>
          </cell>
          <cell r="G28">
            <v>1525.73</v>
          </cell>
          <cell r="H28">
            <v>4</v>
          </cell>
          <cell r="I28">
            <v>7167</v>
          </cell>
          <cell r="J28">
            <v>56</v>
          </cell>
          <cell r="K28">
            <v>719</v>
          </cell>
          <cell r="L28">
            <v>0</v>
          </cell>
          <cell r="M28">
            <v>102</v>
          </cell>
          <cell r="N28">
            <v>2763</v>
          </cell>
          <cell r="O28">
            <v>1184</v>
          </cell>
          <cell r="P28">
            <v>-991</v>
          </cell>
          <cell r="Q28">
            <v>106</v>
          </cell>
          <cell r="R28">
            <v>4070</v>
          </cell>
          <cell r="S28">
            <v>616</v>
          </cell>
          <cell r="T28">
            <v>453</v>
          </cell>
          <cell r="U28">
            <v>2455</v>
          </cell>
          <cell r="V28">
            <v>-723</v>
          </cell>
          <cell r="W28">
            <v>521</v>
          </cell>
          <cell r="X28">
            <v>-712.82500000000005</v>
          </cell>
          <cell r="Y28">
            <v>-1009</v>
          </cell>
          <cell r="Z28">
            <v>1131</v>
          </cell>
          <cell r="AA28">
            <v>459</v>
          </cell>
          <cell r="AB28">
            <v>0</v>
          </cell>
          <cell r="AC28">
            <v>29271</v>
          </cell>
          <cell r="AD28">
            <v>245</v>
          </cell>
          <cell r="AE28">
            <v>-1318</v>
          </cell>
          <cell r="AF28">
            <v>0</v>
          </cell>
          <cell r="AG28">
            <v>1318</v>
          </cell>
          <cell r="AH28">
            <v>778</v>
          </cell>
          <cell r="AI28">
            <v>71977.3</v>
          </cell>
          <cell r="AJ28">
            <v>5199.16</v>
          </cell>
          <cell r="AK28">
            <v>5.141</v>
          </cell>
          <cell r="AL28">
            <v>-63.23</v>
          </cell>
          <cell r="AM28">
            <v>-184</v>
          </cell>
          <cell r="AN28">
            <v>-1392</v>
          </cell>
          <cell r="AO28">
            <v>417</v>
          </cell>
          <cell r="AP28">
            <v>359487</v>
          </cell>
          <cell r="AQ28">
            <v>1728</v>
          </cell>
          <cell r="AR28">
            <v>10176</v>
          </cell>
          <cell r="AS28">
            <v>0</v>
          </cell>
          <cell r="AT28">
            <v>0</v>
          </cell>
          <cell r="AU28">
            <v>96014</v>
          </cell>
          <cell r="AV28">
            <v>1935.8</v>
          </cell>
          <cell r="AW28">
            <v>94078.2</v>
          </cell>
          <cell r="AX28">
            <v>1.26858</v>
          </cell>
          <cell r="AY28">
            <v>3.4624999999999999</v>
          </cell>
          <cell r="AZ28">
            <v>14005</v>
          </cell>
          <cell r="BA28">
            <v>26905</v>
          </cell>
          <cell r="BB28">
            <v>1663</v>
          </cell>
          <cell r="BC28">
            <v>45527</v>
          </cell>
          <cell r="BD28">
            <v>21895</v>
          </cell>
          <cell r="BE28">
            <v>5659</v>
          </cell>
          <cell r="BF28">
            <v>21099.599999999999</v>
          </cell>
          <cell r="BG28">
            <v>4876.91</v>
          </cell>
          <cell r="BH28">
            <v>193.7</v>
          </cell>
          <cell r="BI28">
            <v>4.5599999999999996</v>
          </cell>
          <cell r="BJ28">
            <v>4.3</v>
          </cell>
          <cell r="BK28">
            <v>4.24</v>
          </cell>
          <cell r="BL28">
            <v>43582</v>
          </cell>
          <cell r="BM28">
            <v>6.35</v>
          </cell>
          <cell r="BN28">
            <v>3773</v>
          </cell>
          <cell r="BO28">
            <v>1011</v>
          </cell>
          <cell r="BP28">
            <v>264</v>
          </cell>
          <cell r="BQ28">
            <v>453</v>
          </cell>
          <cell r="BR28">
            <v>500</v>
          </cell>
          <cell r="BS28">
            <v>-38</v>
          </cell>
          <cell r="BT28">
            <v>94</v>
          </cell>
          <cell r="BU28" t="e">
            <v>#N/A</v>
          </cell>
          <cell r="BV28" t="e">
            <v>#N/A</v>
          </cell>
          <cell r="BW28">
            <v>872</v>
          </cell>
          <cell r="BX28">
            <v>-577</v>
          </cell>
          <cell r="BY28">
            <v>-295</v>
          </cell>
          <cell r="BZ28">
            <v>0.06</v>
          </cell>
          <cell r="CA28" t="e">
            <v>#N/A</v>
          </cell>
          <cell r="CB28" t="e">
            <v>#N/A</v>
          </cell>
          <cell r="CC28" t="e">
            <v>#N/A</v>
          </cell>
          <cell r="CD28" t="e">
            <v>#N/A</v>
          </cell>
          <cell r="CE28" t="e">
            <v>#N/A</v>
          </cell>
        </row>
        <row r="29">
          <cell r="A29">
            <v>200601</v>
          </cell>
          <cell r="B29">
            <v>165</v>
          </cell>
          <cell r="C29">
            <v>314905</v>
          </cell>
          <cell r="D29">
            <v>-5022</v>
          </cell>
          <cell r="E29">
            <v>19966.400000000001</v>
          </cell>
          <cell r="F29">
            <v>3903.26</v>
          </cell>
          <cell r="G29">
            <v>14089.8</v>
          </cell>
          <cell r="H29">
            <v>7</v>
          </cell>
          <cell r="I29">
            <v>6044</v>
          </cell>
          <cell r="J29">
            <v>14</v>
          </cell>
          <cell r="K29">
            <v>879</v>
          </cell>
          <cell r="L29">
            <v>1</v>
          </cell>
          <cell r="M29">
            <v>121</v>
          </cell>
          <cell r="N29">
            <v>2757</v>
          </cell>
          <cell r="O29">
            <v>2154</v>
          </cell>
          <cell r="P29">
            <v>-1762</v>
          </cell>
          <cell r="Q29">
            <v>137</v>
          </cell>
          <cell r="R29">
            <v>4017</v>
          </cell>
          <cell r="S29">
            <v>611</v>
          </cell>
          <cell r="T29">
            <v>475</v>
          </cell>
          <cell r="U29">
            <v>3592</v>
          </cell>
          <cell r="V29">
            <v>-1510</v>
          </cell>
          <cell r="W29">
            <v>505</v>
          </cell>
          <cell r="X29">
            <v>-84.635999999999996</v>
          </cell>
          <cell r="Y29">
            <v>-1774</v>
          </cell>
          <cell r="Z29">
            <v>1888</v>
          </cell>
          <cell r="AA29">
            <v>402</v>
          </cell>
          <cell r="AB29">
            <v>0</v>
          </cell>
          <cell r="AC29">
            <v>25771</v>
          </cell>
          <cell r="AD29">
            <v>1007</v>
          </cell>
          <cell r="AE29">
            <v>-295</v>
          </cell>
          <cell r="AF29">
            <v>0</v>
          </cell>
          <cell r="AG29">
            <v>295</v>
          </cell>
          <cell r="AH29">
            <v>1088</v>
          </cell>
          <cell r="AI29">
            <v>73274.7</v>
          </cell>
          <cell r="AJ29">
            <v>12014.7</v>
          </cell>
          <cell r="AK29">
            <v>-303.87200000000001</v>
          </cell>
          <cell r="AL29">
            <v>-1.1180000000000001</v>
          </cell>
          <cell r="AM29">
            <v>490</v>
          </cell>
          <cell r="AN29">
            <v>-1176</v>
          </cell>
          <cell r="AO29">
            <v>384</v>
          </cell>
          <cell r="AP29">
            <v>375737</v>
          </cell>
          <cell r="AQ29">
            <v>1681</v>
          </cell>
          <cell r="AR29">
            <v>0</v>
          </cell>
          <cell r="AS29">
            <v>0</v>
          </cell>
          <cell r="AT29">
            <v>216</v>
          </cell>
          <cell r="AU29">
            <v>98654</v>
          </cell>
          <cell r="AV29">
            <v>3589.18</v>
          </cell>
          <cell r="AW29">
            <v>95064.8</v>
          </cell>
          <cell r="AX29">
            <v>1.3935200000000001</v>
          </cell>
          <cell r="AY29">
            <v>3.3731399999999998</v>
          </cell>
          <cell r="AZ29">
            <v>15224</v>
          </cell>
          <cell r="BA29">
            <v>26605</v>
          </cell>
          <cell r="BB29">
            <v>1848</v>
          </cell>
          <cell r="BC29">
            <v>46664</v>
          </cell>
          <cell r="BD29">
            <v>21730</v>
          </cell>
          <cell r="BE29">
            <v>5631</v>
          </cell>
          <cell r="BF29">
            <v>19099.099999999999</v>
          </cell>
          <cell r="BG29">
            <v>4928.6400000000003</v>
          </cell>
          <cell r="BH29">
            <v>194.2</v>
          </cell>
          <cell r="BI29">
            <v>4.53</v>
          </cell>
          <cell r="BJ29">
            <v>4.25</v>
          </cell>
          <cell r="BK29">
            <v>4.03</v>
          </cell>
          <cell r="BL29">
            <v>44392</v>
          </cell>
          <cell r="BM29">
            <v>6.38</v>
          </cell>
          <cell r="BN29">
            <v>3854</v>
          </cell>
          <cell r="BO29">
            <v>961</v>
          </cell>
          <cell r="BP29">
            <v>245</v>
          </cell>
          <cell r="BQ29">
            <v>475</v>
          </cell>
          <cell r="BR29">
            <v>1824</v>
          </cell>
          <cell r="BS29">
            <v>-28</v>
          </cell>
          <cell r="BT29">
            <v>178</v>
          </cell>
          <cell r="BU29" t="e">
            <v>#N/A</v>
          </cell>
          <cell r="BV29" t="e">
            <v>#N/A</v>
          </cell>
          <cell r="BW29">
            <v>1241</v>
          </cell>
          <cell r="BX29">
            <v>-739</v>
          </cell>
          <cell r="BY29">
            <v>-502</v>
          </cell>
          <cell r="BZ29">
            <v>0.03</v>
          </cell>
          <cell r="CA29" t="e">
            <v>#N/A</v>
          </cell>
          <cell r="CB29" t="e">
            <v>#N/A</v>
          </cell>
          <cell r="CC29" t="e">
            <v>#N/A</v>
          </cell>
          <cell r="CD29" t="e">
            <v>#N/A</v>
          </cell>
          <cell r="CE29" t="e">
            <v>#N/A</v>
          </cell>
        </row>
        <row r="30">
          <cell r="A30">
            <v>200602</v>
          </cell>
          <cell r="B30">
            <v>166</v>
          </cell>
          <cell r="C30">
            <v>319553</v>
          </cell>
          <cell r="D30">
            <v>23261</v>
          </cell>
          <cell r="E30">
            <v>23873.1</v>
          </cell>
          <cell r="F30">
            <v>3909.94</v>
          </cell>
          <cell r="G30">
            <v>15505.4</v>
          </cell>
          <cell r="H30">
            <v>7</v>
          </cell>
          <cell r="I30">
            <v>6518</v>
          </cell>
          <cell r="J30">
            <v>13</v>
          </cell>
          <cell r="K30">
            <v>702</v>
          </cell>
          <cell r="L30">
            <v>0</v>
          </cell>
          <cell r="M30">
            <v>121</v>
          </cell>
          <cell r="N30">
            <v>3887</v>
          </cell>
          <cell r="O30">
            <v>689</v>
          </cell>
          <cell r="P30">
            <v>-539</v>
          </cell>
          <cell r="Q30">
            <v>162</v>
          </cell>
          <cell r="R30">
            <v>4142</v>
          </cell>
          <cell r="S30">
            <v>678</v>
          </cell>
          <cell r="T30">
            <v>160</v>
          </cell>
          <cell r="U30">
            <v>1974</v>
          </cell>
          <cell r="V30">
            <v>-260</v>
          </cell>
          <cell r="W30">
            <v>194</v>
          </cell>
          <cell r="X30">
            <v>270.637</v>
          </cell>
          <cell r="Y30">
            <v>-542</v>
          </cell>
          <cell r="Z30">
            <v>848</v>
          </cell>
          <cell r="AA30">
            <v>396</v>
          </cell>
          <cell r="AB30">
            <v>0</v>
          </cell>
          <cell r="AC30">
            <v>25771</v>
          </cell>
          <cell r="AD30">
            <v>311</v>
          </cell>
          <cell r="AE30">
            <v>-628</v>
          </cell>
          <cell r="AF30">
            <v>0</v>
          </cell>
          <cell r="AG30">
            <v>628</v>
          </cell>
          <cell r="AH30">
            <v>-3928</v>
          </cell>
          <cell r="AI30">
            <v>74437.7</v>
          </cell>
          <cell r="AJ30">
            <v>10749.5</v>
          </cell>
          <cell r="AK30">
            <v>167.423</v>
          </cell>
          <cell r="AL30">
            <v>3.95</v>
          </cell>
          <cell r="AM30">
            <v>-352</v>
          </cell>
          <cell r="AN30">
            <v>-670</v>
          </cell>
          <cell r="AO30">
            <v>372</v>
          </cell>
          <cell r="AP30">
            <v>375422</v>
          </cell>
          <cell r="AQ30">
            <v>1411</v>
          </cell>
          <cell r="AR30">
            <v>0</v>
          </cell>
          <cell r="AS30">
            <v>0</v>
          </cell>
          <cell r="AT30">
            <v>0</v>
          </cell>
          <cell r="AU30">
            <v>103079</v>
          </cell>
          <cell r="AV30">
            <v>7601.66</v>
          </cell>
          <cell r="AW30">
            <v>95477.3</v>
          </cell>
          <cell r="AX30">
            <v>1.6513500000000001</v>
          </cell>
          <cell r="AY30">
            <v>3.6899099999999998</v>
          </cell>
          <cell r="AZ30">
            <v>15566</v>
          </cell>
          <cell r="BA30">
            <v>30947</v>
          </cell>
          <cell r="BB30">
            <v>1823</v>
          </cell>
          <cell r="BC30">
            <v>46320</v>
          </cell>
          <cell r="BD30">
            <v>22720</v>
          </cell>
          <cell r="BE30">
            <v>5690</v>
          </cell>
          <cell r="BF30">
            <v>20069.8</v>
          </cell>
          <cell r="BG30">
            <v>4929.21</v>
          </cell>
          <cell r="BH30">
            <v>197.6</v>
          </cell>
          <cell r="BI30">
            <v>4.6399999999999997</v>
          </cell>
          <cell r="BJ30">
            <v>4.68</v>
          </cell>
          <cell r="BK30">
            <v>4.43</v>
          </cell>
          <cell r="BL30">
            <v>45006</v>
          </cell>
          <cell r="BM30">
            <v>6.4033300000000004</v>
          </cell>
          <cell r="BN30">
            <v>4142</v>
          </cell>
          <cell r="BO30">
            <v>979</v>
          </cell>
          <cell r="BP30">
            <v>272</v>
          </cell>
          <cell r="BQ30">
            <v>160</v>
          </cell>
          <cell r="BR30">
            <v>-350</v>
          </cell>
          <cell r="BS30">
            <v>59</v>
          </cell>
          <cell r="BT30">
            <v>-8</v>
          </cell>
          <cell r="BU30" t="e">
            <v>#N/A</v>
          </cell>
          <cell r="BV30" t="e">
            <v>#N/A</v>
          </cell>
          <cell r="BW30">
            <v>848</v>
          </cell>
          <cell r="BX30">
            <v>-387</v>
          </cell>
          <cell r="BY30">
            <v>-461</v>
          </cell>
          <cell r="BZ30">
            <v>0.14000000000000001</v>
          </cell>
          <cell r="CA30" t="e">
            <v>#N/A</v>
          </cell>
          <cell r="CB30" t="e">
            <v>#N/A</v>
          </cell>
          <cell r="CC30" t="e">
            <v>#N/A</v>
          </cell>
          <cell r="CD30" t="e">
            <v>#N/A</v>
          </cell>
          <cell r="CE30" t="e">
            <v>#N/A</v>
          </cell>
        </row>
        <row r="31">
          <cell r="A31">
            <v>200603</v>
          </cell>
          <cell r="B31">
            <v>155</v>
          </cell>
          <cell r="C31">
            <v>329610</v>
          </cell>
          <cell r="D31">
            <v>7236</v>
          </cell>
          <cell r="E31">
            <v>24671.7</v>
          </cell>
          <cell r="F31">
            <v>3950.39</v>
          </cell>
          <cell r="G31">
            <v>7739.9</v>
          </cell>
          <cell r="H31">
            <v>5</v>
          </cell>
          <cell r="I31">
            <v>6208</v>
          </cell>
          <cell r="J31">
            <v>11</v>
          </cell>
          <cell r="K31">
            <v>611</v>
          </cell>
          <cell r="L31">
            <v>0</v>
          </cell>
          <cell r="M31">
            <v>115</v>
          </cell>
          <cell r="N31">
            <v>5437</v>
          </cell>
          <cell r="O31">
            <v>1125</v>
          </cell>
          <cell r="P31">
            <v>-1004</v>
          </cell>
          <cell r="Q31">
            <v>163</v>
          </cell>
          <cell r="R31">
            <v>4046</v>
          </cell>
          <cell r="S31">
            <v>686</v>
          </cell>
          <cell r="T31">
            <v>169</v>
          </cell>
          <cell r="U31">
            <v>2287</v>
          </cell>
          <cell r="V31">
            <v>-658</v>
          </cell>
          <cell r="W31">
            <v>200</v>
          </cell>
          <cell r="X31">
            <v>-440.495</v>
          </cell>
          <cell r="Y31">
            <v>-1018</v>
          </cell>
          <cell r="Z31">
            <v>1122</v>
          </cell>
          <cell r="AA31">
            <v>439</v>
          </cell>
          <cell r="AB31">
            <v>0</v>
          </cell>
          <cell r="AC31">
            <v>25771</v>
          </cell>
          <cell r="AD31">
            <v>1013</v>
          </cell>
          <cell r="AE31">
            <v>2003</v>
          </cell>
          <cell r="AF31">
            <v>2196.5</v>
          </cell>
          <cell r="AG31">
            <v>144</v>
          </cell>
          <cell r="AH31">
            <v>-1699</v>
          </cell>
          <cell r="AI31">
            <v>75491</v>
          </cell>
          <cell r="AJ31">
            <v>11846.1</v>
          </cell>
          <cell r="AK31">
            <v>359.738</v>
          </cell>
          <cell r="AL31">
            <v>4.125</v>
          </cell>
          <cell r="AM31">
            <v>-6</v>
          </cell>
          <cell r="AN31">
            <v>-899</v>
          </cell>
          <cell r="AO31">
            <v>415</v>
          </cell>
          <cell r="AP31">
            <v>376525</v>
          </cell>
          <cell r="AQ31">
            <v>1500</v>
          </cell>
          <cell r="AR31">
            <v>6842</v>
          </cell>
          <cell r="AS31">
            <v>3326.36</v>
          </cell>
          <cell r="AT31">
            <v>68.122500000000002</v>
          </cell>
          <cell r="AU31">
            <v>102896</v>
          </cell>
          <cell r="AV31">
            <v>11162</v>
          </cell>
          <cell r="AW31">
            <v>91734</v>
          </cell>
          <cell r="AX31">
            <v>1.4125099999999999</v>
          </cell>
          <cell r="AY31">
            <v>3.6795800000000001</v>
          </cell>
          <cell r="AZ31">
            <v>16120</v>
          </cell>
          <cell r="BA31">
            <v>32432</v>
          </cell>
          <cell r="BB31">
            <v>1890</v>
          </cell>
          <cell r="BC31">
            <v>47362</v>
          </cell>
          <cell r="BD31">
            <v>23463</v>
          </cell>
          <cell r="BE31">
            <v>5627</v>
          </cell>
          <cell r="BF31">
            <v>18847.599999999999</v>
          </cell>
          <cell r="BG31">
            <v>4926.09</v>
          </cell>
          <cell r="BH31">
            <v>199.3</v>
          </cell>
          <cell r="BI31">
            <v>4.8499999999999996</v>
          </cell>
          <cell r="BJ31">
            <v>4.76</v>
          </cell>
          <cell r="BK31">
            <v>4.4000000000000004</v>
          </cell>
          <cell r="BL31">
            <v>45510</v>
          </cell>
          <cell r="BM31">
            <v>6.4833299999999996</v>
          </cell>
          <cell r="BN31">
            <v>4109</v>
          </cell>
          <cell r="BO31">
            <v>990</v>
          </cell>
          <cell r="BP31">
            <v>341</v>
          </cell>
          <cell r="BQ31">
            <v>169</v>
          </cell>
          <cell r="BR31">
            <v>1037</v>
          </cell>
          <cell r="BS31">
            <v>-63</v>
          </cell>
          <cell r="BT31">
            <v>99</v>
          </cell>
          <cell r="BU31" t="e">
            <v>#N/A</v>
          </cell>
          <cell r="BV31" t="e">
            <v>#N/A</v>
          </cell>
          <cell r="BW31">
            <v>771</v>
          </cell>
          <cell r="BX31">
            <v>-491</v>
          </cell>
          <cell r="BY31">
            <v>-280</v>
          </cell>
          <cell r="BZ31">
            <v>0.19</v>
          </cell>
          <cell r="CA31" t="e">
            <v>#N/A</v>
          </cell>
          <cell r="CB31" t="e">
            <v>#N/A</v>
          </cell>
          <cell r="CC31" t="e">
            <v>#N/A</v>
          </cell>
          <cell r="CD31" t="e">
            <v>#N/A</v>
          </cell>
          <cell r="CE31" t="e">
            <v>#N/A</v>
          </cell>
        </row>
        <row r="32">
          <cell r="A32">
            <v>200604</v>
          </cell>
          <cell r="B32">
            <v>159</v>
          </cell>
          <cell r="C32">
            <v>325522</v>
          </cell>
          <cell r="D32">
            <v>14137</v>
          </cell>
          <cell r="E32">
            <v>26563.9</v>
          </cell>
          <cell r="F32">
            <v>4056.57</v>
          </cell>
          <cell r="G32">
            <v>4596.5600000000004</v>
          </cell>
          <cell r="H32">
            <v>4</v>
          </cell>
          <cell r="I32">
            <v>7780</v>
          </cell>
          <cell r="J32">
            <v>60</v>
          </cell>
          <cell r="K32">
            <v>922</v>
          </cell>
          <cell r="L32">
            <v>1</v>
          </cell>
          <cell r="M32">
            <v>135</v>
          </cell>
          <cell r="N32">
            <v>3959</v>
          </cell>
          <cell r="O32">
            <v>1160</v>
          </cell>
          <cell r="P32">
            <v>-981</v>
          </cell>
          <cell r="Q32">
            <v>151</v>
          </cell>
          <cell r="R32">
            <v>4056</v>
          </cell>
          <cell r="S32">
            <v>752</v>
          </cell>
          <cell r="T32">
            <v>150</v>
          </cell>
          <cell r="U32">
            <v>2683</v>
          </cell>
          <cell r="V32">
            <v>-613</v>
          </cell>
          <cell r="W32">
            <v>232</v>
          </cell>
          <cell r="X32">
            <v>-690.649</v>
          </cell>
          <cell r="Y32">
            <v>-1020</v>
          </cell>
          <cell r="Z32">
            <v>1122</v>
          </cell>
          <cell r="AA32">
            <v>477</v>
          </cell>
          <cell r="AB32">
            <v>0</v>
          </cell>
          <cell r="AC32">
            <v>25771</v>
          </cell>
          <cell r="AD32">
            <v>358</v>
          </cell>
          <cell r="AE32">
            <v>-1568</v>
          </cell>
          <cell r="AF32">
            <v>0</v>
          </cell>
          <cell r="AG32">
            <v>1568</v>
          </cell>
          <cell r="AH32">
            <v>1220</v>
          </cell>
          <cell r="AI32">
            <v>78086.399999999994</v>
          </cell>
          <cell r="AJ32">
            <v>7468.21</v>
          </cell>
          <cell r="AK32">
            <v>765.20699999999999</v>
          </cell>
          <cell r="AL32">
            <v>-0.89500000000000002</v>
          </cell>
          <cell r="AM32">
            <v>-2964</v>
          </cell>
          <cell r="AN32">
            <v>-1310</v>
          </cell>
          <cell r="AO32">
            <v>448</v>
          </cell>
          <cell r="AP32">
            <v>372687</v>
          </cell>
          <cell r="AQ32">
            <v>1592</v>
          </cell>
          <cell r="AR32">
            <v>11533</v>
          </cell>
          <cell r="AS32">
            <v>0</v>
          </cell>
          <cell r="AT32">
            <v>216.249</v>
          </cell>
          <cell r="AU32">
            <v>108159</v>
          </cell>
          <cell r="AV32">
            <v>14219.3</v>
          </cell>
          <cell r="AW32">
            <v>93939.7</v>
          </cell>
          <cell r="AX32">
            <v>1.5437399999999999</v>
          </cell>
          <cell r="AY32">
            <v>3.9056799999999998</v>
          </cell>
          <cell r="AZ32">
            <v>17087</v>
          </cell>
          <cell r="BA32">
            <v>32167</v>
          </cell>
          <cell r="BB32">
            <v>1898</v>
          </cell>
          <cell r="BC32">
            <v>47306</v>
          </cell>
          <cell r="BD32">
            <v>24509</v>
          </cell>
          <cell r="BE32">
            <v>5304</v>
          </cell>
          <cell r="BF32">
            <v>19346.400000000001</v>
          </cell>
          <cell r="BG32">
            <v>4919.37</v>
          </cell>
          <cell r="BH32">
            <v>201.4</v>
          </cell>
          <cell r="BI32">
            <v>5.17</v>
          </cell>
          <cell r="BJ32">
            <v>4.83</v>
          </cell>
          <cell r="BK32">
            <v>4.3099999999999996</v>
          </cell>
          <cell r="BL32">
            <v>45914</v>
          </cell>
          <cell r="BM32">
            <v>6.78667</v>
          </cell>
          <cell r="BN32">
            <v>4077</v>
          </cell>
          <cell r="BO32">
            <v>1078</v>
          </cell>
          <cell r="BP32">
            <v>364</v>
          </cell>
          <cell r="BQ32">
            <v>150</v>
          </cell>
          <cell r="BR32">
            <v>-45</v>
          </cell>
          <cell r="BS32">
            <v>-323</v>
          </cell>
          <cell r="BT32">
            <v>62</v>
          </cell>
          <cell r="BU32" t="e">
            <v>#N/A</v>
          </cell>
          <cell r="BV32" t="e">
            <v>#N/A</v>
          </cell>
          <cell r="BW32">
            <v>1035</v>
          </cell>
          <cell r="BX32">
            <v>-780</v>
          </cell>
          <cell r="BY32">
            <v>-255</v>
          </cell>
          <cell r="BZ32">
            <v>0.28000000000000003</v>
          </cell>
          <cell r="CA32" t="e">
            <v>#N/A</v>
          </cell>
          <cell r="CB32" t="e">
            <v>#N/A</v>
          </cell>
          <cell r="CC32" t="e">
            <v>#N/A</v>
          </cell>
          <cell r="CD32" t="e">
            <v>#N/A</v>
          </cell>
          <cell r="CE32" t="e">
            <v>#N/A</v>
          </cell>
        </row>
        <row r="33">
          <cell r="A33">
            <v>200701</v>
          </cell>
          <cell r="B33">
            <v>154</v>
          </cell>
          <cell r="C33">
            <v>319362</v>
          </cell>
          <cell r="D33">
            <v>-7556</v>
          </cell>
          <cell r="E33">
            <v>24279.200000000001</v>
          </cell>
          <cell r="F33">
            <v>4057.84</v>
          </cell>
          <cell r="G33">
            <v>4528.42</v>
          </cell>
          <cell r="H33">
            <v>4</v>
          </cell>
          <cell r="I33">
            <v>7188</v>
          </cell>
          <cell r="J33">
            <v>30</v>
          </cell>
          <cell r="K33">
            <v>722</v>
          </cell>
          <cell r="L33">
            <v>1</v>
          </cell>
          <cell r="M33">
            <v>147</v>
          </cell>
          <cell r="N33">
            <v>3938</v>
          </cell>
          <cell r="O33">
            <v>2047</v>
          </cell>
          <cell r="P33">
            <v>-1710</v>
          </cell>
          <cell r="Q33">
            <v>174</v>
          </cell>
          <cell r="R33">
            <v>4013</v>
          </cell>
          <cell r="S33">
            <v>743</v>
          </cell>
          <cell r="T33">
            <v>347</v>
          </cell>
          <cell r="U33">
            <v>3466</v>
          </cell>
          <cell r="V33">
            <v>-1329</v>
          </cell>
          <cell r="W33">
            <v>399</v>
          </cell>
          <cell r="X33">
            <v>784.26700000000005</v>
          </cell>
          <cell r="Y33">
            <v>-1722</v>
          </cell>
          <cell r="Z33">
            <v>1825</v>
          </cell>
          <cell r="AA33">
            <v>515</v>
          </cell>
          <cell r="AB33">
            <v>0</v>
          </cell>
          <cell r="AC33">
            <v>25771</v>
          </cell>
          <cell r="AD33">
            <v>1008</v>
          </cell>
          <cell r="AE33">
            <v>-1034</v>
          </cell>
          <cell r="AF33">
            <v>0</v>
          </cell>
          <cell r="AG33">
            <v>1034</v>
          </cell>
          <cell r="AH33">
            <v>3640</v>
          </cell>
          <cell r="AI33">
            <v>78792.800000000003</v>
          </cell>
          <cell r="AJ33">
            <v>13730.5</v>
          </cell>
          <cell r="AK33">
            <v>-1342.63</v>
          </cell>
          <cell r="AL33">
            <v>3.5999999999999997E-2</v>
          </cell>
          <cell r="AM33">
            <v>2177</v>
          </cell>
          <cell r="AN33">
            <v>-1163</v>
          </cell>
          <cell r="AO33">
            <v>483</v>
          </cell>
          <cell r="AP33">
            <v>377949</v>
          </cell>
          <cell r="AQ33">
            <v>1936</v>
          </cell>
          <cell r="AR33">
            <v>11475</v>
          </cell>
          <cell r="AS33">
            <v>0</v>
          </cell>
          <cell r="AT33">
            <v>129.09399999999999</v>
          </cell>
          <cell r="AU33">
            <v>113090</v>
          </cell>
          <cell r="AV33">
            <v>18194.099999999999</v>
          </cell>
          <cell r="AW33">
            <v>94896.6</v>
          </cell>
          <cell r="AX33">
            <v>1.7096800000000001</v>
          </cell>
          <cell r="AY33">
            <v>3.8210700000000002</v>
          </cell>
          <cell r="AZ33">
            <v>16899</v>
          </cell>
          <cell r="BA33">
            <v>28556</v>
          </cell>
          <cell r="BB33">
            <v>2017</v>
          </cell>
          <cell r="BC33">
            <v>47460</v>
          </cell>
          <cell r="BD33">
            <v>25126</v>
          </cell>
          <cell r="BE33">
            <v>4984</v>
          </cell>
          <cell r="BF33">
            <v>15594.7</v>
          </cell>
          <cell r="BG33">
            <v>4972.84</v>
          </cell>
          <cell r="BH33">
            <v>203</v>
          </cell>
          <cell r="BI33">
            <v>5.49</v>
          </cell>
          <cell r="BJ33">
            <v>5.13</v>
          </cell>
          <cell r="BK33">
            <v>4.53</v>
          </cell>
          <cell r="BL33">
            <v>46197</v>
          </cell>
          <cell r="BM33">
            <v>7.1333299999999999</v>
          </cell>
          <cell r="BN33">
            <v>4069</v>
          </cell>
          <cell r="BO33">
            <v>1212</v>
          </cell>
          <cell r="BP33">
            <v>377</v>
          </cell>
          <cell r="BQ33">
            <v>347</v>
          </cell>
          <cell r="BR33">
            <v>183</v>
          </cell>
          <cell r="BS33">
            <v>-320</v>
          </cell>
          <cell r="BT33">
            <v>63</v>
          </cell>
          <cell r="BU33" t="e">
            <v>#N/A</v>
          </cell>
          <cell r="BV33" t="e">
            <v>#N/A</v>
          </cell>
          <cell r="BW33">
            <v>1056</v>
          </cell>
          <cell r="BX33">
            <v>-604</v>
          </cell>
          <cell r="BY33">
            <v>-452</v>
          </cell>
          <cell r="BZ33">
            <v>0.27</v>
          </cell>
          <cell r="CA33" t="e">
            <v>#N/A</v>
          </cell>
          <cell r="CB33" t="e">
            <v>#N/A</v>
          </cell>
          <cell r="CC33" t="e">
            <v>#N/A</v>
          </cell>
          <cell r="CD33" t="e">
            <v>#N/A</v>
          </cell>
          <cell r="CE33" t="e">
            <v>#N/A</v>
          </cell>
        </row>
        <row r="34">
          <cell r="A34">
            <v>200702</v>
          </cell>
          <cell r="B34">
            <v>144</v>
          </cell>
          <cell r="C34">
            <v>318864</v>
          </cell>
          <cell r="D34">
            <v>17468</v>
          </cell>
          <cell r="E34">
            <v>23682.5</v>
          </cell>
          <cell r="F34">
            <v>4064.48</v>
          </cell>
          <cell r="G34">
            <v>15057.6</v>
          </cell>
          <cell r="H34">
            <v>3</v>
          </cell>
          <cell r="I34">
            <v>7647</v>
          </cell>
          <cell r="J34">
            <v>17</v>
          </cell>
          <cell r="K34">
            <v>738</v>
          </cell>
          <cell r="L34">
            <v>0</v>
          </cell>
          <cell r="M34">
            <v>149</v>
          </cell>
          <cell r="N34">
            <v>4009</v>
          </cell>
          <cell r="O34">
            <v>719</v>
          </cell>
          <cell r="P34">
            <v>-546</v>
          </cell>
          <cell r="Q34">
            <v>170</v>
          </cell>
          <cell r="R34">
            <v>4076</v>
          </cell>
          <cell r="S34">
            <v>987</v>
          </cell>
          <cell r="T34">
            <v>269</v>
          </cell>
          <cell r="U34">
            <v>2133</v>
          </cell>
          <cell r="V34">
            <v>-150</v>
          </cell>
          <cell r="W34">
            <v>306</v>
          </cell>
          <cell r="X34">
            <v>-290.05</v>
          </cell>
          <cell r="Y34">
            <v>-555</v>
          </cell>
          <cell r="Z34">
            <v>867</v>
          </cell>
          <cell r="AA34">
            <v>554</v>
          </cell>
          <cell r="AB34">
            <v>0</v>
          </cell>
          <cell r="AC34">
            <v>25771</v>
          </cell>
          <cell r="AD34">
            <v>409</v>
          </cell>
          <cell r="AE34">
            <v>-1283</v>
          </cell>
          <cell r="AF34">
            <v>0</v>
          </cell>
          <cell r="AG34">
            <v>1283</v>
          </cell>
          <cell r="AH34">
            <v>-4540</v>
          </cell>
          <cell r="AI34">
            <v>81167.5</v>
          </cell>
          <cell r="AJ34">
            <v>14040.4</v>
          </cell>
          <cell r="AK34">
            <v>27.056000000000001</v>
          </cell>
          <cell r="AL34">
            <v>-3.2000000000000001E-2</v>
          </cell>
          <cell r="AM34">
            <v>-277</v>
          </cell>
          <cell r="AN34">
            <v>-529</v>
          </cell>
          <cell r="AO34">
            <v>526</v>
          </cell>
          <cell r="AP34">
            <v>376547</v>
          </cell>
          <cell r="AQ34">
            <v>1892</v>
          </cell>
          <cell r="AR34">
            <v>0</v>
          </cell>
          <cell r="AS34">
            <v>0</v>
          </cell>
          <cell r="AT34">
            <v>0</v>
          </cell>
          <cell r="AU34">
            <v>118539</v>
          </cell>
          <cell r="AV34">
            <v>22734.5</v>
          </cell>
          <cell r="AW34">
            <v>95804.6</v>
          </cell>
          <cell r="AX34">
            <v>2.0564200000000001</v>
          </cell>
          <cell r="AY34">
            <v>4.9506899999999998</v>
          </cell>
          <cell r="AZ34">
            <v>16344</v>
          </cell>
          <cell r="BA34">
            <v>32874</v>
          </cell>
          <cell r="BB34">
            <v>2062</v>
          </cell>
          <cell r="BC34">
            <v>46381</v>
          </cell>
          <cell r="BD34">
            <v>26159</v>
          </cell>
          <cell r="BE34">
            <v>4956</v>
          </cell>
          <cell r="BF34">
            <v>16794.3</v>
          </cell>
          <cell r="BG34">
            <v>4972.63</v>
          </cell>
          <cell r="BH34">
            <v>206.3</v>
          </cell>
          <cell r="BI34">
            <v>5.72</v>
          </cell>
          <cell r="BJ34">
            <v>5.46</v>
          </cell>
          <cell r="BK34">
            <v>4.88</v>
          </cell>
          <cell r="BL34">
            <v>46917</v>
          </cell>
          <cell r="BM34">
            <v>7.3033299999999999</v>
          </cell>
          <cell r="BN34">
            <v>4063</v>
          </cell>
          <cell r="BO34">
            <v>1230</v>
          </cell>
          <cell r="BP34">
            <v>393</v>
          </cell>
          <cell r="BQ34">
            <v>269</v>
          </cell>
          <cell r="BR34">
            <v>-1077</v>
          </cell>
          <cell r="BS34">
            <v>-28</v>
          </cell>
          <cell r="BT34">
            <v>-130</v>
          </cell>
          <cell r="BU34" t="e">
            <v>#N/A</v>
          </cell>
          <cell r="BV34" t="e">
            <v>#N/A</v>
          </cell>
          <cell r="BW34">
            <v>906</v>
          </cell>
          <cell r="BX34">
            <v>-427</v>
          </cell>
          <cell r="BY34">
            <v>-479</v>
          </cell>
          <cell r="BZ34">
            <v>0.32</v>
          </cell>
          <cell r="CA34" t="e">
            <v>#N/A</v>
          </cell>
          <cell r="CB34" t="e">
            <v>#N/A</v>
          </cell>
          <cell r="CC34" t="e">
            <v>#N/A</v>
          </cell>
          <cell r="CD34" t="e">
            <v>#N/A</v>
          </cell>
          <cell r="CE34" t="e">
            <v>#N/A</v>
          </cell>
        </row>
        <row r="35">
          <cell r="A35">
            <v>200703</v>
          </cell>
          <cell r="B35">
            <v>146</v>
          </cell>
          <cell r="C35">
            <v>332517</v>
          </cell>
          <cell r="D35">
            <v>3360.9</v>
          </cell>
          <cell r="E35">
            <v>23172.2</v>
          </cell>
          <cell r="F35">
            <v>4080.29</v>
          </cell>
          <cell r="G35">
            <v>7907.05</v>
          </cell>
          <cell r="H35">
            <v>3</v>
          </cell>
          <cell r="I35">
            <v>6900</v>
          </cell>
          <cell r="J35">
            <v>23</v>
          </cell>
          <cell r="K35">
            <v>632</v>
          </cell>
          <cell r="L35">
            <v>0</v>
          </cell>
          <cell r="M35">
            <v>179</v>
          </cell>
          <cell r="N35">
            <v>2967</v>
          </cell>
          <cell r="O35">
            <v>1069</v>
          </cell>
          <cell r="P35">
            <v>-933</v>
          </cell>
          <cell r="Q35">
            <v>186</v>
          </cell>
          <cell r="R35">
            <v>4015</v>
          </cell>
          <cell r="S35">
            <v>682</v>
          </cell>
          <cell r="T35">
            <v>261</v>
          </cell>
          <cell r="U35">
            <v>2478</v>
          </cell>
          <cell r="V35">
            <v>-415</v>
          </cell>
          <cell r="W35">
            <v>304</v>
          </cell>
          <cell r="X35">
            <v>562.41999999999996</v>
          </cell>
          <cell r="Y35">
            <v>-950</v>
          </cell>
          <cell r="Z35">
            <v>1047</v>
          </cell>
          <cell r="AA35">
            <v>599</v>
          </cell>
          <cell r="AB35">
            <v>0</v>
          </cell>
          <cell r="AC35">
            <v>25771</v>
          </cell>
          <cell r="AD35">
            <v>1030</v>
          </cell>
          <cell r="AE35">
            <v>-661</v>
          </cell>
          <cell r="AF35">
            <v>0</v>
          </cell>
          <cell r="AG35">
            <v>661</v>
          </cell>
          <cell r="AH35">
            <v>-2971</v>
          </cell>
          <cell r="AI35">
            <v>81942.5</v>
          </cell>
          <cell r="AJ35">
            <v>18900.400000000001</v>
          </cell>
          <cell r="AK35">
            <v>174.91200000000001</v>
          </cell>
          <cell r="AL35">
            <v>-0.157</v>
          </cell>
          <cell r="AM35">
            <v>349</v>
          </cell>
          <cell r="AN35">
            <v>-639</v>
          </cell>
          <cell r="AO35">
            <v>574</v>
          </cell>
          <cell r="AP35">
            <v>385675</v>
          </cell>
          <cell r="AQ35">
            <v>2152</v>
          </cell>
          <cell r="AR35">
            <v>4269</v>
          </cell>
          <cell r="AS35">
            <v>0</v>
          </cell>
          <cell r="AT35">
            <v>88.048100000000005</v>
          </cell>
          <cell r="AU35">
            <v>122067</v>
          </cell>
          <cell r="AV35">
            <v>25688.9</v>
          </cell>
          <cell r="AW35">
            <v>96378.4</v>
          </cell>
          <cell r="AX35">
            <v>1.5935999999999999</v>
          </cell>
          <cell r="AY35">
            <v>3.3623400000000001</v>
          </cell>
          <cell r="AZ35">
            <v>17161</v>
          </cell>
          <cell r="BA35">
            <v>36222</v>
          </cell>
          <cell r="BB35">
            <v>2244</v>
          </cell>
          <cell r="BC35">
            <v>48081</v>
          </cell>
          <cell r="BD35">
            <v>28345</v>
          </cell>
          <cell r="BE35">
            <v>4770</v>
          </cell>
          <cell r="BF35">
            <v>16078.9</v>
          </cell>
          <cell r="BG35">
            <v>4985.29</v>
          </cell>
          <cell r="BH35">
            <v>207.1</v>
          </cell>
          <cell r="BI35">
            <v>6.29</v>
          </cell>
          <cell r="BJ35">
            <v>5.36</v>
          </cell>
          <cell r="BK35">
            <v>4.8600000000000003</v>
          </cell>
          <cell r="BL35">
            <v>47734</v>
          </cell>
          <cell r="BM35">
            <v>7.6233300000000002</v>
          </cell>
          <cell r="BN35">
            <v>4243</v>
          </cell>
          <cell r="BO35">
            <v>1376</v>
          </cell>
          <cell r="BP35">
            <v>515</v>
          </cell>
          <cell r="BQ35">
            <v>261</v>
          </cell>
          <cell r="BR35">
            <v>1697</v>
          </cell>
          <cell r="BS35">
            <v>-186</v>
          </cell>
          <cell r="BT35">
            <v>177</v>
          </cell>
          <cell r="BU35" t="e">
            <v>#N/A</v>
          </cell>
          <cell r="BV35" t="e">
            <v>#N/A</v>
          </cell>
          <cell r="BW35">
            <v>792</v>
          </cell>
          <cell r="BX35">
            <v>-515</v>
          </cell>
          <cell r="BY35">
            <v>-277</v>
          </cell>
          <cell r="BZ35">
            <v>0.55000000000000004</v>
          </cell>
          <cell r="CA35" t="e">
            <v>#N/A</v>
          </cell>
          <cell r="CB35" t="e">
            <v>#N/A</v>
          </cell>
          <cell r="CC35" t="e">
            <v>#N/A</v>
          </cell>
          <cell r="CD35" t="e">
            <v>#N/A</v>
          </cell>
          <cell r="CE35" t="e">
            <v>#N/A</v>
          </cell>
        </row>
        <row r="36">
          <cell r="A36">
            <v>200704</v>
          </cell>
          <cell r="B36">
            <v>166</v>
          </cell>
          <cell r="C36">
            <v>343555</v>
          </cell>
          <cell r="D36">
            <v>20513</v>
          </cell>
          <cell r="E36">
            <v>28571.200000000001</v>
          </cell>
          <cell r="F36">
            <v>4182.75</v>
          </cell>
          <cell r="G36">
            <v>4775.6099999999997</v>
          </cell>
          <cell r="H36">
            <v>3</v>
          </cell>
          <cell r="I36">
            <v>8778</v>
          </cell>
          <cell r="J36">
            <v>8</v>
          </cell>
          <cell r="K36">
            <v>923</v>
          </cell>
          <cell r="L36">
            <v>0</v>
          </cell>
          <cell r="M36">
            <v>191</v>
          </cell>
          <cell r="N36">
            <v>3985</v>
          </cell>
          <cell r="O36">
            <v>1187</v>
          </cell>
          <cell r="P36">
            <v>-987</v>
          </cell>
          <cell r="Q36">
            <v>179</v>
          </cell>
          <cell r="R36">
            <v>4194</v>
          </cell>
          <cell r="S36">
            <v>933</v>
          </cell>
          <cell r="T36">
            <v>335</v>
          </cell>
          <cell r="U36">
            <v>3135</v>
          </cell>
          <cell r="V36">
            <v>-464</v>
          </cell>
          <cell r="W36">
            <v>364</v>
          </cell>
          <cell r="X36">
            <v>-540.74199999999996</v>
          </cell>
          <cell r="Y36">
            <v>-1021</v>
          </cell>
          <cell r="Z36">
            <v>1124</v>
          </cell>
          <cell r="AA36">
            <v>609</v>
          </cell>
          <cell r="AB36">
            <v>0</v>
          </cell>
          <cell r="AC36">
            <v>25771</v>
          </cell>
          <cell r="AD36">
            <v>464</v>
          </cell>
          <cell r="AE36">
            <v>-2185</v>
          </cell>
          <cell r="AF36">
            <v>0</v>
          </cell>
          <cell r="AG36">
            <v>2185</v>
          </cell>
          <cell r="AH36">
            <v>773</v>
          </cell>
          <cell r="AI36">
            <v>83790.899999999994</v>
          </cell>
          <cell r="AJ36">
            <v>12355.9</v>
          </cell>
          <cell r="AK36">
            <v>438.834</v>
          </cell>
          <cell r="AL36">
            <v>-3.222</v>
          </cell>
          <cell r="AM36">
            <v>-532</v>
          </cell>
          <cell r="AN36">
            <v>-614</v>
          </cell>
          <cell r="AO36">
            <v>589</v>
          </cell>
          <cell r="AP36">
            <v>385240</v>
          </cell>
          <cell r="AQ36">
            <v>2489</v>
          </cell>
          <cell r="AR36">
            <v>-10860</v>
          </cell>
          <cell r="AS36">
            <v>0</v>
          </cell>
          <cell r="AT36">
            <v>196.83799999999999</v>
          </cell>
          <cell r="AU36">
            <v>128116</v>
          </cell>
          <cell r="AV36">
            <v>29920.7</v>
          </cell>
          <cell r="AW36">
            <v>98195.3</v>
          </cell>
          <cell r="AX36">
            <v>1.2895399999999999</v>
          </cell>
          <cell r="AY36">
            <v>4.5274599999999996</v>
          </cell>
          <cell r="AZ36">
            <v>17697</v>
          </cell>
          <cell r="BA36">
            <v>36404</v>
          </cell>
          <cell r="BB36">
            <v>2395</v>
          </cell>
          <cell r="BC36">
            <v>48579</v>
          </cell>
          <cell r="BD36">
            <v>29190</v>
          </cell>
          <cell r="BE36">
            <v>5197</v>
          </cell>
          <cell r="BF36">
            <v>17977.599999999999</v>
          </cell>
          <cell r="BG36">
            <v>5034.3999999999996</v>
          </cell>
          <cell r="BH36">
            <v>209.8</v>
          </cell>
          <cell r="BI36">
            <v>6.3</v>
          </cell>
          <cell r="BJ36">
            <v>4.79</v>
          </cell>
          <cell r="BK36">
            <v>4.6500000000000004</v>
          </cell>
          <cell r="BL36">
            <v>48500</v>
          </cell>
          <cell r="BM36">
            <v>7.71333</v>
          </cell>
          <cell r="BN36">
            <v>4281</v>
          </cell>
          <cell r="BO36">
            <v>1634</v>
          </cell>
          <cell r="BP36">
            <v>520</v>
          </cell>
          <cell r="BQ36">
            <v>335</v>
          </cell>
          <cell r="BR36">
            <v>514</v>
          </cell>
          <cell r="BS36">
            <v>427</v>
          </cell>
          <cell r="BT36">
            <v>142</v>
          </cell>
          <cell r="BU36" t="e">
            <v>#N/A</v>
          </cell>
          <cell r="BV36" t="e">
            <v>#N/A</v>
          </cell>
          <cell r="BW36">
            <v>1182</v>
          </cell>
          <cell r="BX36">
            <v>-780</v>
          </cell>
          <cell r="BY36">
            <v>-402</v>
          </cell>
          <cell r="BZ36">
            <v>0.61</v>
          </cell>
          <cell r="CA36" t="e">
            <v>#N/A</v>
          </cell>
          <cell r="CB36" t="e">
            <v>#N/A</v>
          </cell>
          <cell r="CC36" t="e">
            <v>#N/A</v>
          </cell>
          <cell r="CD36" t="e">
            <v>#N/A</v>
          </cell>
          <cell r="CE36" t="e">
            <v>#N/A</v>
          </cell>
        </row>
        <row r="37">
          <cell r="A37">
            <v>200801</v>
          </cell>
          <cell r="B37">
            <v>187</v>
          </cell>
          <cell r="C37">
            <v>341762</v>
          </cell>
          <cell r="D37">
            <v>-8760</v>
          </cell>
          <cell r="E37">
            <v>22124.1</v>
          </cell>
          <cell r="F37">
            <v>4187.66</v>
          </cell>
          <cell r="G37">
            <v>1424.76</v>
          </cell>
          <cell r="H37">
            <v>3</v>
          </cell>
          <cell r="I37">
            <v>6862</v>
          </cell>
          <cell r="J37">
            <v>44</v>
          </cell>
          <cell r="K37">
            <v>823</v>
          </cell>
          <cell r="L37">
            <v>0</v>
          </cell>
          <cell r="M37">
            <v>181</v>
          </cell>
          <cell r="N37">
            <v>4018</v>
          </cell>
          <cell r="O37">
            <v>2184</v>
          </cell>
          <cell r="P37">
            <v>-1814</v>
          </cell>
          <cell r="Q37">
            <v>174</v>
          </cell>
          <cell r="R37">
            <v>4185</v>
          </cell>
          <cell r="S37">
            <v>687</v>
          </cell>
          <cell r="T37">
            <v>412</v>
          </cell>
          <cell r="U37">
            <v>3936</v>
          </cell>
          <cell r="V37">
            <v>-1349</v>
          </cell>
          <cell r="W37">
            <v>504</v>
          </cell>
          <cell r="X37">
            <v>186.14</v>
          </cell>
          <cell r="Y37">
            <v>-1854</v>
          </cell>
          <cell r="Z37">
            <v>1943</v>
          </cell>
          <cell r="AA37">
            <v>672</v>
          </cell>
          <cell r="AB37">
            <v>0</v>
          </cell>
          <cell r="AC37">
            <v>25771</v>
          </cell>
          <cell r="AD37">
            <v>1047</v>
          </cell>
          <cell r="AE37">
            <v>-471</v>
          </cell>
          <cell r="AF37">
            <v>0</v>
          </cell>
          <cell r="AG37">
            <v>471</v>
          </cell>
          <cell r="AH37">
            <v>3162</v>
          </cell>
          <cell r="AI37">
            <v>84546.5</v>
          </cell>
          <cell r="AJ37">
            <v>15950.7</v>
          </cell>
          <cell r="AK37">
            <v>-718.58799999999997</v>
          </cell>
          <cell r="AL37">
            <v>13.728</v>
          </cell>
          <cell r="AM37">
            <v>-1119</v>
          </cell>
          <cell r="AN37">
            <v>-1853</v>
          </cell>
          <cell r="AO37">
            <v>638</v>
          </cell>
          <cell r="AP37">
            <v>397705</v>
          </cell>
          <cell r="AQ37">
            <v>2483</v>
          </cell>
          <cell r="AR37">
            <v>14063</v>
          </cell>
          <cell r="AS37">
            <v>0</v>
          </cell>
          <cell r="AT37">
            <v>175.78700000000001</v>
          </cell>
          <cell r="AU37">
            <v>132404</v>
          </cell>
          <cell r="AV37">
            <v>33874.5</v>
          </cell>
          <cell r="AW37">
            <v>98529.8</v>
          </cell>
          <cell r="AX37">
            <v>0.87651999999999997</v>
          </cell>
          <cell r="AY37">
            <v>3.2815699999999999</v>
          </cell>
          <cell r="AZ37">
            <v>18483</v>
          </cell>
          <cell r="BA37">
            <v>33457</v>
          </cell>
          <cell r="BB37">
            <v>2921</v>
          </cell>
          <cell r="BC37">
            <v>50364</v>
          </cell>
          <cell r="BD37">
            <v>29611</v>
          </cell>
          <cell r="BE37">
            <v>5092</v>
          </cell>
          <cell r="BF37">
            <v>17561.900000000001</v>
          </cell>
          <cell r="BG37">
            <v>5048.5600000000004</v>
          </cell>
          <cell r="BH37">
            <v>211.1</v>
          </cell>
          <cell r="BI37">
            <v>5.68</v>
          </cell>
          <cell r="BJ37">
            <v>4.2699999999999996</v>
          </cell>
          <cell r="BK37">
            <v>4.54</v>
          </cell>
          <cell r="BL37">
            <v>49176</v>
          </cell>
          <cell r="BM37">
            <v>7.4166699999999999</v>
          </cell>
          <cell r="BN37">
            <v>4450.1499999999996</v>
          </cell>
          <cell r="BO37">
            <v>1601</v>
          </cell>
          <cell r="BP37">
            <v>462</v>
          </cell>
          <cell r="BQ37">
            <v>412</v>
          </cell>
          <cell r="BR37">
            <v>1719</v>
          </cell>
          <cell r="BS37">
            <v>-105</v>
          </cell>
          <cell r="BT37">
            <v>507</v>
          </cell>
          <cell r="BU37" t="e">
            <v>#N/A</v>
          </cell>
          <cell r="BV37" t="e">
            <v>#N/A</v>
          </cell>
          <cell r="BW37">
            <v>1290</v>
          </cell>
          <cell r="BX37">
            <v>-695</v>
          </cell>
          <cell r="BY37">
            <v>-595</v>
          </cell>
          <cell r="BZ37">
            <v>0.33</v>
          </cell>
          <cell r="CA37" t="e">
            <v>#N/A</v>
          </cell>
          <cell r="CB37" t="e">
            <v>#N/A</v>
          </cell>
          <cell r="CC37" t="e">
            <v>#N/A</v>
          </cell>
          <cell r="CD37" t="e">
            <v>#N/A</v>
          </cell>
          <cell r="CE37" t="e">
            <v>#N/A</v>
          </cell>
        </row>
        <row r="38">
          <cell r="A38">
            <v>200802</v>
          </cell>
          <cell r="B38">
            <v>186</v>
          </cell>
          <cell r="C38">
            <v>339162</v>
          </cell>
          <cell r="D38">
            <v>30513</v>
          </cell>
          <cell r="E38">
            <v>20035.2</v>
          </cell>
          <cell r="F38">
            <v>4209</v>
          </cell>
          <cell r="G38">
            <v>19078</v>
          </cell>
          <cell r="H38">
            <v>4</v>
          </cell>
          <cell r="I38">
            <v>8636</v>
          </cell>
          <cell r="J38">
            <v>51</v>
          </cell>
          <cell r="K38">
            <v>824</v>
          </cell>
          <cell r="L38">
            <v>0</v>
          </cell>
          <cell r="M38">
            <v>101</v>
          </cell>
          <cell r="N38">
            <v>4994</v>
          </cell>
          <cell r="O38">
            <v>738</v>
          </cell>
          <cell r="P38">
            <v>-551</v>
          </cell>
          <cell r="Q38">
            <v>147</v>
          </cell>
          <cell r="R38">
            <v>4333</v>
          </cell>
          <cell r="S38">
            <v>967</v>
          </cell>
          <cell r="T38">
            <v>166</v>
          </cell>
          <cell r="U38">
            <v>2222</v>
          </cell>
          <cell r="V38">
            <v>-81</v>
          </cell>
          <cell r="W38">
            <v>321</v>
          </cell>
          <cell r="X38">
            <v>607.82299999999998</v>
          </cell>
          <cell r="Y38">
            <v>-568</v>
          </cell>
          <cell r="Z38">
            <v>847</v>
          </cell>
          <cell r="AA38">
            <v>625</v>
          </cell>
          <cell r="AB38">
            <v>0</v>
          </cell>
          <cell r="AC38">
            <v>25771</v>
          </cell>
          <cell r="AD38">
            <v>523</v>
          </cell>
          <cell r="AE38">
            <v>-2053</v>
          </cell>
          <cell r="AF38">
            <v>0</v>
          </cell>
          <cell r="AG38">
            <v>2053</v>
          </cell>
          <cell r="AH38">
            <v>-4590</v>
          </cell>
          <cell r="AI38">
            <v>85734</v>
          </cell>
          <cell r="AJ38">
            <v>6290.14</v>
          </cell>
          <cell r="AK38">
            <v>-350.661</v>
          </cell>
          <cell r="AL38">
            <v>4.9470000000000001</v>
          </cell>
          <cell r="AM38">
            <v>-495</v>
          </cell>
          <cell r="AN38">
            <v>-171</v>
          </cell>
          <cell r="AO38">
            <v>592</v>
          </cell>
          <cell r="AP38">
            <v>390250</v>
          </cell>
          <cell r="AQ38">
            <v>1917</v>
          </cell>
          <cell r="AR38">
            <v>0</v>
          </cell>
          <cell r="AS38">
            <v>0</v>
          </cell>
          <cell r="AT38">
            <v>0</v>
          </cell>
          <cell r="AU38">
            <v>139188</v>
          </cell>
          <cell r="AV38">
            <v>39320.9</v>
          </cell>
          <cell r="AW38">
            <v>99867.5</v>
          </cell>
          <cell r="AX38">
            <v>1.1389800000000001</v>
          </cell>
          <cell r="AY38">
            <v>4.5819599999999996</v>
          </cell>
          <cell r="AZ38">
            <v>19457</v>
          </cell>
          <cell r="BA38">
            <v>37260</v>
          </cell>
          <cell r="BB38">
            <v>3249</v>
          </cell>
          <cell r="BC38">
            <v>50577</v>
          </cell>
          <cell r="BD38">
            <v>30699</v>
          </cell>
          <cell r="BE38">
            <v>5063</v>
          </cell>
          <cell r="BF38">
            <v>19947.7</v>
          </cell>
          <cell r="BG38">
            <v>5055.8599999999997</v>
          </cell>
          <cell r="BH38">
            <v>215.3</v>
          </cell>
          <cell r="BI38">
            <v>5.86</v>
          </cell>
          <cell r="BJ38">
            <v>4.74</v>
          </cell>
          <cell r="BK38">
            <v>4.87</v>
          </cell>
          <cell r="BL38">
            <v>49713</v>
          </cell>
          <cell r="BM38">
            <v>7.0333300000000003</v>
          </cell>
          <cell r="BN38">
            <v>4548.53</v>
          </cell>
          <cell r="BO38">
            <v>1285</v>
          </cell>
          <cell r="BP38">
            <v>466</v>
          </cell>
          <cell r="BQ38">
            <v>166</v>
          </cell>
          <cell r="BR38">
            <v>211</v>
          </cell>
          <cell r="BS38">
            <v>-29</v>
          </cell>
          <cell r="BT38">
            <v>328</v>
          </cell>
          <cell r="BU38" t="e">
            <v>#N/A</v>
          </cell>
          <cell r="BV38" t="e">
            <v>#N/A</v>
          </cell>
          <cell r="BW38">
            <v>1100</v>
          </cell>
          <cell r="BX38">
            <v>-564</v>
          </cell>
          <cell r="BY38">
            <v>-536</v>
          </cell>
          <cell r="BZ38">
            <v>0.83</v>
          </cell>
          <cell r="CA38" t="e">
            <v>#N/A</v>
          </cell>
          <cell r="CB38" t="e">
            <v>#N/A</v>
          </cell>
          <cell r="CC38" t="e">
            <v>#N/A</v>
          </cell>
          <cell r="CD38" t="e">
            <v>#N/A</v>
          </cell>
          <cell r="CE38" t="e">
            <v>#N/A</v>
          </cell>
        </row>
        <row r="39">
          <cell r="A39">
            <v>200803</v>
          </cell>
          <cell r="B39">
            <v>191</v>
          </cell>
          <cell r="C39">
            <v>369275</v>
          </cell>
          <cell r="D39">
            <v>37263</v>
          </cell>
          <cell r="E39">
            <v>20187.8</v>
          </cell>
          <cell r="F39">
            <v>4224.4799999999996</v>
          </cell>
          <cell r="G39">
            <v>22033.8</v>
          </cell>
          <cell r="H39">
            <v>3</v>
          </cell>
          <cell r="I39">
            <v>7484</v>
          </cell>
          <cell r="J39">
            <v>57</v>
          </cell>
          <cell r="K39">
            <v>845</v>
          </cell>
          <cell r="L39">
            <v>1</v>
          </cell>
          <cell r="M39">
            <v>138</v>
          </cell>
          <cell r="N39">
            <v>3961</v>
          </cell>
          <cell r="O39">
            <v>1058</v>
          </cell>
          <cell r="P39">
            <v>-914</v>
          </cell>
          <cell r="Q39">
            <v>144</v>
          </cell>
          <cell r="R39">
            <v>4552</v>
          </cell>
          <cell r="S39">
            <v>788</v>
          </cell>
          <cell r="T39">
            <v>108</v>
          </cell>
          <cell r="U39">
            <v>2881</v>
          </cell>
          <cell r="V39">
            <v>-410</v>
          </cell>
          <cell r="W39">
            <v>270</v>
          </cell>
          <cell r="X39">
            <v>2494.39</v>
          </cell>
          <cell r="Y39">
            <v>-926</v>
          </cell>
          <cell r="Z39">
            <v>1027</v>
          </cell>
          <cell r="AA39">
            <v>566</v>
          </cell>
          <cell r="AB39">
            <v>0</v>
          </cell>
          <cell r="AC39">
            <v>25771</v>
          </cell>
          <cell r="AD39">
            <v>1110</v>
          </cell>
          <cell r="AE39">
            <v>-924</v>
          </cell>
          <cell r="AF39">
            <v>0</v>
          </cell>
          <cell r="AG39">
            <v>924</v>
          </cell>
          <cell r="AH39">
            <v>-673</v>
          </cell>
          <cell r="AI39">
            <v>88114.1</v>
          </cell>
          <cell r="AJ39">
            <v>16593.099999999999</v>
          </cell>
          <cell r="AK39">
            <v>288.79000000000002</v>
          </cell>
          <cell r="AL39">
            <v>-1513.99</v>
          </cell>
          <cell r="AM39">
            <v>881</v>
          </cell>
          <cell r="AN39">
            <v>238</v>
          </cell>
          <cell r="AO39">
            <v>535</v>
          </cell>
          <cell r="AP39">
            <v>434112</v>
          </cell>
          <cell r="AQ39">
            <v>2153</v>
          </cell>
          <cell r="AR39">
            <v>692</v>
          </cell>
          <cell r="AS39">
            <v>0</v>
          </cell>
          <cell r="AT39">
            <v>0</v>
          </cell>
          <cell r="AU39">
            <v>143670</v>
          </cell>
          <cell r="AV39">
            <v>43371.9</v>
          </cell>
          <cell r="AW39">
            <v>100298</v>
          </cell>
          <cell r="AX39">
            <v>1.16906</v>
          </cell>
          <cell r="AY39">
            <v>3.5951900000000001</v>
          </cell>
          <cell r="AZ39">
            <v>18904</v>
          </cell>
          <cell r="BA39">
            <v>38250</v>
          </cell>
          <cell r="BB39">
            <v>3416</v>
          </cell>
          <cell r="BC39">
            <v>51312</v>
          </cell>
          <cell r="BD39">
            <v>31278</v>
          </cell>
          <cell r="BE39">
            <v>5227</v>
          </cell>
          <cell r="BF39">
            <v>27623.8</v>
          </cell>
          <cell r="BG39">
            <v>5089.33</v>
          </cell>
          <cell r="BH39">
            <v>217.4</v>
          </cell>
          <cell r="BI39">
            <v>5.81</v>
          </cell>
          <cell r="BJ39">
            <v>4.68</v>
          </cell>
          <cell r="BK39">
            <v>4.79</v>
          </cell>
          <cell r="BL39">
            <v>50309</v>
          </cell>
          <cell r="BM39">
            <v>6.9333299999999998</v>
          </cell>
          <cell r="BN39">
            <v>4646.91</v>
          </cell>
          <cell r="BO39">
            <v>1544</v>
          </cell>
          <cell r="BP39">
            <v>501</v>
          </cell>
          <cell r="BQ39">
            <v>108</v>
          </cell>
          <cell r="BR39">
            <v>710</v>
          </cell>
          <cell r="BS39">
            <v>164</v>
          </cell>
          <cell r="BT39">
            <v>157</v>
          </cell>
          <cell r="BU39" t="e">
            <v>#N/A</v>
          </cell>
          <cell r="BV39" t="e">
            <v>#N/A</v>
          </cell>
          <cell r="BW39">
            <v>1065</v>
          </cell>
          <cell r="BX39">
            <v>-740</v>
          </cell>
          <cell r="BY39">
            <v>-325</v>
          </cell>
          <cell r="BZ39">
            <v>0.81</v>
          </cell>
          <cell r="CA39" t="e">
            <v>#N/A</v>
          </cell>
          <cell r="CB39" t="e">
            <v>#N/A</v>
          </cell>
          <cell r="CC39" t="e">
            <v>#N/A</v>
          </cell>
          <cell r="CD39" t="e">
            <v>#N/A</v>
          </cell>
          <cell r="CE39" t="e">
            <v>#N/A</v>
          </cell>
        </row>
        <row r="40">
          <cell r="A40">
            <v>200804</v>
          </cell>
          <cell r="B40">
            <v>213</v>
          </cell>
          <cell r="C40">
            <v>451814</v>
          </cell>
          <cell r="D40">
            <v>66560</v>
          </cell>
          <cell r="E40">
            <v>42515.6</v>
          </cell>
          <cell r="F40">
            <v>4344.26</v>
          </cell>
          <cell r="G40">
            <v>48639.9</v>
          </cell>
          <cell r="H40">
            <v>3</v>
          </cell>
          <cell r="I40">
            <v>9164</v>
          </cell>
          <cell r="J40">
            <v>56</v>
          </cell>
          <cell r="K40">
            <v>687</v>
          </cell>
          <cell r="L40">
            <v>2</v>
          </cell>
          <cell r="M40">
            <v>122</v>
          </cell>
          <cell r="N40">
            <v>4799</v>
          </cell>
          <cell r="O40">
            <v>1179</v>
          </cell>
          <cell r="P40">
            <v>-983</v>
          </cell>
          <cell r="Q40">
            <v>140</v>
          </cell>
          <cell r="R40">
            <v>4315</v>
          </cell>
          <cell r="S40">
            <v>675</v>
          </cell>
          <cell r="T40">
            <v>147</v>
          </cell>
          <cell r="U40">
            <v>2948</v>
          </cell>
          <cell r="V40">
            <v>-591</v>
          </cell>
          <cell r="W40">
            <v>310</v>
          </cell>
          <cell r="X40">
            <v>-560.68799999999999</v>
          </cell>
          <cell r="Y40">
            <v>-1024</v>
          </cell>
          <cell r="Z40">
            <v>1125</v>
          </cell>
          <cell r="AA40">
            <v>477</v>
          </cell>
          <cell r="AB40">
            <v>0</v>
          </cell>
          <cell r="AC40">
            <v>25771</v>
          </cell>
          <cell r="AD40">
            <v>613</v>
          </cell>
          <cell r="AE40">
            <v>-2247</v>
          </cell>
          <cell r="AF40">
            <v>0</v>
          </cell>
          <cell r="AG40">
            <v>2247</v>
          </cell>
          <cell r="AH40">
            <v>2556</v>
          </cell>
          <cell r="AI40">
            <v>94631.7</v>
          </cell>
          <cell r="AJ40">
            <v>20755.8</v>
          </cell>
          <cell r="AK40">
            <v>340.79700000000003</v>
          </cell>
          <cell r="AL40">
            <v>14.175000000000001</v>
          </cell>
          <cell r="AM40">
            <v>-522</v>
          </cell>
          <cell r="AN40">
            <v>483</v>
          </cell>
          <cell r="AO40">
            <v>443</v>
          </cell>
          <cell r="AP40">
            <v>470306</v>
          </cell>
          <cell r="AQ40">
            <v>2095</v>
          </cell>
          <cell r="AR40">
            <v>379</v>
          </cell>
          <cell r="AS40">
            <v>0</v>
          </cell>
          <cell r="AT40">
            <v>0</v>
          </cell>
          <cell r="AU40">
            <v>148725</v>
          </cell>
          <cell r="AV40">
            <v>48440.5</v>
          </cell>
          <cell r="AW40">
            <v>100285</v>
          </cell>
          <cell r="AX40">
            <v>1.4549399999999999</v>
          </cell>
          <cell r="AY40">
            <v>2.8772799999999998</v>
          </cell>
          <cell r="AZ40">
            <v>18667</v>
          </cell>
          <cell r="BA40">
            <v>35340</v>
          </cell>
          <cell r="BB40">
            <v>3635</v>
          </cell>
          <cell r="BC40">
            <v>51962</v>
          </cell>
          <cell r="BD40">
            <v>32186</v>
          </cell>
          <cell r="BE40">
            <v>5286</v>
          </cell>
          <cell r="BF40">
            <v>31471.7</v>
          </cell>
          <cell r="BG40">
            <v>5850.14</v>
          </cell>
          <cell r="BH40">
            <v>215.5</v>
          </cell>
          <cell r="BI40">
            <v>4.6500000000000004</v>
          </cell>
          <cell r="BJ40">
            <v>3.57</v>
          </cell>
          <cell r="BK40">
            <v>4.54</v>
          </cell>
          <cell r="BL40">
            <v>51802</v>
          </cell>
          <cell r="BM40">
            <v>6.21</v>
          </cell>
          <cell r="BN40">
            <v>4745.29</v>
          </cell>
          <cell r="BO40">
            <v>1559</v>
          </cell>
          <cell r="BP40">
            <v>389</v>
          </cell>
          <cell r="BQ40">
            <v>147</v>
          </cell>
          <cell r="BR40">
            <v>670</v>
          </cell>
          <cell r="BS40">
            <v>59</v>
          </cell>
          <cell r="BT40">
            <v>182</v>
          </cell>
          <cell r="BU40" t="e">
            <v>#N/A</v>
          </cell>
          <cell r="BV40" t="e">
            <v>#N/A</v>
          </cell>
          <cell r="BW40">
            <v>856</v>
          </cell>
          <cell r="BX40">
            <v>-536</v>
          </cell>
          <cell r="BY40">
            <v>-320</v>
          </cell>
          <cell r="BZ40">
            <v>1.28</v>
          </cell>
          <cell r="CA40" t="e">
            <v>#N/A</v>
          </cell>
          <cell r="CB40" t="e">
            <v>#N/A</v>
          </cell>
          <cell r="CC40" t="e">
            <v>#N/A</v>
          </cell>
          <cell r="CD40" t="e">
            <v>#N/A</v>
          </cell>
          <cell r="CE40" t="e">
            <v>#N/A</v>
          </cell>
        </row>
        <row r="41">
          <cell r="A41">
            <v>200901</v>
          </cell>
          <cell r="B41">
            <v>210</v>
          </cell>
          <cell r="C41">
            <v>474043</v>
          </cell>
          <cell r="D41">
            <v>28097</v>
          </cell>
          <cell r="E41">
            <v>38695.300000000003</v>
          </cell>
          <cell r="F41">
            <v>4349.95</v>
          </cell>
          <cell r="G41">
            <v>36000.400000000001</v>
          </cell>
          <cell r="H41">
            <v>1</v>
          </cell>
          <cell r="I41">
            <v>5542</v>
          </cell>
          <cell r="J41">
            <v>19</v>
          </cell>
          <cell r="K41">
            <v>862</v>
          </cell>
          <cell r="L41">
            <v>1</v>
          </cell>
          <cell r="M41">
            <v>90</v>
          </cell>
          <cell r="N41">
            <v>6284</v>
          </cell>
          <cell r="O41">
            <v>2013</v>
          </cell>
          <cell r="P41">
            <v>-1659</v>
          </cell>
          <cell r="Q41">
            <v>122</v>
          </cell>
          <cell r="R41">
            <v>4624</v>
          </cell>
          <cell r="S41">
            <v>201</v>
          </cell>
          <cell r="T41">
            <v>57</v>
          </cell>
          <cell r="U41">
            <v>3715</v>
          </cell>
          <cell r="V41">
            <v>-1608</v>
          </cell>
          <cell r="W41">
            <v>154</v>
          </cell>
          <cell r="X41">
            <v>142.4</v>
          </cell>
          <cell r="Y41">
            <v>-1692</v>
          </cell>
          <cell r="Z41">
            <v>1802</v>
          </cell>
          <cell r="AA41">
            <v>298</v>
          </cell>
          <cell r="AB41">
            <v>0</v>
          </cell>
          <cell r="AC41">
            <v>25771</v>
          </cell>
          <cell r="AD41">
            <v>1126</v>
          </cell>
          <cell r="AE41">
            <v>608</v>
          </cell>
          <cell r="AF41">
            <v>0</v>
          </cell>
          <cell r="AG41">
            <v>-608</v>
          </cell>
          <cell r="AH41">
            <v>6975</v>
          </cell>
          <cell r="AI41">
            <v>97071.5</v>
          </cell>
          <cell r="AJ41">
            <v>36873.599999999999</v>
          </cell>
          <cell r="AK41">
            <v>1.673</v>
          </cell>
          <cell r="AL41">
            <v>4.6520000000000001</v>
          </cell>
          <cell r="AM41">
            <v>531</v>
          </cell>
          <cell r="AN41">
            <v>-462</v>
          </cell>
          <cell r="AO41">
            <v>267</v>
          </cell>
          <cell r="AP41">
            <v>491010</v>
          </cell>
          <cell r="AQ41">
            <v>1245</v>
          </cell>
          <cell r="AR41">
            <v>17229</v>
          </cell>
          <cell r="AS41">
            <v>0</v>
          </cell>
          <cell r="AT41">
            <v>0</v>
          </cell>
          <cell r="AU41">
            <v>154038</v>
          </cell>
          <cell r="AV41">
            <v>52857.4</v>
          </cell>
          <cell r="AW41">
            <v>101179</v>
          </cell>
          <cell r="AX41">
            <v>1.0647</v>
          </cell>
          <cell r="AY41">
            <v>0.82946399999999998</v>
          </cell>
          <cell r="AZ41">
            <v>20101</v>
          </cell>
          <cell r="BA41">
            <v>29442</v>
          </cell>
          <cell r="BB41">
            <v>3865</v>
          </cell>
          <cell r="BC41">
            <v>50508</v>
          </cell>
          <cell r="BD41">
            <v>34298</v>
          </cell>
          <cell r="BE41">
            <v>4879</v>
          </cell>
          <cell r="BF41">
            <v>43740.800000000003</v>
          </cell>
          <cell r="BG41">
            <v>5741.44</v>
          </cell>
          <cell r="BH41">
            <v>210.9</v>
          </cell>
          <cell r="BI41">
            <v>2.0593699999999999</v>
          </cell>
          <cell r="BJ41">
            <v>2.59</v>
          </cell>
          <cell r="BK41">
            <v>4.2</v>
          </cell>
          <cell r="BL41">
            <v>53195</v>
          </cell>
          <cell r="BM41">
            <v>4.3899999999999997</v>
          </cell>
          <cell r="BN41">
            <v>4843.68</v>
          </cell>
          <cell r="BO41">
            <v>1138</v>
          </cell>
          <cell r="BP41">
            <v>50</v>
          </cell>
          <cell r="BQ41">
            <v>57</v>
          </cell>
          <cell r="BR41">
            <v>-1458</v>
          </cell>
          <cell r="BS41">
            <v>-407</v>
          </cell>
          <cell r="BT41">
            <v>404</v>
          </cell>
          <cell r="BU41" t="e">
            <v>#N/A</v>
          </cell>
          <cell r="BV41" t="e">
            <v>#N/A</v>
          </cell>
          <cell r="BW41">
            <v>1249</v>
          </cell>
          <cell r="BX41">
            <v>-711</v>
          </cell>
          <cell r="BY41">
            <v>-538</v>
          </cell>
          <cell r="BZ41">
            <v>0.99</v>
          </cell>
          <cell r="CA41" t="e">
            <v>#N/A</v>
          </cell>
          <cell r="CB41" t="e">
            <v>#N/A</v>
          </cell>
          <cell r="CC41" t="e">
            <v>#N/A</v>
          </cell>
          <cell r="CD41" t="e">
            <v>#N/A</v>
          </cell>
          <cell r="CE41" t="e">
            <v>#N/A</v>
          </cell>
        </row>
        <row r="42">
          <cell r="A42">
            <v>200902</v>
          </cell>
          <cell r="B42">
            <v>191</v>
          </cell>
          <cell r="C42">
            <v>514772</v>
          </cell>
          <cell r="D42">
            <v>53669</v>
          </cell>
          <cell r="E42">
            <v>27576.3</v>
          </cell>
          <cell r="F42">
            <v>4354.8999999999996</v>
          </cell>
          <cell r="G42">
            <v>53891.5</v>
          </cell>
          <cell r="H42">
            <v>2</v>
          </cell>
          <cell r="I42">
            <v>7617</v>
          </cell>
          <cell r="J42">
            <v>12</v>
          </cell>
          <cell r="K42">
            <v>661</v>
          </cell>
          <cell r="L42">
            <v>0</v>
          </cell>
          <cell r="M42">
            <v>35</v>
          </cell>
          <cell r="N42">
            <v>6079</v>
          </cell>
          <cell r="O42">
            <v>922</v>
          </cell>
          <cell r="P42">
            <v>-608</v>
          </cell>
          <cell r="Q42">
            <v>113</v>
          </cell>
          <cell r="R42">
            <v>5050</v>
          </cell>
          <cell r="S42">
            <v>343</v>
          </cell>
          <cell r="T42">
            <v>55</v>
          </cell>
          <cell r="U42">
            <v>2342</v>
          </cell>
          <cell r="V42">
            <v>-593</v>
          </cell>
          <cell r="W42">
            <v>91</v>
          </cell>
          <cell r="X42">
            <v>-1148.46</v>
          </cell>
          <cell r="Y42">
            <v>-606</v>
          </cell>
          <cell r="Z42">
            <v>1012</v>
          </cell>
          <cell r="AA42">
            <v>215</v>
          </cell>
          <cell r="AB42">
            <v>0</v>
          </cell>
          <cell r="AC42">
            <v>25771</v>
          </cell>
          <cell r="AD42">
            <v>690</v>
          </cell>
          <cell r="AE42">
            <v>1301</v>
          </cell>
          <cell r="AF42">
            <v>2174.31</v>
          </cell>
          <cell r="AG42">
            <v>918</v>
          </cell>
          <cell r="AH42">
            <v>-4036</v>
          </cell>
          <cell r="AI42">
            <v>96143.9</v>
          </cell>
          <cell r="AJ42">
            <v>33353.5</v>
          </cell>
          <cell r="AK42">
            <v>-460.721</v>
          </cell>
          <cell r="AL42">
            <v>1.8460000000000001</v>
          </cell>
          <cell r="AM42">
            <v>-371</v>
          </cell>
          <cell r="AN42">
            <v>-63</v>
          </cell>
          <cell r="AO42">
            <v>186</v>
          </cell>
          <cell r="AP42">
            <v>494781</v>
          </cell>
          <cell r="AQ42">
            <v>1042</v>
          </cell>
          <cell r="AR42">
            <v>0</v>
          </cell>
          <cell r="AS42">
            <v>3797.83</v>
          </cell>
          <cell r="AT42">
            <v>0</v>
          </cell>
          <cell r="AU42">
            <v>154817</v>
          </cell>
          <cell r="AV42">
            <v>59099.7</v>
          </cell>
          <cell r="AW42">
            <v>95717.2</v>
          </cell>
          <cell r="AX42">
            <v>0.93384800000000001</v>
          </cell>
          <cell r="AY42">
            <v>1.44977</v>
          </cell>
          <cell r="AZ42">
            <v>18171</v>
          </cell>
          <cell r="BA42">
            <v>32933</v>
          </cell>
          <cell r="BB42">
            <v>4293</v>
          </cell>
          <cell r="BC42">
            <v>50003</v>
          </cell>
          <cell r="BD42">
            <v>36298</v>
          </cell>
          <cell r="BE42">
            <v>4953</v>
          </cell>
          <cell r="BF42">
            <v>53718.6</v>
          </cell>
          <cell r="BG42">
            <v>5670.14</v>
          </cell>
          <cell r="BH42">
            <v>212.6</v>
          </cell>
          <cell r="BI42">
            <v>1.3298399999999999</v>
          </cell>
          <cell r="BJ42">
            <v>2.71</v>
          </cell>
          <cell r="BK42">
            <v>4.37</v>
          </cell>
          <cell r="BL42">
            <v>53966</v>
          </cell>
          <cell r="BM42">
            <v>3.8666700000000001</v>
          </cell>
          <cell r="BN42">
            <v>4942.0600000000004</v>
          </cell>
          <cell r="BO42">
            <v>974</v>
          </cell>
          <cell r="BP42">
            <v>13</v>
          </cell>
          <cell r="BQ42">
            <v>55</v>
          </cell>
          <cell r="BR42">
            <v>-759</v>
          </cell>
          <cell r="BS42">
            <v>74</v>
          </cell>
          <cell r="BT42">
            <v>10</v>
          </cell>
          <cell r="BU42" t="e">
            <v>#N/A</v>
          </cell>
          <cell r="BV42" t="e">
            <v>#N/A</v>
          </cell>
          <cell r="BW42">
            <v>1038</v>
          </cell>
          <cell r="BX42">
            <v>-232</v>
          </cell>
          <cell r="BY42">
            <v>-806</v>
          </cell>
          <cell r="BZ42">
            <v>0.83</v>
          </cell>
          <cell r="CA42" t="e">
            <v>#N/A</v>
          </cell>
          <cell r="CB42" t="e">
            <v>#N/A</v>
          </cell>
          <cell r="CC42" t="e">
            <v>#N/A</v>
          </cell>
          <cell r="CD42" t="e">
            <v>#N/A</v>
          </cell>
          <cell r="CE42" t="e">
            <v>#N/A</v>
          </cell>
        </row>
        <row r="43">
          <cell r="A43">
            <v>200903</v>
          </cell>
          <cell r="B43">
            <v>190</v>
          </cell>
          <cell r="C43">
            <v>577435</v>
          </cell>
          <cell r="D43">
            <v>36893</v>
          </cell>
          <cell r="E43">
            <v>22913.4</v>
          </cell>
          <cell r="F43">
            <v>4381.07</v>
          </cell>
          <cell r="G43">
            <v>63945.599999999999</v>
          </cell>
          <cell r="H43">
            <v>1</v>
          </cell>
          <cell r="I43">
            <v>4077</v>
          </cell>
          <cell r="J43">
            <v>5</v>
          </cell>
          <cell r="K43">
            <v>798</v>
          </cell>
          <cell r="L43">
            <v>0</v>
          </cell>
          <cell r="M43">
            <v>31</v>
          </cell>
          <cell r="N43">
            <v>12374</v>
          </cell>
          <cell r="O43">
            <v>1167</v>
          </cell>
          <cell r="P43">
            <v>-1068</v>
          </cell>
          <cell r="Q43">
            <v>64</v>
          </cell>
          <cell r="R43">
            <v>5544</v>
          </cell>
          <cell r="S43">
            <v>409</v>
          </cell>
          <cell r="T43">
            <v>38</v>
          </cell>
          <cell r="U43">
            <v>2409</v>
          </cell>
          <cell r="V43">
            <v>-1036</v>
          </cell>
          <cell r="W43">
            <v>68</v>
          </cell>
          <cell r="X43">
            <v>350.291</v>
          </cell>
          <cell r="Y43">
            <v>-1069</v>
          </cell>
          <cell r="Z43">
            <v>1137</v>
          </cell>
          <cell r="AA43">
            <v>185</v>
          </cell>
          <cell r="AB43">
            <v>0</v>
          </cell>
          <cell r="AC43">
            <v>25771</v>
          </cell>
          <cell r="AD43">
            <v>1138</v>
          </cell>
          <cell r="AE43">
            <v>2776</v>
          </cell>
          <cell r="AF43">
            <v>0</v>
          </cell>
          <cell r="AG43">
            <v>-2776</v>
          </cell>
          <cell r="AH43">
            <v>26</v>
          </cell>
          <cell r="AI43">
            <v>95244.9</v>
          </cell>
          <cell r="AJ43">
            <v>53074.6</v>
          </cell>
          <cell r="AK43">
            <v>-454.77</v>
          </cell>
          <cell r="AL43">
            <v>-3.5219999999999998</v>
          </cell>
          <cell r="AM43">
            <v>-209</v>
          </cell>
          <cell r="AN43">
            <v>336</v>
          </cell>
          <cell r="AO43">
            <v>155</v>
          </cell>
          <cell r="AP43">
            <v>523259</v>
          </cell>
          <cell r="AQ43">
            <v>698</v>
          </cell>
          <cell r="AR43">
            <v>208</v>
          </cell>
          <cell r="AS43">
            <v>0</v>
          </cell>
          <cell r="AT43">
            <v>4.16</v>
          </cell>
          <cell r="AU43">
            <v>164701</v>
          </cell>
          <cell r="AV43">
            <v>72325.2</v>
          </cell>
          <cell r="AW43">
            <v>92376.3</v>
          </cell>
          <cell r="AX43">
            <v>0.66743799999999998</v>
          </cell>
          <cell r="AY43">
            <v>1.74935</v>
          </cell>
          <cell r="AZ43">
            <v>18346</v>
          </cell>
          <cell r="BA43">
            <v>33060</v>
          </cell>
          <cell r="BB43">
            <v>4326</v>
          </cell>
          <cell r="BC43">
            <v>50566</v>
          </cell>
          <cell r="BD43">
            <v>36896</v>
          </cell>
          <cell r="BE43">
            <v>5029</v>
          </cell>
          <cell r="BF43">
            <v>52119.4</v>
          </cell>
          <cell r="BG43">
            <v>5582.88</v>
          </cell>
          <cell r="BH43">
            <v>214.4</v>
          </cell>
          <cell r="BI43">
            <v>0.82046200000000002</v>
          </cell>
          <cell r="BJ43">
            <v>2.88</v>
          </cell>
          <cell r="BK43">
            <v>4.25</v>
          </cell>
          <cell r="BL43">
            <v>54699</v>
          </cell>
          <cell r="BM43">
            <v>3.98333</v>
          </cell>
          <cell r="BN43">
            <v>5040.4399999999996</v>
          </cell>
          <cell r="BO43">
            <v>629</v>
          </cell>
          <cell r="BP43">
            <v>31</v>
          </cell>
          <cell r="BQ43">
            <v>38</v>
          </cell>
          <cell r="BR43">
            <v>570</v>
          </cell>
          <cell r="BS43">
            <v>76</v>
          </cell>
          <cell r="BT43">
            <v>10</v>
          </cell>
          <cell r="BU43" t="e">
            <v>#N/A</v>
          </cell>
          <cell r="BV43" t="e">
            <v>#N/A</v>
          </cell>
          <cell r="BW43">
            <v>969</v>
          </cell>
          <cell r="BX43">
            <v>-702</v>
          </cell>
          <cell r="BY43">
            <v>-267</v>
          </cell>
          <cell r="BZ43">
            <v>0.32</v>
          </cell>
          <cell r="CA43" t="e">
            <v>#N/A</v>
          </cell>
          <cell r="CB43" t="e">
            <v>#N/A</v>
          </cell>
          <cell r="CC43" t="e">
            <v>#N/A</v>
          </cell>
          <cell r="CD43" t="e">
            <v>#N/A</v>
          </cell>
          <cell r="CE43" t="e">
            <v>#N/A</v>
          </cell>
        </row>
        <row r="44">
          <cell r="A44">
            <v>200904</v>
          </cell>
          <cell r="B44">
            <v>192</v>
          </cell>
          <cell r="C44">
            <v>599769</v>
          </cell>
          <cell r="D44">
            <v>76844</v>
          </cell>
          <cell r="E44">
            <v>24908.7</v>
          </cell>
          <cell r="F44">
            <v>4459.51</v>
          </cell>
          <cell r="G44">
            <v>44622.7</v>
          </cell>
          <cell r="H44">
            <v>2</v>
          </cell>
          <cell r="I44">
            <v>9403</v>
          </cell>
          <cell r="J44">
            <v>11</v>
          </cell>
          <cell r="K44">
            <v>627</v>
          </cell>
          <cell r="L44">
            <v>1</v>
          </cell>
          <cell r="M44">
            <v>61</v>
          </cell>
          <cell r="N44">
            <v>4335</v>
          </cell>
          <cell r="O44">
            <v>1577</v>
          </cell>
          <cell r="P44">
            <v>-1220</v>
          </cell>
          <cell r="Q44">
            <v>50</v>
          </cell>
          <cell r="R44">
            <v>5932</v>
          </cell>
          <cell r="S44">
            <v>579</v>
          </cell>
          <cell r="T44">
            <v>46</v>
          </cell>
          <cell r="U44">
            <v>2862</v>
          </cell>
          <cell r="V44">
            <v>-1171</v>
          </cell>
          <cell r="W44">
            <v>82</v>
          </cell>
          <cell r="X44">
            <v>-61.051000000000002</v>
          </cell>
          <cell r="Y44">
            <v>-1247</v>
          </cell>
          <cell r="Z44">
            <v>1326</v>
          </cell>
          <cell r="AA44">
            <v>133</v>
          </cell>
          <cell r="AB44">
            <v>0</v>
          </cell>
          <cell r="AC44">
            <v>25771</v>
          </cell>
          <cell r="AD44">
            <v>629</v>
          </cell>
          <cell r="AE44">
            <v>-1514</v>
          </cell>
          <cell r="AF44">
            <v>0</v>
          </cell>
          <cell r="AG44">
            <v>1514</v>
          </cell>
          <cell r="AH44">
            <v>3314</v>
          </cell>
          <cell r="AI44">
            <v>98487.9</v>
          </cell>
          <cell r="AJ44">
            <v>31794.400000000001</v>
          </cell>
          <cell r="AK44">
            <v>179.548</v>
          </cell>
          <cell r="AL44">
            <v>2.4870000000000001</v>
          </cell>
          <cell r="AM44">
            <v>-204</v>
          </cell>
          <cell r="AN44">
            <v>-95</v>
          </cell>
          <cell r="AO44">
            <v>107</v>
          </cell>
          <cell r="AP44">
            <v>524948</v>
          </cell>
          <cell r="AQ44">
            <v>884</v>
          </cell>
          <cell r="AR44">
            <v>12585</v>
          </cell>
          <cell r="AS44">
            <v>0</v>
          </cell>
          <cell r="AT44">
            <v>180.90899999999999</v>
          </cell>
          <cell r="AU44">
            <v>170174</v>
          </cell>
          <cell r="AV44">
            <v>77182.7</v>
          </cell>
          <cell r="AW44">
            <v>92991.1</v>
          </cell>
          <cell r="AX44">
            <v>0.57155199999999995</v>
          </cell>
          <cell r="AY44">
            <v>2.4045999999999998</v>
          </cell>
          <cell r="AZ44">
            <v>18305</v>
          </cell>
          <cell r="BA44">
            <v>29843</v>
          </cell>
          <cell r="BB44">
            <v>4319</v>
          </cell>
          <cell r="BC44">
            <v>50753</v>
          </cell>
          <cell r="BD44">
            <v>37717</v>
          </cell>
          <cell r="BE44">
            <v>5177</v>
          </cell>
          <cell r="BF44">
            <v>57446.6</v>
          </cell>
          <cell r="BG44">
            <v>5758.04</v>
          </cell>
          <cell r="BH44">
            <v>216.9</v>
          </cell>
          <cell r="BI44">
            <v>0.58984400000000003</v>
          </cell>
          <cell r="BJ44">
            <v>2.72</v>
          </cell>
          <cell r="BK44">
            <v>4.2</v>
          </cell>
          <cell r="BL44">
            <v>55421</v>
          </cell>
          <cell r="BM44">
            <v>3.9533299999999998</v>
          </cell>
          <cell r="BN44">
            <v>5138.82</v>
          </cell>
          <cell r="BO44">
            <v>791</v>
          </cell>
          <cell r="BP44">
            <v>47</v>
          </cell>
          <cell r="BQ44">
            <v>46</v>
          </cell>
          <cell r="BR44">
            <v>159</v>
          </cell>
          <cell r="BS44">
            <v>148</v>
          </cell>
          <cell r="BT44">
            <v>908</v>
          </cell>
          <cell r="BU44" t="e">
            <v>#N/A</v>
          </cell>
          <cell r="BV44" t="e">
            <v>#N/A</v>
          </cell>
          <cell r="BW44">
            <v>1000</v>
          </cell>
          <cell r="BX44">
            <v>-498</v>
          </cell>
          <cell r="BY44">
            <v>-502</v>
          </cell>
          <cell r="BZ44">
            <v>0.09</v>
          </cell>
          <cell r="CA44" t="e">
            <v>#N/A</v>
          </cell>
          <cell r="CB44" t="e">
            <v>#N/A</v>
          </cell>
          <cell r="CC44" t="e">
            <v>#N/A</v>
          </cell>
          <cell r="CD44" t="e">
            <v>#N/A</v>
          </cell>
          <cell r="CE44" t="e">
            <v>#N/A</v>
          </cell>
        </row>
        <row r="45">
          <cell r="A45">
            <v>201001</v>
          </cell>
          <cell r="B45">
            <v>172</v>
          </cell>
          <cell r="C45">
            <v>641117</v>
          </cell>
          <cell r="D45">
            <v>31415</v>
          </cell>
          <cell r="E45">
            <v>19970</v>
          </cell>
          <cell r="F45">
            <v>4459.6000000000004</v>
          </cell>
          <cell r="G45">
            <v>47938.3</v>
          </cell>
          <cell r="H45">
            <v>2</v>
          </cell>
          <cell r="I45">
            <v>9322</v>
          </cell>
          <cell r="J45">
            <v>10</v>
          </cell>
          <cell r="K45">
            <v>836</v>
          </cell>
          <cell r="L45">
            <v>1</v>
          </cell>
          <cell r="M45">
            <v>52</v>
          </cell>
          <cell r="N45">
            <v>6534</v>
          </cell>
          <cell r="O45">
            <v>2087</v>
          </cell>
          <cell r="P45">
            <v>-1745</v>
          </cell>
          <cell r="Q45">
            <v>172</v>
          </cell>
          <cell r="R45">
            <v>6303</v>
          </cell>
          <cell r="S45">
            <v>559</v>
          </cell>
          <cell r="T45">
            <v>98</v>
          </cell>
          <cell r="U45">
            <v>3510</v>
          </cell>
          <cell r="V45">
            <v>-1692</v>
          </cell>
          <cell r="W45">
            <v>130</v>
          </cell>
          <cell r="X45">
            <v>-3147.02</v>
          </cell>
          <cell r="Y45">
            <v>-1803</v>
          </cell>
          <cell r="Z45">
            <v>1835</v>
          </cell>
          <cell r="AA45">
            <v>0</v>
          </cell>
          <cell r="AB45">
            <v>0</v>
          </cell>
          <cell r="AC45">
            <v>25771</v>
          </cell>
          <cell r="AD45">
            <v>1137</v>
          </cell>
          <cell r="AE45">
            <v>-1555</v>
          </cell>
          <cell r="AF45">
            <v>0</v>
          </cell>
          <cell r="AG45">
            <v>1555</v>
          </cell>
          <cell r="AH45">
            <v>5286</v>
          </cell>
          <cell r="AI45">
            <v>98694.9</v>
          </cell>
          <cell r="AJ45">
            <v>44559.199999999997</v>
          </cell>
          <cell r="AK45">
            <v>-996.89800000000002</v>
          </cell>
          <cell r="AL45">
            <v>-4.173</v>
          </cell>
          <cell r="AM45">
            <v>700</v>
          </cell>
          <cell r="AN45">
            <v>340</v>
          </cell>
          <cell r="AO45">
            <v>0</v>
          </cell>
          <cell r="AP45">
            <v>563856</v>
          </cell>
          <cell r="AQ45">
            <v>736</v>
          </cell>
          <cell r="AR45">
            <v>0</v>
          </cell>
          <cell r="AS45">
            <v>0</v>
          </cell>
          <cell r="AT45">
            <v>0</v>
          </cell>
          <cell r="AU45">
            <v>178170</v>
          </cell>
          <cell r="AV45">
            <v>84344.1</v>
          </cell>
          <cell r="AW45">
            <v>93826.2</v>
          </cell>
          <cell r="AX45">
            <v>0.33113500000000001</v>
          </cell>
          <cell r="AY45">
            <v>2.3029299999999999</v>
          </cell>
          <cell r="AZ45">
            <v>19219</v>
          </cell>
          <cell r="BA45">
            <v>25271</v>
          </cell>
          <cell r="BB45">
            <v>4900</v>
          </cell>
          <cell r="BC45">
            <v>51164</v>
          </cell>
          <cell r="BD45">
            <v>39234</v>
          </cell>
          <cell r="BE45">
            <v>5617</v>
          </cell>
          <cell r="BF45">
            <v>62860</v>
          </cell>
          <cell r="BG45">
            <v>5440.24</v>
          </cell>
          <cell r="BH45">
            <v>219.3</v>
          </cell>
          <cell r="BI45">
            <v>0.6</v>
          </cell>
          <cell r="BJ45">
            <v>2.87</v>
          </cell>
          <cell r="BK45">
            <v>4.51</v>
          </cell>
          <cell r="BL45">
            <v>56218</v>
          </cell>
          <cell r="BM45">
            <v>4.0566700000000004</v>
          </cell>
          <cell r="BN45">
            <v>5237.21</v>
          </cell>
          <cell r="BO45">
            <v>587</v>
          </cell>
          <cell r="BP45">
            <v>51</v>
          </cell>
          <cell r="BQ45">
            <v>98</v>
          </cell>
          <cell r="BR45">
            <v>398</v>
          </cell>
          <cell r="BS45">
            <v>440</v>
          </cell>
          <cell r="BT45">
            <v>182</v>
          </cell>
          <cell r="BU45" t="e">
            <v>#N/A</v>
          </cell>
          <cell r="BV45" t="e">
            <v>#N/A</v>
          </cell>
          <cell r="BW45">
            <v>1187</v>
          </cell>
          <cell r="BX45">
            <v>-725</v>
          </cell>
          <cell r="BY45">
            <v>-462</v>
          </cell>
          <cell r="BZ45">
            <v>0.1</v>
          </cell>
          <cell r="CA45" t="e">
            <v>#N/A</v>
          </cell>
          <cell r="CB45" t="e">
            <v>#N/A</v>
          </cell>
          <cell r="CC45" t="e">
            <v>#N/A</v>
          </cell>
          <cell r="CD45" t="e">
            <v>#N/A</v>
          </cell>
          <cell r="CE45" t="e">
            <v>#N/A</v>
          </cell>
        </row>
        <row r="46">
          <cell r="A46">
            <v>201002</v>
          </cell>
          <cell r="B46">
            <v>177</v>
          </cell>
          <cell r="C46">
            <v>697431</v>
          </cell>
          <cell r="D46">
            <v>51636</v>
          </cell>
          <cell r="E46">
            <v>14531.7</v>
          </cell>
          <cell r="F46">
            <v>4462.46</v>
          </cell>
          <cell r="G46">
            <v>41618.800000000003</v>
          </cell>
          <cell r="H46">
            <v>3</v>
          </cell>
          <cell r="I46">
            <v>11842</v>
          </cell>
          <cell r="J46">
            <v>13</v>
          </cell>
          <cell r="K46">
            <v>584</v>
          </cell>
          <cell r="L46">
            <v>1</v>
          </cell>
          <cell r="M46">
            <v>53</v>
          </cell>
          <cell r="N46">
            <v>9953</v>
          </cell>
          <cell r="O46">
            <v>817</v>
          </cell>
          <cell r="P46">
            <v>-664</v>
          </cell>
          <cell r="Q46">
            <v>118</v>
          </cell>
          <cell r="R46">
            <v>6587</v>
          </cell>
          <cell r="S46">
            <v>798</v>
          </cell>
          <cell r="T46">
            <v>53</v>
          </cell>
          <cell r="U46">
            <v>1890</v>
          </cell>
          <cell r="V46">
            <v>-605</v>
          </cell>
          <cell r="W46">
            <v>83</v>
          </cell>
          <cell r="X46">
            <v>358.005</v>
          </cell>
          <cell r="Y46">
            <v>-670</v>
          </cell>
          <cell r="Z46">
            <v>941</v>
          </cell>
          <cell r="AA46">
            <v>0</v>
          </cell>
          <cell r="AB46">
            <v>0</v>
          </cell>
          <cell r="AC46">
            <v>25771</v>
          </cell>
          <cell r="AD46">
            <v>688</v>
          </cell>
          <cell r="AE46">
            <v>-3129</v>
          </cell>
          <cell r="AF46">
            <v>0</v>
          </cell>
          <cell r="AG46">
            <v>3129</v>
          </cell>
          <cell r="AH46">
            <v>-6912</v>
          </cell>
          <cell r="AI46">
            <v>101196</v>
          </cell>
          <cell r="AJ46">
            <v>33283.199999999997</v>
          </cell>
          <cell r="AK46">
            <v>-219.98099999999999</v>
          </cell>
          <cell r="AL46">
            <v>-267.09399999999999</v>
          </cell>
          <cell r="AM46">
            <v>13</v>
          </cell>
          <cell r="AN46">
            <v>-429</v>
          </cell>
          <cell r="AO46">
            <v>0</v>
          </cell>
          <cell r="AP46">
            <v>563328</v>
          </cell>
          <cell r="AQ46">
            <v>598</v>
          </cell>
          <cell r="AR46">
            <v>15617</v>
          </cell>
          <cell r="AS46">
            <v>0</v>
          </cell>
          <cell r="AT46">
            <v>189.869</v>
          </cell>
          <cell r="AU46">
            <v>191256</v>
          </cell>
          <cell r="AV46">
            <v>96284.9</v>
          </cell>
          <cell r="AW46">
            <v>94970.6</v>
          </cell>
          <cell r="AX46">
            <v>0.32006000000000001</v>
          </cell>
          <cell r="AY46">
            <v>3.2210700000000001</v>
          </cell>
          <cell r="AZ46">
            <v>18692</v>
          </cell>
          <cell r="BA46">
            <v>31857</v>
          </cell>
          <cell r="BB46">
            <v>4890</v>
          </cell>
          <cell r="BC46">
            <v>53430</v>
          </cell>
          <cell r="BD46">
            <v>41612</v>
          </cell>
          <cell r="BE46">
            <v>5272</v>
          </cell>
          <cell r="BF46">
            <v>64604.2</v>
          </cell>
          <cell r="BG46">
            <v>5500.91</v>
          </cell>
          <cell r="BH46">
            <v>223.5</v>
          </cell>
          <cell r="BI46">
            <v>0.66</v>
          </cell>
          <cell r="BJ46">
            <v>2.5299999999999998</v>
          </cell>
          <cell r="BK46">
            <v>4.3600000000000003</v>
          </cell>
          <cell r="BL46">
            <v>56981</v>
          </cell>
          <cell r="BM46">
            <v>3.95</v>
          </cell>
          <cell r="BN46">
            <v>5335.59</v>
          </cell>
          <cell r="BO46">
            <v>489</v>
          </cell>
          <cell r="BP46">
            <v>56</v>
          </cell>
          <cell r="BQ46">
            <v>53</v>
          </cell>
          <cell r="BR46">
            <v>2255</v>
          </cell>
          <cell r="BS46">
            <v>-345</v>
          </cell>
          <cell r="BT46">
            <v>12</v>
          </cell>
          <cell r="BU46" t="e">
            <v>#N/A</v>
          </cell>
          <cell r="BV46" t="e">
            <v>#N/A</v>
          </cell>
          <cell r="BW46">
            <v>785</v>
          </cell>
          <cell r="BX46">
            <v>-287</v>
          </cell>
          <cell r="BY46">
            <v>-498</v>
          </cell>
          <cell r="BZ46">
            <v>0.16</v>
          </cell>
          <cell r="CA46" t="e">
            <v>#N/A</v>
          </cell>
          <cell r="CB46" t="e">
            <v>#N/A</v>
          </cell>
          <cell r="CC46" t="e">
            <v>#N/A</v>
          </cell>
          <cell r="CD46" t="e">
            <v>#N/A</v>
          </cell>
          <cell r="CE46" t="e">
            <v>#N/A</v>
          </cell>
        </row>
        <row r="47">
          <cell r="A47">
            <v>201003</v>
          </cell>
          <cell r="B47">
            <v>179</v>
          </cell>
          <cell r="C47">
            <v>745313</v>
          </cell>
          <cell r="D47">
            <v>27975</v>
          </cell>
          <cell r="E47">
            <v>11761.1</v>
          </cell>
          <cell r="F47">
            <v>4487.8500000000004</v>
          </cell>
          <cell r="G47">
            <v>41923.1</v>
          </cell>
          <cell r="H47">
            <v>5</v>
          </cell>
          <cell r="I47">
            <v>9572</v>
          </cell>
          <cell r="J47">
            <v>14</v>
          </cell>
          <cell r="K47">
            <v>857</v>
          </cell>
          <cell r="L47">
            <v>1</v>
          </cell>
          <cell r="M47">
            <v>35</v>
          </cell>
          <cell r="N47">
            <v>10942</v>
          </cell>
          <cell r="O47">
            <v>1241</v>
          </cell>
          <cell r="P47">
            <v>-1111</v>
          </cell>
          <cell r="Q47">
            <v>98</v>
          </cell>
          <cell r="R47">
            <v>6801</v>
          </cell>
          <cell r="S47">
            <v>504</v>
          </cell>
          <cell r="T47">
            <v>54</v>
          </cell>
          <cell r="U47">
            <v>2640</v>
          </cell>
          <cell r="V47">
            <v>-1031</v>
          </cell>
          <cell r="W47">
            <v>85</v>
          </cell>
          <cell r="X47">
            <v>-1493.61</v>
          </cell>
          <cell r="Y47">
            <v>-1119</v>
          </cell>
          <cell r="Z47">
            <v>1180</v>
          </cell>
          <cell r="AA47">
            <v>0</v>
          </cell>
          <cell r="AB47">
            <v>0</v>
          </cell>
          <cell r="AC47">
            <v>25771</v>
          </cell>
          <cell r="AD47">
            <v>1209</v>
          </cell>
          <cell r="AE47">
            <v>-1225</v>
          </cell>
          <cell r="AF47">
            <v>0</v>
          </cell>
          <cell r="AG47">
            <v>1225</v>
          </cell>
          <cell r="AH47">
            <v>-650</v>
          </cell>
          <cell r="AI47">
            <v>101792</v>
          </cell>
          <cell r="AJ47">
            <v>45005.1</v>
          </cell>
          <cell r="AK47">
            <v>968.65700000000004</v>
          </cell>
          <cell r="AL47">
            <v>-78.399000000000001</v>
          </cell>
          <cell r="AM47">
            <v>75</v>
          </cell>
          <cell r="AN47">
            <v>-827</v>
          </cell>
          <cell r="AO47">
            <v>0</v>
          </cell>
          <cell r="AP47">
            <v>569954</v>
          </cell>
          <cell r="AQ47">
            <v>671</v>
          </cell>
          <cell r="AR47">
            <v>0</v>
          </cell>
          <cell r="AS47">
            <v>0</v>
          </cell>
          <cell r="AT47">
            <v>0</v>
          </cell>
          <cell r="AU47">
            <v>203673</v>
          </cell>
          <cell r="AV47">
            <v>107867</v>
          </cell>
          <cell r="AW47">
            <v>95805.2</v>
          </cell>
          <cell r="AX47">
            <v>0.104354</v>
          </cell>
          <cell r="AY47">
            <v>1.0069399999999999</v>
          </cell>
          <cell r="AZ47">
            <v>18191</v>
          </cell>
          <cell r="BA47">
            <v>32354</v>
          </cell>
          <cell r="BB47">
            <v>5052</v>
          </cell>
          <cell r="BC47">
            <v>54181</v>
          </cell>
          <cell r="BD47">
            <v>42204</v>
          </cell>
          <cell r="BE47">
            <v>5344</v>
          </cell>
          <cell r="BF47">
            <v>65197.9</v>
          </cell>
          <cell r="BG47">
            <v>5431.93</v>
          </cell>
          <cell r="BH47">
            <v>224.5</v>
          </cell>
          <cell r="BI47">
            <v>0.75</v>
          </cell>
          <cell r="BJ47">
            <v>2.0299999999999998</v>
          </cell>
          <cell r="BK47">
            <v>4.03</v>
          </cell>
          <cell r="BL47">
            <v>57269</v>
          </cell>
          <cell r="BM47">
            <v>3.93</v>
          </cell>
          <cell r="BN47">
            <v>5433.97</v>
          </cell>
          <cell r="BO47">
            <v>542</v>
          </cell>
          <cell r="BP47">
            <v>75</v>
          </cell>
          <cell r="BQ47">
            <v>54</v>
          </cell>
          <cell r="BR47">
            <v>758</v>
          </cell>
          <cell r="BS47">
            <v>72</v>
          </cell>
          <cell r="BT47">
            <v>-2</v>
          </cell>
          <cell r="BU47" t="e">
            <v>#N/A</v>
          </cell>
          <cell r="BV47" t="e">
            <v>#N/A</v>
          </cell>
          <cell r="BW47">
            <v>1088</v>
          </cell>
          <cell r="BX47">
            <v>-766</v>
          </cell>
          <cell r="BY47">
            <v>-322</v>
          </cell>
          <cell r="BZ47">
            <v>0.25</v>
          </cell>
          <cell r="CA47" t="e">
            <v>#N/A</v>
          </cell>
          <cell r="CB47" t="e">
            <v>#N/A</v>
          </cell>
          <cell r="CC47" t="e">
            <v>#N/A</v>
          </cell>
          <cell r="CD47" t="e">
            <v>#N/A</v>
          </cell>
          <cell r="CE47" t="e">
            <v>#N/A</v>
          </cell>
        </row>
        <row r="48">
          <cell r="A48">
            <v>201004</v>
          </cell>
          <cell r="B48">
            <v>184</v>
          </cell>
          <cell r="C48">
            <v>749597</v>
          </cell>
          <cell r="D48">
            <v>44645</v>
          </cell>
          <cell r="E48">
            <v>14045.6</v>
          </cell>
          <cell r="F48">
            <v>4608.37</v>
          </cell>
          <cell r="G48">
            <v>30945.1</v>
          </cell>
          <cell r="H48">
            <v>3</v>
          </cell>
          <cell r="I48">
            <v>12223</v>
          </cell>
          <cell r="J48">
            <v>21</v>
          </cell>
          <cell r="K48">
            <v>644</v>
          </cell>
          <cell r="L48">
            <v>3</v>
          </cell>
          <cell r="M48">
            <v>70</v>
          </cell>
          <cell r="N48">
            <v>0</v>
          </cell>
          <cell r="O48">
            <v>1237</v>
          </cell>
          <cell r="P48">
            <v>-1065</v>
          </cell>
          <cell r="Q48">
            <v>103</v>
          </cell>
          <cell r="R48">
            <v>7043</v>
          </cell>
          <cell r="S48">
            <v>612</v>
          </cell>
          <cell r="T48">
            <v>52</v>
          </cell>
          <cell r="U48">
            <v>2435</v>
          </cell>
          <cell r="V48">
            <v>-978</v>
          </cell>
          <cell r="W48">
            <v>92</v>
          </cell>
          <cell r="X48">
            <v>-1550.23</v>
          </cell>
          <cell r="Y48">
            <v>-1099</v>
          </cell>
          <cell r="Z48">
            <v>1173</v>
          </cell>
          <cell r="AA48">
            <v>0</v>
          </cell>
          <cell r="AB48">
            <v>0</v>
          </cell>
          <cell r="AC48">
            <v>25771</v>
          </cell>
          <cell r="AD48">
            <v>777</v>
          </cell>
          <cell r="AE48">
            <v>-3225</v>
          </cell>
          <cell r="AF48">
            <v>0</v>
          </cell>
          <cell r="AG48">
            <v>3225</v>
          </cell>
          <cell r="AH48">
            <v>2152</v>
          </cell>
          <cell r="AI48">
            <v>99819.7</v>
          </cell>
          <cell r="AJ48">
            <v>19942.400000000001</v>
          </cell>
          <cell r="AK48">
            <v>-292.517</v>
          </cell>
          <cell r="AL48">
            <v>-145.68799999999999</v>
          </cell>
          <cell r="AM48">
            <v>50</v>
          </cell>
          <cell r="AN48">
            <v>-78</v>
          </cell>
          <cell r="AO48">
            <v>0</v>
          </cell>
          <cell r="AP48">
            <v>546975</v>
          </cell>
          <cell r="AQ48">
            <v>690</v>
          </cell>
          <cell r="AR48">
            <v>4480</v>
          </cell>
          <cell r="AS48">
            <v>0</v>
          </cell>
          <cell r="AT48">
            <v>70</v>
          </cell>
          <cell r="AU48">
            <v>211696</v>
          </cell>
          <cell r="AV48">
            <v>113736</v>
          </cell>
          <cell r="AW48">
            <v>97960.3</v>
          </cell>
          <cell r="AX48">
            <v>8.9480699999999996E-2</v>
          </cell>
          <cell r="AY48">
            <v>1.0075000000000001</v>
          </cell>
          <cell r="AZ48">
            <v>18090</v>
          </cell>
          <cell r="BA48">
            <v>30284</v>
          </cell>
          <cell r="BB48">
            <v>5404</v>
          </cell>
          <cell r="BC48">
            <v>53744</v>
          </cell>
          <cell r="BD48">
            <v>43022</v>
          </cell>
          <cell r="BE48">
            <v>5658</v>
          </cell>
          <cell r="BF48">
            <v>55370.6</v>
          </cell>
          <cell r="BG48">
            <v>5451.26</v>
          </cell>
          <cell r="BH48">
            <v>227</v>
          </cell>
          <cell r="BI48">
            <v>0.75</v>
          </cell>
          <cell r="BJ48">
            <v>2.0299999999999998</v>
          </cell>
          <cell r="BK48">
            <v>4.0999999999999996</v>
          </cell>
          <cell r="BL48">
            <v>57640</v>
          </cell>
          <cell r="BM48">
            <v>3.91</v>
          </cell>
          <cell r="BN48">
            <v>5532.35</v>
          </cell>
          <cell r="BO48">
            <v>554</v>
          </cell>
          <cell r="BP48">
            <v>84</v>
          </cell>
          <cell r="BQ48">
            <v>52</v>
          </cell>
          <cell r="BR48">
            <v>-667</v>
          </cell>
          <cell r="BS48">
            <v>314</v>
          </cell>
          <cell r="BT48">
            <v>703</v>
          </cell>
          <cell r="BU48" t="e">
            <v>#N/A</v>
          </cell>
          <cell r="BV48" t="e">
            <v>#N/A</v>
          </cell>
          <cell r="BW48">
            <v>816</v>
          </cell>
          <cell r="BX48">
            <v>-518</v>
          </cell>
          <cell r="BY48">
            <v>-298</v>
          </cell>
          <cell r="BZ48">
            <v>0.25</v>
          </cell>
          <cell r="CA48" t="e">
            <v>#N/A</v>
          </cell>
          <cell r="CB48" t="e">
            <v>#N/A</v>
          </cell>
          <cell r="CC48" t="e">
            <v>#N/A</v>
          </cell>
          <cell r="CD48" t="e">
            <v>#N/A</v>
          </cell>
          <cell r="CE48" t="e">
            <v>#N/A</v>
          </cell>
        </row>
        <row r="49">
          <cell r="A49">
            <v>201101</v>
          </cell>
          <cell r="B49">
            <v>187</v>
          </cell>
          <cell r="C49">
            <v>739091</v>
          </cell>
          <cell r="D49">
            <v>15405</v>
          </cell>
          <cell r="E49">
            <v>14000.1</v>
          </cell>
          <cell r="F49">
            <v>4610.71</v>
          </cell>
          <cell r="G49">
            <v>13124.2</v>
          </cell>
          <cell r="H49">
            <v>5</v>
          </cell>
          <cell r="I49">
            <v>11003</v>
          </cell>
          <cell r="J49">
            <v>-2</v>
          </cell>
          <cell r="K49">
            <v>889</v>
          </cell>
          <cell r="L49">
            <v>4</v>
          </cell>
          <cell r="M49">
            <v>60</v>
          </cell>
          <cell r="N49">
            <v>0</v>
          </cell>
          <cell r="O49">
            <v>1680</v>
          </cell>
          <cell r="P49">
            <v>-1505</v>
          </cell>
          <cell r="Q49">
            <v>101</v>
          </cell>
          <cell r="R49">
            <v>7217</v>
          </cell>
          <cell r="S49">
            <v>666</v>
          </cell>
          <cell r="T49">
            <v>54</v>
          </cell>
          <cell r="U49">
            <v>3092</v>
          </cell>
          <cell r="V49">
            <v>-1419</v>
          </cell>
          <cell r="W49">
            <v>70</v>
          </cell>
          <cell r="X49">
            <v>-3294.08</v>
          </cell>
          <cell r="Y49">
            <v>-1584</v>
          </cell>
          <cell r="Z49">
            <v>1639</v>
          </cell>
          <cell r="AA49">
            <v>0</v>
          </cell>
          <cell r="AB49">
            <v>0</v>
          </cell>
          <cell r="AC49">
            <v>25771</v>
          </cell>
          <cell r="AD49">
            <v>1230</v>
          </cell>
          <cell r="AE49">
            <v>-2024</v>
          </cell>
          <cell r="AF49">
            <v>0</v>
          </cell>
          <cell r="AG49">
            <v>2024</v>
          </cell>
          <cell r="AH49">
            <v>4225</v>
          </cell>
          <cell r="AI49">
            <v>98837.8</v>
          </cell>
          <cell r="AJ49">
            <v>20466.599999999999</v>
          </cell>
          <cell r="AK49">
            <v>-336.791</v>
          </cell>
          <cell r="AL49">
            <v>-251.012</v>
          </cell>
          <cell r="AM49">
            <v>362</v>
          </cell>
          <cell r="AN49">
            <v>434</v>
          </cell>
          <cell r="AO49">
            <v>0</v>
          </cell>
          <cell r="AP49">
            <v>562467</v>
          </cell>
          <cell r="AQ49">
            <v>658</v>
          </cell>
          <cell r="AR49">
            <v>18489</v>
          </cell>
          <cell r="AS49">
            <v>0</v>
          </cell>
          <cell r="AT49">
            <v>196.446</v>
          </cell>
          <cell r="AU49">
            <v>220631</v>
          </cell>
          <cell r="AV49">
            <v>122321</v>
          </cell>
          <cell r="AW49">
            <v>98310.8</v>
          </cell>
          <cell r="AX49">
            <v>0.33484799999999998</v>
          </cell>
          <cell r="AY49">
            <v>0.99907299999999999</v>
          </cell>
          <cell r="AZ49">
            <v>18921</v>
          </cell>
          <cell r="BA49">
            <v>26832</v>
          </cell>
          <cell r="BB49">
            <v>5709</v>
          </cell>
          <cell r="BC49">
            <v>53273</v>
          </cell>
          <cell r="BD49">
            <v>44318</v>
          </cell>
          <cell r="BE49">
            <v>5604</v>
          </cell>
          <cell r="BF49">
            <v>63168.7</v>
          </cell>
          <cell r="BG49">
            <v>5301.48</v>
          </cell>
          <cell r="BH49">
            <v>230.9</v>
          </cell>
          <cell r="BI49">
            <v>0.78</v>
          </cell>
          <cell r="BJ49">
            <v>2.6002999999999998</v>
          </cell>
          <cell r="BK49">
            <v>4.3441000000000001</v>
          </cell>
          <cell r="BL49">
            <v>58270</v>
          </cell>
          <cell r="BM49">
            <v>4.03667</v>
          </cell>
          <cell r="BN49">
            <v>5630.74</v>
          </cell>
          <cell r="BO49">
            <v>523</v>
          </cell>
          <cell r="BP49">
            <v>81</v>
          </cell>
          <cell r="BQ49">
            <v>54</v>
          </cell>
          <cell r="BR49">
            <v>-388</v>
          </cell>
          <cell r="BS49">
            <v>-54</v>
          </cell>
          <cell r="BT49">
            <v>447</v>
          </cell>
          <cell r="BU49" t="e">
            <v>#N/A</v>
          </cell>
          <cell r="BV49" t="e">
            <v>#N/A</v>
          </cell>
          <cell r="BW49">
            <v>1085</v>
          </cell>
          <cell r="BX49">
            <v>-738</v>
          </cell>
          <cell r="BY49">
            <v>-347</v>
          </cell>
          <cell r="BZ49">
            <v>0.28000000000000003</v>
          </cell>
          <cell r="CA49" t="e">
            <v>#N/A</v>
          </cell>
          <cell r="CB49" t="e">
            <v>#N/A</v>
          </cell>
          <cell r="CC49" t="e">
            <v>#N/A</v>
          </cell>
          <cell r="CD49" t="e">
            <v>#N/A</v>
          </cell>
          <cell r="CE49" t="e">
            <v>#N/A</v>
          </cell>
        </row>
        <row r="50">
          <cell r="A50">
            <v>201102</v>
          </cell>
          <cell r="B50">
            <v>200</v>
          </cell>
          <cell r="C50">
            <v>789412</v>
          </cell>
          <cell r="D50">
            <v>41754.699999999997</v>
          </cell>
          <cell r="E50">
            <v>17048</v>
          </cell>
          <cell r="F50">
            <v>4618.63</v>
          </cell>
          <cell r="G50">
            <v>46399.9</v>
          </cell>
          <cell r="H50">
            <v>4</v>
          </cell>
          <cell r="I50">
            <v>13482</v>
          </cell>
          <cell r="J50">
            <v>0</v>
          </cell>
          <cell r="K50">
            <v>586</v>
          </cell>
          <cell r="L50">
            <v>2</v>
          </cell>
          <cell r="M50">
            <v>45</v>
          </cell>
          <cell r="N50">
            <v>0</v>
          </cell>
          <cell r="O50">
            <v>714</v>
          </cell>
          <cell r="P50">
            <v>-593</v>
          </cell>
          <cell r="Q50">
            <v>84</v>
          </cell>
          <cell r="R50">
            <v>7501</v>
          </cell>
          <cell r="S50">
            <v>871</v>
          </cell>
          <cell r="T50">
            <v>63</v>
          </cell>
          <cell r="U50">
            <v>1880</v>
          </cell>
          <cell r="V50">
            <v>-510</v>
          </cell>
          <cell r="W50">
            <v>74</v>
          </cell>
          <cell r="X50">
            <v>-2011.46</v>
          </cell>
          <cell r="Y50">
            <v>-595</v>
          </cell>
          <cell r="Z50">
            <v>896</v>
          </cell>
          <cell r="AA50">
            <v>0</v>
          </cell>
          <cell r="AB50">
            <v>0</v>
          </cell>
          <cell r="AC50">
            <v>25771</v>
          </cell>
          <cell r="AD50">
            <v>866</v>
          </cell>
          <cell r="AE50">
            <v>-3899</v>
          </cell>
          <cell r="AF50">
            <v>0</v>
          </cell>
          <cell r="AG50">
            <v>3899</v>
          </cell>
          <cell r="AH50">
            <v>-4565</v>
          </cell>
          <cell r="AI50">
            <v>102896</v>
          </cell>
          <cell r="AJ50">
            <v>33610.800000000003</v>
          </cell>
          <cell r="AK50">
            <v>-206.68600000000001</v>
          </cell>
          <cell r="AL50">
            <v>-0.67900000000000005</v>
          </cell>
          <cell r="AM50">
            <v>-1120</v>
          </cell>
          <cell r="AN50">
            <v>-594</v>
          </cell>
          <cell r="AO50">
            <v>0</v>
          </cell>
          <cell r="AP50">
            <v>583890</v>
          </cell>
          <cell r="AQ50">
            <v>718</v>
          </cell>
          <cell r="AR50">
            <v>0</v>
          </cell>
          <cell r="AS50">
            <v>0</v>
          </cell>
          <cell r="AT50">
            <v>0</v>
          </cell>
          <cell r="AU50">
            <v>233335</v>
          </cell>
          <cell r="AV50">
            <v>134059</v>
          </cell>
          <cell r="AW50">
            <v>99277.3</v>
          </cell>
          <cell r="AX50">
            <v>0.16223000000000001</v>
          </cell>
          <cell r="AY50">
            <v>1.06789</v>
          </cell>
          <cell r="AZ50">
            <v>18184</v>
          </cell>
          <cell r="BA50">
            <v>31129</v>
          </cell>
          <cell r="BB50">
            <v>5860</v>
          </cell>
          <cell r="BC50">
            <v>53630</v>
          </cell>
          <cell r="BD50">
            <v>46642</v>
          </cell>
          <cell r="BE50">
            <v>5563</v>
          </cell>
          <cell r="BF50">
            <v>66802</v>
          </cell>
          <cell r="BG50">
            <v>5271.94</v>
          </cell>
          <cell r="BH50">
            <v>234.9</v>
          </cell>
          <cell r="BI50">
            <v>0.81699999999999995</v>
          </cell>
          <cell r="BJ50">
            <v>2.3029999999999999</v>
          </cell>
          <cell r="BK50">
            <v>4.181</v>
          </cell>
          <cell r="BL50">
            <v>58334.2</v>
          </cell>
          <cell r="BM50">
            <v>3.9966699999999999</v>
          </cell>
          <cell r="BN50">
            <v>5729.12</v>
          </cell>
          <cell r="BO50">
            <v>580</v>
          </cell>
          <cell r="BP50">
            <v>79</v>
          </cell>
          <cell r="BQ50">
            <v>63</v>
          </cell>
          <cell r="BR50">
            <v>67</v>
          </cell>
          <cell r="BS50">
            <v>-41</v>
          </cell>
          <cell r="BT50">
            <v>14</v>
          </cell>
          <cell r="BU50" t="e">
            <v>#N/A</v>
          </cell>
          <cell r="BV50" t="e">
            <v>#N/A</v>
          </cell>
          <cell r="BW50">
            <v>754</v>
          </cell>
          <cell r="BX50">
            <v>-280</v>
          </cell>
          <cell r="BY50">
            <v>-474</v>
          </cell>
          <cell r="BZ50">
            <v>0.317</v>
          </cell>
          <cell r="CA50" t="e">
            <v>#N/A</v>
          </cell>
          <cell r="CB50" t="e">
            <v>#N/A</v>
          </cell>
          <cell r="CC50" t="e">
            <v>#N/A</v>
          </cell>
          <cell r="CD50" t="e">
            <v>#N/A</v>
          </cell>
          <cell r="CE50" t="e">
            <v>#N/A</v>
          </cell>
        </row>
        <row r="51">
          <cell r="A51">
            <v>201103</v>
          </cell>
          <cell r="B51">
            <v>195</v>
          </cell>
          <cell r="C51">
            <v>871044</v>
          </cell>
          <cell r="D51">
            <v>29323.3</v>
          </cell>
          <cell r="E51">
            <v>20084.400000000001</v>
          </cell>
          <cell r="F51">
            <v>4643.04</v>
          </cell>
          <cell r="G51">
            <v>27994.1</v>
          </cell>
          <cell r="H51">
            <v>4</v>
          </cell>
          <cell r="I51">
            <v>10540</v>
          </cell>
          <cell r="J51">
            <v>-3</v>
          </cell>
          <cell r="K51">
            <v>798</v>
          </cell>
          <cell r="L51">
            <v>1</v>
          </cell>
          <cell r="M51">
            <v>44</v>
          </cell>
          <cell r="N51">
            <v>0</v>
          </cell>
          <cell r="O51">
            <v>1036</v>
          </cell>
          <cell r="P51">
            <v>-944</v>
          </cell>
          <cell r="Q51">
            <v>97</v>
          </cell>
          <cell r="R51">
            <v>7508</v>
          </cell>
          <cell r="S51">
            <v>414</v>
          </cell>
          <cell r="T51">
            <v>57</v>
          </cell>
          <cell r="U51">
            <v>2429</v>
          </cell>
          <cell r="V51">
            <v>-855</v>
          </cell>
          <cell r="W51">
            <v>64</v>
          </cell>
          <cell r="X51">
            <v>-674.81799999999998</v>
          </cell>
          <cell r="Y51">
            <v>-941</v>
          </cell>
          <cell r="Z51">
            <v>1046</v>
          </cell>
          <cell r="AA51">
            <v>0</v>
          </cell>
          <cell r="AB51">
            <v>0</v>
          </cell>
          <cell r="AC51">
            <v>25771</v>
          </cell>
          <cell r="AD51">
            <v>1276</v>
          </cell>
          <cell r="AE51">
            <v>3574</v>
          </cell>
          <cell r="AF51">
            <v>5088.72</v>
          </cell>
          <cell r="AG51">
            <v>1521</v>
          </cell>
          <cell r="AH51">
            <v>-261</v>
          </cell>
          <cell r="AI51">
            <v>103747</v>
          </cell>
          <cell r="AJ51">
            <v>39843.5</v>
          </cell>
          <cell r="AK51">
            <v>188.495</v>
          </cell>
          <cell r="AL51">
            <v>-425.279</v>
          </cell>
          <cell r="AM51">
            <v>-105</v>
          </cell>
          <cell r="AN51">
            <v>-18</v>
          </cell>
          <cell r="AO51">
            <v>0</v>
          </cell>
          <cell r="AP51">
            <v>587208</v>
          </cell>
          <cell r="AQ51">
            <v>731</v>
          </cell>
          <cell r="AR51">
            <v>5190.32</v>
          </cell>
          <cell r="AS51">
            <v>7990.67</v>
          </cell>
          <cell r="AT51">
            <v>116.782</v>
          </cell>
          <cell r="AU51">
            <v>230387</v>
          </cell>
          <cell r="AV51">
            <v>142824</v>
          </cell>
          <cell r="AW51">
            <v>87559.3</v>
          </cell>
          <cell r="AX51">
            <v>-0.23454</v>
          </cell>
          <cell r="AY51">
            <v>1.1385700000000001</v>
          </cell>
          <cell r="AZ51">
            <v>18745</v>
          </cell>
          <cell r="BA51">
            <v>32034</v>
          </cell>
          <cell r="BB51">
            <v>6049</v>
          </cell>
          <cell r="BC51">
            <v>54054</v>
          </cell>
          <cell r="BD51">
            <v>47345</v>
          </cell>
          <cell r="BE51">
            <v>5560</v>
          </cell>
          <cell r="BF51">
            <v>66359.5</v>
          </cell>
          <cell r="BG51">
            <v>5276.07</v>
          </cell>
          <cell r="BH51">
            <v>236.2</v>
          </cell>
          <cell r="BI51">
            <v>0.9052</v>
          </cell>
          <cell r="BJ51">
            <v>1.6044</v>
          </cell>
          <cell r="BK51">
            <v>3.7444999999999999</v>
          </cell>
          <cell r="BL51">
            <v>58877</v>
          </cell>
          <cell r="BM51">
            <v>4.0933299999999999</v>
          </cell>
          <cell r="BN51">
            <v>5827.5</v>
          </cell>
          <cell r="BO51">
            <v>595</v>
          </cell>
          <cell r="BP51">
            <v>85</v>
          </cell>
          <cell r="BQ51">
            <v>57</v>
          </cell>
          <cell r="BR51">
            <v>512</v>
          </cell>
          <cell r="BS51">
            <v>-3</v>
          </cell>
          <cell r="BT51">
            <v>150</v>
          </cell>
          <cell r="BU51" t="e">
            <v>#N/A</v>
          </cell>
          <cell r="BV51" t="e">
            <v>#N/A</v>
          </cell>
          <cell r="BW51">
            <v>959</v>
          </cell>
          <cell r="BX51">
            <v>-692</v>
          </cell>
          <cell r="BY51">
            <v>-267</v>
          </cell>
          <cell r="BZ51">
            <v>0.4052</v>
          </cell>
          <cell r="CA51" t="e">
            <v>#N/A</v>
          </cell>
          <cell r="CB51" t="e">
            <v>#N/A</v>
          </cell>
          <cell r="CC51" t="e">
            <v>#N/A</v>
          </cell>
          <cell r="CD51" t="e">
            <v>#N/A</v>
          </cell>
          <cell r="CE51" t="e">
            <v>#N/A</v>
          </cell>
        </row>
        <row r="52">
          <cell r="A52">
            <v>201104</v>
          </cell>
          <cell r="B52">
            <v>179</v>
          </cell>
          <cell r="C52">
            <v>926886</v>
          </cell>
          <cell r="D52">
            <v>33613.5</v>
          </cell>
          <cell r="E52">
            <v>21367.8</v>
          </cell>
          <cell r="F52">
            <v>4705.32</v>
          </cell>
          <cell r="G52">
            <v>29248.7</v>
          </cell>
          <cell r="H52">
            <v>6</v>
          </cell>
          <cell r="I52">
            <v>13819</v>
          </cell>
          <cell r="J52">
            <v>-2</v>
          </cell>
          <cell r="K52">
            <v>543</v>
          </cell>
          <cell r="L52">
            <v>2</v>
          </cell>
          <cell r="M52">
            <v>75</v>
          </cell>
          <cell r="N52">
            <v>0</v>
          </cell>
          <cell r="O52">
            <v>1127</v>
          </cell>
          <cell r="P52">
            <v>-979</v>
          </cell>
          <cell r="Q52">
            <v>100</v>
          </cell>
          <cell r="R52">
            <v>7488</v>
          </cell>
          <cell r="S52">
            <v>732</v>
          </cell>
          <cell r="T52">
            <v>72</v>
          </cell>
          <cell r="U52">
            <v>2260</v>
          </cell>
          <cell r="V52">
            <v>-880</v>
          </cell>
          <cell r="W52">
            <v>81</v>
          </cell>
          <cell r="X52">
            <v>-559.86500000000001</v>
          </cell>
          <cell r="Y52">
            <v>-1007</v>
          </cell>
          <cell r="Z52">
            <v>1110</v>
          </cell>
          <cell r="AA52">
            <v>0</v>
          </cell>
          <cell r="AB52">
            <v>0</v>
          </cell>
          <cell r="AC52">
            <v>25771</v>
          </cell>
          <cell r="AD52">
            <v>927</v>
          </cell>
          <cell r="AE52">
            <v>-4088</v>
          </cell>
          <cell r="AF52">
            <v>0</v>
          </cell>
          <cell r="AG52">
            <v>4088</v>
          </cell>
          <cell r="AH52">
            <v>1722</v>
          </cell>
          <cell r="AI52">
            <v>103928</v>
          </cell>
          <cell r="AJ52">
            <v>39420.6</v>
          </cell>
          <cell r="AK52">
            <v>623.87099999999998</v>
          </cell>
          <cell r="AL52">
            <v>-1155.52</v>
          </cell>
          <cell r="AM52">
            <v>-971</v>
          </cell>
          <cell r="AN52">
            <v>99</v>
          </cell>
          <cell r="AO52">
            <v>0</v>
          </cell>
          <cell r="AP52">
            <v>591382</v>
          </cell>
          <cell r="AQ52">
            <v>751</v>
          </cell>
          <cell r="AR52">
            <v>14970</v>
          </cell>
          <cell r="AS52">
            <v>0</v>
          </cell>
          <cell r="AT52">
            <v>121.631</v>
          </cell>
          <cell r="AU52">
            <v>245757</v>
          </cell>
          <cell r="AV52">
            <v>156129</v>
          </cell>
          <cell r="AW52">
            <v>89624.2</v>
          </cell>
          <cell r="AX52">
            <v>-0.53941700000000004</v>
          </cell>
          <cell r="AY52">
            <v>1.2214799999999999</v>
          </cell>
          <cell r="AZ52">
            <v>18653</v>
          </cell>
          <cell r="BA52">
            <v>30532</v>
          </cell>
          <cell r="BB52">
            <v>6447</v>
          </cell>
          <cell r="BC52">
            <v>54567</v>
          </cell>
          <cell r="BD52">
            <v>47950</v>
          </cell>
          <cell r="BE52">
            <v>5727</v>
          </cell>
          <cell r="BF52">
            <v>69825.7</v>
          </cell>
          <cell r="BG52">
            <v>5316.95</v>
          </cell>
          <cell r="BH52">
            <v>238.6</v>
          </cell>
          <cell r="BI52">
            <v>1.0517000000000001</v>
          </cell>
          <cell r="BJ52">
            <v>1.2523</v>
          </cell>
          <cell r="BK52">
            <v>3.0827</v>
          </cell>
          <cell r="BL52">
            <v>59189.5</v>
          </cell>
          <cell r="BM52">
            <v>4.1100000000000003</v>
          </cell>
          <cell r="BN52">
            <v>5925.88</v>
          </cell>
          <cell r="BO52">
            <v>590</v>
          </cell>
          <cell r="BP52">
            <v>93</v>
          </cell>
          <cell r="BQ52">
            <v>72</v>
          </cell>
          <cell r="BR52">
            <v>836</v>
          </cell>
          <cell r="BS52">
            <v>167</v>
          </cell>
          <cell r="BT52">
            <v>87</v>
          </cell>
          <cell r="BU52" t="e">
            <v>#N/A</v>
          </cell>
          <cell r="BV52" t="e">
            <v>#N/A</v>
          </cell>
          <cell r="BW52">
            <v>714</v>
          </cell>
          <cell r="BX52">
            <v>-407</v>
          </cell>
          <cell r="BY52">
            <v>-307</v>
          </cell>
          <cell r="BZ52">
            <v>0.55169999999999997</v>
          </cell>
          <cell r="CA52" t="e">
            <v>#N/A</v>
          </cell>
          <cell r="CB52" t="e">
            <v>#N/A</v>
          </cell>
          <cell r="CC52" t="e">
            <v>#N/A</v>
          </cell>
          <cell r="CD52" t="e">
            <v>#N/A</v>
          </cell>
          <cell r="CE52" t="e">
            <v>#N/A</v>
          </cell>
        </row>
        <row r="53">
          <cell r="A53">
            <v>201201</v>
          </cell>
          <cell r="B53">
            <v>171</v>
          </cell>
          <cell r="C53">
            <v>951639</v>
          </cell>
          <cell r="D53">
            <v>24960.799999999999</v>
          </cell>
          <cell r="E53">
            <v>16136.8</v>
          </cell>
          <cell r="F53">
            <v>4705.32</v>
          </cell>
          <cell r="G53">
            <v>26434</v>
          </cell>
          <cell r="H53">
            <v>7</v>
          </cell>
          <cell r="I53">
            <v>9307</v>
          </cell>
          <cell r="J53">
            <v>-7</v>
          </cell>
          <cell r="K53">
            <v>2435</v>
          </cell>
          <cell r="L53">
            <v>5</v>
          </cell>
          <cell r="M53">
            <v>118</v>
          </cell>
          <cell r="N53">
            <v>0</v>
          </cell>
          <cell r="O53">
            <v>904</v>
          </cell>
          <cell r="P53">
            <v>-824</v>
          </cell>
          <cell r="Q53">
            <v>102</v>
          </cell>
          <cell r="R53">
            <v>7424</v>
          </cell>
          <cell r="S53">
            <v>388</v>
          </cell>
          <cell r="T53">
            <v>59</v>
          </cell>
          <cell r="U53">
            <v>3921</v>
          </cell>
          <cell r="V53">
            <v>-738</v>
          </cell>
          <cell r="W53">
            <v>66</v>
          </cell>
          <cell r="X53">
            <v>-2754.16</v>
          </cell>
          <cell r="Y53">
            <v>-826</v>
          </cell>
          <cell r="Z53">
            <v>1638</v>
          </cell>
          <cell r="AA53">
            <v>0</v>
          </cell>
          <cell r="AB53">
            <v>0</v>
          </cell>
          <cell r="AC53">
            <v>25771</v>
          </cell>
          <cell r="AD53">
            <v>1167</v>
          </cell>
          <cell r="AE53">
            <v>-91</v>
          </cell>
          <cell r="AF53">
            <v>0</v>
          </cell>
          <cell r="AG53">
            <v>91</v>
          </cell>
          <cell r="AH53">
            <v>3127</v>
          </cell>
          <cell r="AI53">
            <v>103138</v>
          </cell>
          <cell r="AJ53">
            <v>50582.2</v>
          </cell>
          <cell r="AK53">
            <v>-387.81700000000001</v>
          </cell>
          <cell r="AL53">
            <v>0</v>
          </cell>
          <cell r="AM53">
            <v>-101</v>
          </cell>
          <cell r="AN53">
            <v>260</v>
          </cell>
          <cell r="AO53">
            <v>0</v>
          </cell>
          <cell r="AP53">
            <v>619442</v>
          </cell>
          <cell r="AQ53">
            <v>694</v>
          </cell>
          <cell r="AR53">
            <v>20865.5</v>
          </cell>
          <cell r="AS53">
            <v>0</v>
          </cell>
          <cell r="AT53">
            <v>262.57900000000001</v>
          </cell>
          <cell r="AU53">
            <v>253779</v>
          </cell>
          <cell r="AV53">
            <v>166598</v>
          </cell>
          <cell r="AW53">
            <v>89738.7</v>
          </cell>
          <cell r="AX53">
            <v>-0.52597899999999997</v>
          </cell>
          <cell r="AY53">
            <v>1.32606</v>
          </cell>
          <cell r="AZ53">
            <v>19594</v>
          </cell>
          <cell r="BA53">
            <v>28272</v>
          </cell>
          <cell r="BB53">
            <v>6864</v>
          </cell>
          <cell r="BC53">
            <v>54729.3</v>
          </cell>
          <cell r="BD53">
            <v>51996</v>
          </cell>
          <cell r="BE53">
            <v>5839</v>
          </cell>
          <cell r="BF53">
            <v>68808.899999999994</v>
          </cell>
          <cell r="BG53">
            <v>5314.47</v>
          </cell>
          <cell r="BH53">
            <v>239.6</v>
          </cell>
          <cell r="BI53">
            <v>1.0933999999999999</v>
          </cell>
          <cell r="BJ53">
            <v>1.0573999999999999</v>
          </cell>
          <cell r="BK53">
            <v>3.06535</v>
          </cell>
          <cell r="BL53">
            <v>59305.5</v>
          </cell>
          <cell r="BM53">
            <v>4.1399999999999997</v>
          </cell>
          <cell r="BN53">
            <v>6024.27</v>
          </cell>
          <cell r="BO53">
            <v>582</v>
          </cell>
          <cell r="BP53">
            <v>79</v>
          </cell>
          <cell r="BQ53">
            <v>59</v>
          </cell>
          <cell r="BR53">
            <v>7378</v>
          </cell>
          <cell r="BS53">
            <v>112</v>
          </cell>
          <cell r="BT53">
            <v>1230</v>
          </cell>
          <cell r="BU53" t="e">
            <v>#N/A</v>
          </cell>
          <cell r="BV53" t="e">
            <v>#N/A</v>
          </cell>
          <cell r="BW53">
            <v>2576</v>
          </cell>
          <cell r="BX53">
            <v>-1618</v>
          </cell>
          <cell r="BY53">
            <v>-958</v>
          </cell>
          <cell r="BZ53">
            <v>0.59340000000000004</v>
          </cell>
          <cell r="CA53" t="e">
            <v>#N/A</v>
          </cell>
          <cell r="CB53" t="e">
            <v>#N/A</v>
          </cell>
          <cell r="CC53" t="e">
            <v>#N/A</v>
          </cell>
          <cell r="CD53" t="e">
            <v>#N/A</v>
          </cell>
          <cell r="CE53" t="e">
            <v>#N/A</v>
          </cell>
        </row>
        <row r="54">
          <cell r="A54">
            <v>201202</v>
          </cell>
          <cell r="B54">
            <v>111.64</v>
          </cell>
          <cell r="C54">
            <v>979959</v>
          </cell>
          <cell r="D54">
            <v>28019.5</v>
          </cell>
          <cell r="E54">
            <v>8039.29</v>
          </cell>
          <cell r="F54">
            <v>4752.68</v>
          </cell>
          <cell r="G54">
            <v>25887.9</v>
          </cell>
          <cell r="H54">
            <v>7.0757300000000001</v>
          </cell>
          <cell r="I54">
            <v>13540</v>
          </cell>
          <cell r="J54">
            <v>10.068899999999999</v>
          </cell>
          <cell r="K54">
            <v>710</v>
          </cell>
          <cell r="L54">
            <v>2</v>
          </cell>
          <cell r="M54">
            <v>54</v>
          </cell>
          <cell r="N54">
            <v>0</v>
          </cell>
          <cell r="O54">
            <v>94.608999999999995</v>
          </cell>
          <cell r="P54">
            <v>-552</v>
          </cell>
          <cell r="Q54">
            <v>91</v>
          </cell>
          <cell r="R54">
            <v>7818</v>
          </cell>
          <cell r="S54">
            <v>834.77599999999995</v>
          </cell>
          <cell r="T54">
            <v>64</v>
          </cell>
          <cell r="U54">
            <v>1191.68</v>
          </cell>
          <cell r="V54">
            <v>-446</v>
          </cell>
          <cell r="W54">
            <v>62</v>
          </cell>
          <cell r="X54">
            <v>-2588.37</v>
          </cell>
          <cell r="Y54">
            <v>37.700000000000003</v>
          </cell>
          <cell r="Z54">
            <v>1097</v>
          </cell>
          <cell r="AA54">
            <v>135.142</v>
          </cell>
          <cell r="AB54">
            <v>0</v>
          </cell>
          <cell r="AC54">
            <v>25771</v>
          </cell>
          <cell r="AD54">
            <v>964</v>
          </cell>
          <cell r="AE54">
            <v>-4379</v>
          </cell>
          <cell r="AF54">
            <v>0</v>
          </cell>
          <cell r="AG54">
            <v>4379</v>
          </cell>
          <cell r="AH54">
            <v>-5631</v>
          </cell>
          <cell r="AI54">
            <v>102848</v>
          </cell>
          <cell r="AJ54">
            <v>39104.300000000003</v>
          </cell>
          <cell r="AK54">
            <v>50.640999999999998</v>
          </cell>
          <cell r="AL54">
            <v>-5.266</v>
          </cell>
          <cell r="AM54">
            <v>1112</v>
          </cell>
          <cell r="AN54">
            <v>360</v>
          </cell>
          <cell r="AO54">
            <v>105.142</v>
          </cell>
          <cell r="AP54">
            <v>617495</v>
          </cell>
          <cell r="AQ54">
            <v>681</v>
          </cell>
          <cell r="AR54">
            <v>22616.3</v>
          </cell>
          <cell r="AS54">
            <v>0</v>
          </cell>
          <cell r="AT54">
            <v>296.839</v>
          </cell>
          <cell r="AU54">
            <v>259124</v>
          </cell>
          <cell r="AV54">
            <v>168037</v>
          </cell>
          <cell r="AW54">
            <v>90650.5</v>
          </cell>
          <cell r="AX54">
            <v>-0.43366500000000002</v>
          </cell>
          <cell r="AY54">
            <v>1.4218</v>
          </cell>
          <cell r="AZ54">
            <v>19771</v>
          </cell>
          <cell r="BA54">
            <v>34296</v>
          </cell>
          <cell r="BB54">
            <v>7667</v>
          </cell>
          <cell r="BC54">
            <v>63391.7</v>
          </cell>
          <cell r="BD54">
            <v>54367</v>
          </cell>
          <cell r="BE54">
            <v>5242</v>
          </cell>
          <cell r="BF54">
            <v>70307.899999999994</v>
          </cell>
          <cell r="BG54">
            <v>5354.03</v>
          </cell>
          <cell r="BH54">
            <v>242.2</v>
          </cell>
          <cell r="BI54">
            <v>1.0121</v>
          </cell>
          <cell r="BJ54">
            <v>0.91739999999999999</v>
          </cell>
          <cell r="BK54">
            <v>2.9333999999999998</v>
          </cell>
          <cell r="BL54">
            <v>59157.1</v>
          </cell>
          <cell r="BM54">
            <v>4.16</v>
          </cell>
          <cell r="BN54">
            <v>6122.65</v>
          </cell>
          <cell r="BO54">
            <v>599</v>
          </cell>
          <cell r="BP54">
            <v>98</v>
          </cell>
          <cell r="BQ54">
            <v>64</v>
          </cell>
          <cell r="BR54">
            <v>388</v>
          </cell>
          <cell r="BS54">
            <v>-597</v>
          </cell>
          <cell r="BT54">
            <v>159</v>
          </cell>
          <cell r="BU54" t="e">
            <v>#N/A</v>
          </cell>
          <cell r="BV54" t="e">
            <v>#N/A</v>
          </cell>
          <cell r="BW54">
            <v>454</v>
          </cell>
          <cell r="BX54">
            <v>-158</v>
          </cell>
          <cell r="BY54">
            <v>-296</v>
          </cell>
          <cell r="BZ54">
            <v>0.5121</v>
          </cell>
          <cell r="CA54" t="e">
            <v>#N/A</v>
          </cell>
          <cell r="CB54" t="e">
            <v>#N/A</v>
          </cell>
          <cell r="CC54" t="e">
            <v>#N/A</v>
          </cell>
          <cell r="CD54" t="e">
            <v>#N/A</v>
          </cell>
          <cell r="CE54" t="e">
            <v>#N/A</v>
          </cell>
        </row>
        <row r="55">
          <cell r="A55">
            <v>201203</v>
          </cell>
          <cell r="B55">
            <v>106.483</v>
          </cell>
          <cell r="C55">
            <v>1016800</v>
          </cell>
          <cell r="D55">
            <v>26610.7</v>
          </cell>
          <cell r="E55">
            <v>8799.02</v>
          </cell>
          <cell r="F55">
            <v>4808.84</v>
          </cell>
          <cell r="G55">
            <v>44655.9</v>
          </cell>
          <cell r="H55">
            <v>3.56528</v>
          </cell>
          <cell r="I55">
            <v>11469.3</v>
          </cell>
          <cell r="J55">
            <v>14.2591</v>
          </cell>
          <cell r="K55">
            <v>728.21400000000006</v>
          </cell>
          <cell r="L55">
            <v>0</v>
          </cell>
          <cell r="M55">
            <v>124.276</v>
          </cell>
          <cell r="N55">
            <v>8969.44</v>
          </cell>
          <cell r="O55">
            <v>164.744</v>
          </cell>
          <cell r="P55">
            <v>-995</v>
          </cell>
          <cell r="Q55">
            <v>98.543499999999995</v>
          </cell>
          <cell r="R55">
            <v>7495.56</v>
          </cell>
          <cell r="S55">
            <v>336.40499999999997</v>
          </cell>
          <cell r="T55">
            <v>66.3489</v>
          </cell>
          <cell r="U55">
            <v>1235.3599999999999</v>
          </cell>
          <cell r="V55">
            <v>-881.43499999999995</v>
          </cell>
          <cell r="W55">
            <v>80.607900000000001</v>
          </cell>
          <cell r="X55">
            <v>-767.48199999999997</v>
          </cell>
          <cell r="Y55">
            <v>40.776000000000003</v>
          </cell>
          <cell r="Z55">
            <v>1097</v>
          </cell>
          <cell r="AA55">
            <v>119.11499999999999</v>
          </cell>
          <cell r="AB55">
            <v>0</v>
          </cell>
          <cell r="AC55">
            <v>25771</v>
          </cell>
          <cell r="AD55">
            <v>1074.3399999999999</v>
          </cell>
          <cell r="AE55">
            <v>294.28500000000003</v>
          </cell>
          <cell r="AF55">
            <v>0</v>
          </cell>
          <cell r="AG55">
            <v>-285</v>
          </cell>
          <cell r="AH55">
            <v>-1171</v>
          </cell>
          <cell r="AI55">
            <v>102094</v>
          </cell>
          <cell r="AJ55">
            <v>46285.7</v>
          </cell>
          <cell r="AK55">
            <v>-105.545</v>
          </cell>
          <cell r="AL55">
            <v>-17.169</v>
          </cell>
          <cell r="AM55">
            <v>-142</v>
          </cell>
          <cell r="AN55">
            <v>-711</v>
          </cell>
          <cell r="AO55">
            <v>119.11499999999999</v>
          </cell>
          <cell r="AP55">
            <v>617495</v>
          </cell>
          <cell r="AQ55">
            <v>637.86699999999996</v>
          </cell>
          <cell r="AR55">
            <v>191.28</v>
          </cell>
          <cell r="AS55">
            <v>0</v>
          </cell>
          <cell r="AT55">
            <v>4.3037999999999998</v>
          </cell>
          <cell r="AU55">
            <v>269058</v>
          </cell>
          <cell r="AV55">
            <v>178028</v>
          </cell>
          <cell r="AW55">
            <v>91030.399999999994</v>
          </cell>
          <cell r="AX55">
            <v>-0.415495</v>
          </cell>
          <cell r="AY55">
            <v>1.5134099999999999</v>
          </cell>
          <cell r="AZ55">
            <v>19671</v>
          </cell>
          <cell r="BA55">
            <v>35367</v>
          </cell>
          <cell r="BB55">
            <v>7961</v>
          </cell>
          <cell r="BC55">
            <v>63848.5</v>
          </cell>
          <cell r="BD55">
            <v>55560</v>
          </cell>
          <cell r="BE55">
            <v>6588</v>
          </cell>
          <cell r="BF55">
            <v>60243.5</v>
          </cell>
          <cell r="BG55">
            <v>5383.91</v>
          </cell>
          <cell r="BH55">
            <v>243.1</v>
          </cell>
          <cell r="BI55">
            <v>0.73939999999999995</v>
          </cell>
          <cell r="BJ55">
            <v>0.66959999999999997</v>
          </cell>
          <cell r="BK55">
            <v>2.6823999999999999</v>
          </cell>
          <cell r="BL55">
            <v>60182.6</v>
          </cell>
          <cell r="BM55">
            <v>4.2666700000000004</v>
          </cell>
          <cell r="BN55">
            <v>6221.03</v>
          </cell>
          <cell r="BO55">
            <v>461.51799999999997</v>
          </cell>
          <cell r="BP55">
            <v>110</v>
          </cell>
          <cell r="BQ55">
            <v>66.3489</v>
          </cell>
          <cell r="BR55">
            <v>179</v>
          </cell>
          <cell r="BS55">
            <v>-13</v>
          </cell>
          <cell r="BT55">
            <v>294</v>
          </cell>
          <cell r="BU55" t="e">
            <v>#N/A</v>
          </cell>
          <cell r="BV55" t="e">
            <v>#N/A</v>
          </cell>
          <cell r="BW55">
            <v>915.90899999999999</v>
          </cell>
          <cell r="BX55">
            <v>-622.64800000000002</v>
          </cell>
          <cell r="BY55">
            <v>-293.26100000000002</v>
          </cell>
          <cell r="BZ55">
            <v>0.2394</v>
          </cell>
          <cell r="CA55" t="e">
            <v>#N/A</v>
          </cell>
          <cell r="CB55" t="e">
            <v>#N/A</v>
          </cell>
          <cell r="CC55" t="e">
            <v>#N/A</v>
          </cell>
          <cell r="CD55" t="e">
            <v>#N/A</v>
          </cell>
          <cell r="CE55" t="e">
            <v>#N/A</v>
          </cell>
        </row>
        <row r="56">
          <cell r="A56">
            <v>201204</v>
          </cell>
          <cell r="B56">
            <v>91.018699999999995</v>
          </cell>
          <cell r="C56">
            <v>1045420</v>
          </cell>
          <cell r="D56">
            <v>37678.800000000003</v>
          </cell>
          <cell r="E56">
            <v>11679.4</v>
          </cell>
          <cell r="F56">
            <v>4906.97</v>
          </cell>
          <cell r="G56">
            <v>37185.599999999999</v>
          </cell>
          <cell r="H56">
            <v>31.110499999999998</v>
          </cell>
          <cell r="I56">
            <v>11509.4</v>
          </cell>
          <cell r="J56">
            <v>44.087499999999999</v>
          </cell>
          <cell r="K56">
            <v>721.577</v>
          </cell>
          <cell r="L56">
            <v>0</v>
          </cell>
          <cell r="M56">
            <v>140.71199999999999</v>
          </cell>
          <cell r="N56">
            <v>7437.12</v>
          </cell>
          <cell r="O56">
            <v>94.1</v>
          </cell>
          <cell r="P56">
            <v>-966</v>
          </cell>
          <cell r="Q56">
            <v>99.587100000000007</v>
          </cell>
          <cell r="R56">
            <v>7672.07</v>
          </cell>
          <cell r="S56">
            <v>698.15599999999995</v>
          </cell>
          <cell r="T56">
            <v>69.697699999999998</v>
          </cell>
          <cell r="U56">
            <v>1247.02</v>
          </cell>
          <cell r="V56">
            <v>-832.38900000000001</v>
          </cell>
          <cell r="W56">
            <v>113.785</v>
          </cell>
          <cell r="X56">
            <v>-1100.6500000000001</v>
          </cell>
          <cell r="Y56">
            <v>27</v>
          </cell>
          <cell r="Z56">
            <v>1097</v>
          </cell>
          <cell r="AA56">
            <v>114.78700000000001</v>
          </cell>
          <cell r="AB56">
            <v>0</v>
          </cell>
          <cell r="AC56">
            <v>25771</v>
          </cell>
          <cell r="AD56">
            <v>1090.3399999999999</v>
          </cell>
          <cell r="AE56">
            <v>-4649.6400000000003</v>
          </cell>
          <cell r="AF56">
            <v>0</v>
          </cell>
          <cell r="AG56">
            <v>4398</v>
          </cell>
          <cell r="AH56">
            <v>-1808.06</v>
          </cell>
          <cell r="AI56">
            <v>102009</v>
          </cell>
          <cell r="AJ56">
            <v>36732.300000000003</v>
          </cell>
          <cell r="AK56">
            <v>-898.71199999999999</v>
          </cell>
          <cell r="AL56">
            <v>317.322</v>
          </cell>
          <cell r="AM56">
            <v>808.70699999999999</v>
          </cell>
          <cell r="AN56">
            <v>-385.04300000000001</v>
          </cell>
          <cell r="AO56">
            <v>95.786600000000007</v>
          </cell>
          <cell r="AP56">
            <v>617495</v>
          </cell>
          <cell r="AQ56">
            <v>718.33100000000002</v>
          </cell>
          <cell r="AR56">
            <v>0</v>
          </cell>
          <cell r="AS56">
            <v>0</v>
          </cell>
          <cell r="AT56">
            <v>0</v>
          </cell>
          <cell r="AU56">
            <v>279120</v>
          </cell>
          <cell r="AV56">
            <v>187102</v>
          </cell>
          <cell r="AW56">
            <v>92018.2</v>
          </cell>
          <cell r="AX56">
            <v>-0.54533900000000002</v>
          </cell>
          <cell r="AY56">
            <v>1.6083099999999999</v>
          </cell>
          <cell r="AZ56">
            <v>19571</v>
          </cell>
          <cell r="BA56">
            <v>37075.1</v>
          </cell>
          <cell r="BB56">
            <v>7986</v>
          </cell>
          <cell r="BC56">
            <v>64305.3</v>
          </cell>
          <cell r="BD56">
            <v>57194.3</v>
          </cell>
          <cell r="BE56">
            <v>6613</v>
          </cell>
          <cell r="BF56">
            <v>49975</v>
          </cell>
          <cell r="BG56">
            <v>5378.73</v>
          </cell>
          <cell r="BH56">
            <v>246</v>
          </cell>
          <cell r="BI56">
            <v>0.51380000000000003</v>
          </cell>
          <cell r="BJ56">
            <v>0.80359999999999998</v>
          </cell>
          <cell r="BK56">
            <v>2.8077000000000001</v>
          </cell>
          <cell r="BL56">
            <v>60364.3</v>
          </cell>
          <cell r="BM56">
            <v>4.3433299999999999</v>
          </cell>
          <cell r="BN56">
            <v>6319.41</v>
          </cell>
          <cell r="BO56">
            <v>546.13300000000004</v>
          </cell>
          <cell r="BP56">
            <v>102.5</v>
          </cell>
          <cell r="BQ56">
            <v>69.697699999999998</v>
          </cell>
          <cell r="BR56">
            <v>425</v>
          </cell>
          <cell r="BS56">
            <v>25</v>
          </cell>
          <cell r="BT56">
            <v>25</v>
          </cell>
          <cell r="BU56" t="e">
            <v>#N/A</v>
          </cell>
          <cell r="BV56" t="e">
            <v>#N/A</v>
          </cell>
          <cell r="BW56">
            <v>767.47900000000004</v>
          </cell>
          <cell r="BX56">
            <v>-559.46699999999998</v>
          </cell>
          <cell r="BY56">
            <v>-208.012</v>
          </cell>
          <cell r="BZ56">
            <v>1.38E-2</v>
          </cell>
          <cell r="CA56" t="e">
            <v>#N/A</v>
          </cell>
          <cell r="CB56" t="e">
            <v>#N/A</v>
          </cell>
          <cell r="CC56" t="e">
            <v>#N/A</v>
          </cell>
          <cell r="CD56" t="e">
            <v>#N/A</v>
          </cell>
          <cell r="CE56" t="e">
            <v>#N/A</v>
          </cell>
        </row>
        <row r="57">
          <cell r="A57">
            <v>201301</v>
          </cell>
          <cell r="B57">
            <v>166</v>
          </cell>
          <cell r="C57">
            <v>1037250</v>
          </cell>
          <cell r="D57">
            <v>13245.5</v>
          </cell>
          <cell r="E57">
            <v>17678.099999999999</v>
          </cell>
          <cell r="F57">
            <v>4906.97</v>
          </cell>
          <cell r="G57">
            <v>2435.3000000000002</v>
          </cell>
          <cell r="H57">
            <v>33.472999999999999</v>
          </cell>
          <cell r="I57">
            <v>11637.3</v>
          </cell>
          <cell r="J57">
            <v>9.7398399999999992</v>
          </cell>
          <cell r="K57">
            <v>715.18700000000001</v>
          </cell>
          <cell r="L57">
            <v>0</v>
          </cell>
          <cell r="M57">
            <v>155.274</v>
          </cell>
          <cell r="N57">
            <v>6456.1</v>
          </cell>
          <cell r="O57">
            <v>133.24100000000001</v>
          </cell>
          <cell r="P57">
            <v>-283</v>
          </cell>
          <cell r="Q57">
            <v>100.631</v>
          </cell>
          <cell r="R57">
            <v>7795.16</v>
          </cell>
          <cell r="S57">
            <v>363.99700000000001</v>
          </cell>
          <cell r="T57">
            <v>73.046599999999998</v>
          </cell>
          <cell r="U57">
            <v>1470.43</v>
          </cell>
          <cell r="V57">
            <v>-142.02699999999999</v>
          </cell>
          <cell r="W57">
            <v>82.786500000000004</v>
          </cell>
          <cell r="X57">
            <v>-1542</v>
          </cell>
          <cell r="Y57">
            <v>27</v>
          </cell>
          <cell r="Z57">
            <v>1097</v>
          </cell>
          <cell r="AA57">
            <v>120.45699999999999</v>
          </cell>
          <cell r="AB57">
            <v>0</v>
          </cell>
          <cell r="AC57">
            <v>25771</v>
          </cell>
          <cell r="AD57">
            <v>1098.8499999999999</v>
          </cell>
          <cell r="AE57">
            <v>-340.89800000000002</v>
          </cell>
          <cell r="AF57">
            <v>0</v>
          </cell>
          <cell r="AG57">
            <v>1.28729</v>
          </cell>
          <cell r="AH57">
            <v>-2526.4499999999998</v>
          </cell>
          <cell r="AI57">
            <v>101139</v>
          </cell>
          <cell r="AJ57">
            <v>32676.7</v>
          </cell>
          <cell r="AK57">
            <v>0</v>
          </cell>
          <cell r="AL57">
            <v>0</v>
          </cell>
          <cell r="AM57">
            <v>1753.3</v>
          </cell>
          <cell r="AN57">
            <v>359.55399999999997</v>
          </cell>
          <cell r="AO57">
            <v>120.45699999999999</v>
          </cell>
          <cell r="AP57">
            <v>617495</v>
          </cell>
          <cell r="AQ57">
            <v>923.00199999999995</v>
          </cell>
          <cell r="AR57">
            <v>29845.200000000001</v>
          </cell>
          <cell r="AS57">
            <v>0</v>
          </cell>
          <cell r="AT57">
            <v>335.75799999999998</v>
          </cell>
          <cell r="AU57">
            <v>287199</v>
          </cell>
          <cell r="AV57">
            <v>194839</v>
          </cell>
          <cell r="AW57">
            <v>92360.2</v>
          </cell>
          <cell r="AX57">
            <v>-4.9284399999999999E-2</v>
          </cell>
          <cell r="AY57">
            <v>1.7035499999999999</v>
          </cell>
          <cell r="AZ57">
            <v>19471</v>
          </cell>
          <cell r="BA57">
            <v>39501.5</v>
          </cell>
          <cell r="BB57">
            <v>8011</v>
          </cell>
          <cell r="BC57">
            <v>64762.1</v>
          </cell>
          <cell r="BD57">
            <v>58828.6</v>
          </cell>
          <cell r="BE57">
            <v>6638</v>
          </cell>
          <cell r="BF57">
            <v>53143</v>
          </cell>
          <cell r="BG57">
            <v>5378.73</v>
          </cell>
          <cell r="BH57">
            <v>247.066</v>
          </cell>
          <cell r="BI57">
            <v>0.54</v>
          </cell>
          <cell r="BJ57">
            <v>1.3983099999999999</v>
          </cell>
          <cell r="BK57">
            <v>3.2061099999999998</v>
          </cell>
          <cell r="BL57">
            <v>60825.3</v>
          </cell>
          <cell r="BM57">
            <v>4.3062399999999998</v>
          </cell>
          <cell r="BN57">
            <v>6417.8</v>
          </cell>
          <cell r="BO57">
            <v>742.45600000000002</v>
          </cell>
          <cell r="BP57">
            <v>107.5</v>
          </cell>
          <cell r="BQ57">
            <v>73.046599999999998</v>
          </cell>
          <cell r="BR57">
            <v>425</v>
          </cell>
          <cell r="BS57">
            <v>25</v>
          </cell>
          <cell r="BT57">
            <v>25</v>
          </cell>
          <cell r="BU57" t="e">
            <v>#N/A</v>
          </cell>
          <cell r="BV57" t="e">
            <v>#N/A</v>
          </cell>
          <cell r="BW57">
            <v>832.21500000000003</v>
          </cell>
          <cell r="BX57">
            <v>132.286</v>
          </cell>
          <cell r="BY57">
            <v>-964.50099999999998</v>
          </cell>
          <cell r="BZ57">
            <v>0.04</v>
          </cell>
          <cell r="CA57" t="e">
            <v>#N/A</v>
          </cell>
          <cell r="CB57" t="e">
            <v>#N/A</v>
          </cell>
          <cell r="CC57" t="e">
            <v>#N/A</v>
          </cell>
          <cell r="CD57" t="e">
            <v>#N/A</v>
          </cell>
          <cell r="CE57" t="e">
            <v>#N/A</v>
          </cell>
        </row>
        <row r="58">
          <cell r="A58">
            <v>201302</v>
          </cell>
          <cell r="B58">
            <v>133.52799999999999</v>
          </cell>
          <cell r="C58">
            <v>1060500</v>
          </cell>
          <cell r="D58">
            <v>27853.7</v>
          </cell>
          <cell r="E58">
            <v>17678.099999999999</v>
          </cell>
          <cell r="F58">
            <v>4917.8599999999997</v>
          </cell>
          <cell r="G58">
            <v>29260.400000000001</v>
          </cell>
          <cell r="H58">
            <v>33.472999999999999</v>
          </cell>
          <cell r="I58">
            <v>11859.7</v>
          </cell>
          <cell r="J58">
            <v>9.7398399999999992</v>
          </cell>
          <cell r="K58">
            <v>708.92</v>
          </cell>
          <cell r="L58">
            <v>0</v>
          </cell>
          <cell r="M58">
            <v>167.79300000000001</v>
          </cell>
          <cell r="N58">
            <v>5852.07</v>
          </cell>
          <cell r="O58">
            <v>133.24100000000001</v>
          </cell>
          <cell r="P58">
            <v>-552</v>
          </cell>
          <cell r="Q58">
            <v>101.67400000000001</v>
          </cell>
          <cell r="R58">
            <v>7707.05</v>
          </cell>
          <cell r="S58">
            <v>747.00300000000004</v>
          </cell>
          <cell r="T58">
            <v>76.395499999999998</v>
          </cell>
          <cell r="U58">
            <v>2057.86</v>
          </cell>
          <cell r="V58">
            <v>-390.02699999999999</v>
          </cell>
          <cell r="W58">
            <v>86.135300000000001</v>
          </cell>
          <cell r="X58">
            <v>-1500</v>
          </cell>
          <cell r="Y58">
            <v>37.700000000000003</v>
          </cell>
          <cell r="Z58">
            <v>1097</v>
          </cell>
          <cell r="AA58">
            <v>64.365399999999994</v>
          </cell>
          <cell r="AB58">
            <v>1</v>
          </cell>
          <cell r="AC58">
            <v>25771</v>
          </cell>
          <cell r="AD58">
            <v>1107.19</v>
          </cell>
          <cell r="AE58">
            <v>-4480.9399999999996</v>
          </cell>
          <cell r="AF58">
            <v>0</v>
          </cell>
          <cell r="AG58">
            <v>4875.1899999999996</v>
          </cell>
          <cell r="AH58">
            <v>-2204.83</v>
          </cell>
          <cell r="AI58">
            <v>101222</v>
          </cell>
          <cell r="AJ58">
            <v>32676.7</v>
          </cell>
          <cell r="AK58">
            <v>0</v>
          </cell>
          <cell r="AL58">
            <v>0</v>
          </cell>
          <cell r="AM58">
            <v>1514.23</v>
          </cell>
          <cell r="AN58">
            <v>89.233800000000002</v>
          </cell>
          <cell r="AO58">
            <v>39.365400000000001</v>
          </cell>
          <cell r="AP58">
            <v>617495</v>
          </cell>
          <cell r="AQ58">
            <v>1484.96</v>
          </cell>
          <cell r="AR58">
            <v>0</v>
          </cell>
          <cell r="AS58">
            <v>0</v>
          </cell>
          <cell r="AT58">
            <v>0</v>
          </cell>
          <cell r="AU58">
            <v>296021</v>
          </cell>
          <cell r="AV58">
            <v>202559</v>
          </cell>
          <cell r="AW58">
            <v>93462</v>
          </cell>
          <cell r="AX58">
            <v>-2.4250000000000001E-2</v>
          </cell>
          <cell r="AY58">
            <v>1.7955700000000001</v>
          </cell>
          <cell r="AZ58">
            <v>19371</v>
          </cell>
          <cell r="BA58">
            <v>41606.300000000003</v>
          </cell>
          <cell r="BB58">
            <v>8036</v>
          </cell>
          <cell r="BC58">
            <v>65219</v>
          </cell>
          <cell r="BD58">
            <v>60454</v>
          </cell>
          <cell r="BE58">
            <v>6663</v>
          </cell>
          <cell r="BF58">
            <v>53143</v>
          </cell>
          <cell r="BG58">
            <v>5378.73</v>
          </cell>
          <cell r="BH58">
            <v>250.08199999999999</v>
          </cell>
          <cell r="BI58">
            <v>0.57999999999999996</v>
          </cell>
          <cell r="BJ58">
            <v>1.4207799999999999</v>
          </cell>
          <cell r="BK58">
            <v>3.2222</v>
          </cell>
          <cell r="BL58">
            <v>61213.2</v>
          </cell>
          <cell r="BM58">
            <v>4.2898399999999999</v>
          </cell>
          <cell r="BN58">
            <v>6522.61</v>
          </cell>
          <cell r="BO58">
            <v>1280.07</v>
          </cell>
          <cell r="BP58">
            <v>128.5</v>
          </cell>
          <cell r="BQ58">
            <v>76.395499999999998</v>
          </cell>
          <cell r="BR58">
            <v>425</v>
          </cell>
          <cell r="BS58">
            <v>25</v>
          </cell>
          <cell r="BT58">
            <v>25</v>
          </cell>
          <cell r="BU58" t="e">
            <v>#N/A</v>
          </cell>
          <cell r="BV58" t="e">
            <v>#N/A</v>
          </cell>
          <cell r="BW58">
            <v>836.64800000000002</v>
          </cell>
          <cell r="BX58">
            <v>-130.446</v>
          </cell>
          <cell r="BY58">
            <v>-706.20100000000002</v>
          </cell>
          <cell r="BZ58">
            <v>0.08</v>
          </cell>
          <cell r="CA58" t="e">
            <v>#N/A</v>
          </cell>
          <cell r="CB58" t="e">
            <v>#N/A</v>
          </cell>
          <cell r="CC58" t="e">
            <v>#N/A</v>
          </cell>
          <cell r="CD58" t="e">
            <v>#N/A</v>
          </cell>
          <cell r="CE58" t="e">
            <v>#N/A</v>
          </cell>
        </row>
        <row r="59">
          <cell r="A59">
            <v>201303</v>
          </cell>
          <cell r="B59">
            <v>136.846</v>
          </cell>
          <cell r="C59">
            <v>1091200</v>
          </cell>
          <cell r="D59">
            <v>27853.7</v>
          </cell>
          <cell r="E59">
            <v>17678.099999999999</v>
          </cell>
          <cell r="F59">
            <v>4932.08</v>
          </cell>
          <cell r="G59">
            <v>29257</v>
          </cell>
          <cell r="H59">
            <v>33.472999999999999</v>
          </cell>
          <cell r="I59">
            <v>12074</v>
          </cell>
          <cell r="J59">
            <v>9.7398399999999992</v>
          </cell>
          <cell r="K59">
            <v>702.77200000000005</v>
          </cell>
          <cell r="L59">
            <v>0</v>
          </cell>
          <cell r="M59">
            <v>177.49299999999999</v>
          </cell>
          <cell r="N59">
            <v>-2413.89</v>
          </cell>
          <cell r="O59">
            <v>133.24100000000001</v>
          </cell>
          <cell r="P59">
            <v>-995</v>
          </cell>
          <cell r="Q59">
            <v>102.718</v>
          </cell>
          <cell r="R59">
            <v>7864.51</v>
          </cell>
          <cell r="S59">
            <v>363.76</v>
          </cell>
          <cell r="T59">
            <v>79.744399999999999</v>
          </cell>
          <cell r="U59">
            <v>2055.0300000000002</v>
          </cell>
          <cell r="V59">
            <v>-813.02700000000004</v>
          </cell>
          <cell r="W59">
            <v>89.484200000000001</v>
          </cell>
          <cell r="X59">
            <v>-1500</v>
          </cell>
          <cell r="Y59">
            <v>40.776000000000003</v>
          </cell>
          <cell r="Z59">
            <v>1097</v>
          </cell>
          <cell r="AA59">
            <v>64.713300000000004</v>
          </cell>
          <cell r="AB59">
            <v>1</v>
          </cell>
          <cell r="AC59">
            <v>25771</v>
          </cell>
          <cell r="AD59">
            <v>1084.24</v>
          </cell>
          <cell r="AE59">
            <v>10988.1</v>
          </cell>
          <cell r="AF59">
            <v>7040.01</v>
          </cell>
          <cell r="AG59">
            <v>164.14099999999999</v>
          </cell>
          <cell r="AH59">
            <v>-1513.3</v>
          </cell>
          <cell r="AI59">
            <v>101304</v>
          </cell>
          <cell r="AJ59">
            <v>32676.7</v>
          </cell>
          <cell r="AK59">
            <v>0</v>
          </cell>
          <cell r="AL59">
            <v>0</v>
          </cell>
          <cell r="AM59">
            <v>1033.18</v>
          </cell>
          <cell r="AN59">
            <v>-391.82</v>
          </cell>
          <cell r="AO59">
            <v>39.713299999999997</v>
          </cell>
          <cell r="AP59">
            <v>617495</v>
          </cell>
          <cell r="AQ59">
            <v>1511.98</v>
          </cell>
          <cell r="AR59">
            <v>5795</v>
          </cell>
          <cell r="AS59">
            <v>11780.3</v>
          </cell>
          <cell r="AT59">
            <v>115.9</v>
          </cell>
          <cell r="AU59">
            <v>288078</v>
          </cell>
          <cell r="AV59">
            <v>213032</v>
          </cell>
          <cell r="AW59">
            <v>75046.399999999994</v>
          </cell>
          <cell r="AX59">
            <v>2.8382099999999999E-3</v>
          </cell>
          <cell r="AY59">
            <v>1.8833299999999999</v>
          </cell>
          <cell r="AZ59">
            <v>19271</v>
          </cell>
          <cell r="BA59">
            <v>43019.6</v>
          </cell>
          <cell r="BB59">
            <v>8061</v>
          </cell>
          <cell r="BC59">
            <v>65653.100000000006</v>
          </cell>
          <cell r="BD59">
            <v>62079.4</v>
          </cell>
          <cell r="BE59">
            <v>6688</v>
          </cell>
          <cell r="BF59">
            <v>53143</v>
          </cell>
          <cell r="BG59">
            <v>5378.73</v>
          </cell>
          <cell r="BH59">
            <v>250.614</v>
          </cell>
          <cell r="BI59">
            <v>0.62</v>
          </cell>
          <cell r="BJ59">
            <v>1.45621</v>
          </cell>
          <cell r="BK59">
            <v>3.2374200000000002</v>
          </cell>
          <cell r="BL59">
            <v>61724.9</v>
          </cell>
          <cell r="BM59">
            <v>4.23271</v>
          </cell>
          <cell r="BN59">
            <v>6627.42</v>
          </cell>
          <cell r="BO59">
            <v>1283.73</v>
          </cell>
          <cell r="BP59">
            <v>148.5</v>
          </cell>
          <cell r="BQ59">
            <v>79.744399999999999</v>
          </cell>
          <cell r="BR59">
            <v>425</v>
          </cell>
          <cell r="BS59">
            <v>25</v>
          </cell>
          <cell r="BT59">
            <v>25</v>
          </cell>
          <cell r="BU59" t="e">
            <v>#N/A</v>
          </cell>
          <cell r="BV59" t="e">
            <v>#N/A</v>
          </cell>
          <cell r="BW59">
            <v>833.57600000000002</v>
          </cell>
          <cell r="BX59">
            <v>-567.29899999999998</v>
          </cell>
          <cell r="BY59">
            <v>-266.27699999999999</v>
          </cell>
          <cell r="BZ59">
            <v>0.12</v>
          </cell>
          <cell r="CA59" t="e">
            <v>#N/A</v>
          </cell>
          <cell r="CB59" t="e">
            <v>#N/A</v>
          </cell>
          <cell r="CC59" t="e">
            <v>#N/A</v>
          </cell>
          <cell r="CD59" t="e">
            <v>#N/A</v>
          </cell>
          <cell r="CE59" t="e">
            <v>#N/A</v>
          </cell>
        </row>
        <row r="60">
          <cell r="A60">
            <v>201304</v>
          </cell>
          <cell r="B60">
            <v>142.708</v>
          </cell>
          <cell r="C60">
            <v>1113490</v>
          </cell>
          <cell r="D60">
            <v>27853.7</v>
          </cell>
          <cell r="E60">
            <v>17678.099999999999</v>
          </cell>
          <cell r="F60">
            <v>5059.3999999999996</v>
          </cell>
          <cell r="G60">
            <v>29143.8</v>
          </cell>
          <cell r="H60">
            <v>33.472999999999999</v>
          </cell>
          <cell r="I60">
            <v>12279.8</v>
          </cell>
          <cell r="J60">
            <v>9.7398399999999992</v>
          </cell>
          <cell r="K60">
            <v>696.68799999999999</v>
          </cell>
          <cell r="L60">
            <v>0</v>
          </cell>
          <cell r="M60">
            <v>184.15600000000001</v>
          </cell>
          <cell r="N60">
            <v>5831.73</v>
          </cell>
          <cell r="O60">
            <v>133.24100000000001</v>
          </cell>
          <cell r="P60">
            <v>-966</v>
          </cell>
          <cell r="Q60">
            <v>103.761</v>
          </cell>
          <cell r="R60">
            <v>7940.9</v>
          </cell>
          <cell r="S60">
            <v>587.04999999999995</v>
          </cell>
          <cell r="T60">
            <v>83.093199999999996</v>
          </cell>
          <cell r="U60">
            <v>2054.81</v>
          </cell>
          <cell r="V60">
            <v>-816.02700000000004</v>
          </cell>
          <cell r="W60">
            <v>92.833100000000002</v>
          </cell>
          <cell r="X60">
            <v>-1500</v>
          </cell>
          <cell r="Y60">
            <v>27</v>
          </cell>
          <cell r="Z60">
            <v>1097</v>
          </cell>
          <cell r="AA60">
            <v>64.983999999999995</v>
          </cell>
          <cell r="AB60">
            <v>1</v>
          </cell>
          <cell r="AC60">
            <v>25771</v>
          </cell>
          <cell r="AD60">
            <v>1064.42</v>
          </cell>
          <cell r="AE60">
            <v>-2625.31</v>
          </cell>
          <cell r="AF60">
            <v>0</v>
          </cell>
          <cell r="AG60">
            <v>3251.94</v>
          </cell>
          <cell r="AH60">
            <v>-1377.51</v>
          </cell>
          <cell r="AI60">
            <v>101387</v>
          </cell>
          <cell r="AJ60">
            <v>32676.7</v>
          </cell>
          <cell r="AK60">
            <v>0</v>
          </cell>
          <cell r="AL60">
            <v>0</v>
          </cell>
          <cell r="AM60">
            <v>1003.64</v>
          </cell>
          <cell r="AN60">
            <v>-421.36399999999998</v>
          </cell>
          <cell r="AO60">
            <v>39.984000000000002</v>
          </cell>
          <cell r="AP60">
            <v>617495</v>
          </cell>
          <cell r="AQ60">
            <v>1489.46</v>
          </cell>
          <cell r="AR60">
            <v>14.863</v>
          </cell>
          <cell r="AS60">
            <v>0</v>
          </cell>
          <cell r="AT60">
            <v>0.44589000000000001</v>
          </cell>
          <cell r="AU60">
            <v>296011</v>
          </cell>
          <cell r="AV60">
            <v>220048</v>
          </cell>
          <cell r="AW60">
            <v>75962.600000000006</v>
          </cell>
          <cell r="AX60">
            <v>2.9115700000000001E-2</v>
          </cell>
          <cell r="AY60">
            <v>1.96635</v>
          </cell>
          <cell r="AZ60">
            <v>19171</v>
          </cell>
          <cell r="BA60">
            <v>44297.1</v>
          </cell>
          <cell r="BB60">
            <v>8086</v>
          </cell>
          <cell r="BC60">
            <v>66087.199999999997</v>
          </cell>
          <cell r="BD60">
            <v>63704.7</v>
          </cell>
          <cell r="BE60">
            <v>6713</v>
          </cell>
          <cell r="BF60">
            <v>53143</v>
          </cell>
          <cell r="BG60">
            <v>5378.73</v>
          </cell>
          <cell r="BH60">
            <v>252.43600000000001</v>
          </cell>
          <cell r="BI60">
            <v>0.65</v>
          </cell>
          <cell r="BJ60">
            <v>1.47814</v>
          </cell>
          <cell r="BK60">
            <v>3.3060399999999999</v>
          </cell>
          <cell r="BL60">
            <v>62239.4</v>
          </cell>
          <cell r="BM60">
            <v>4.1655899999999999</v>
          </cell>
          <cell r="BN60">
            <v>6732.23</v>
          </cell>
          <cell r="BO60">
            <v>1289.8699999999999</v>
          </cell>
          <cell r="BP60">
            <v>116.5</v>
          </cell>
          <cell r="BQ60">
            <v>83.093199999999996</v>
          </cell>
          <cell r="BR60">
            <v>425</v>
          </cell>
          <cell r="BS60">
            <v>25</v>
          </cell>
          <cell r="BT60">
            <v>25</v>
          </cell>
          <cell r="BU60" t="e">
            <v>#N/A</v>
          </cell>
          <cell r="BV60" t="e">
            <v>#N/A</v>
          </cell>
          <cell r="BW60">
            <v>813.71600000000001</v>
          </cell>
          <cell r="BX60">
            <v>-532.21500000000003</v>
          </cell>
          <cell r="BY60">
            <v>-281.50099999999998</v>
          </cell>
          <cell r="BZ60">
            <v>0.15</v>
          </cell>
          <cell r="CA60" t="e">
            <v>#N/A</v>
          </cell>
          <cell r="CB60" t="e">
            <v>#N/A</v>
          </cell>
          <cell r="CC60" t="e">
            <v>#N/A</v>
          </cell>
          <cell r="CD60" t="e">
            <v>#N/A</v>
          </cell>
          <cell r="CE60" t="e">
            <v>#N/A</v>
          </cell>
        </row>
        <row r="61">
          <cell r="A61">
            <v>201401</v>
          </cell>
          <cell r="B61">
            <v>151.80600000000001</v>
          </cell>
          <cell r="C61">
            <v>1129080</v>
          </cell>
          <cell r="D61">
            <v>27853.7</v>
          </cell>
          <cell r="E61">
            <v>17678.099999999999</v>
          </cell>
          <cell r="F61">
            <v>5068.6000000000004</v>
          </cell>
          <cell r="G61">
            <v>29261.8</v>
          </cell>
          <cell r="H61">
            <v>33.472999999999999</v>
          </cell>
          <cell r="I61">
            <v>12476.4</v>
          </cell>
          <cell r="J61">
            <v>9.7398399999999992</v>
          </cell>
          <cell r="K61">
            <v>690.73199999999997</v>
          </cell>
          <cell r="L61">
            <v>0</v>
          </cell>
          <cell r="M61">
            <v>187.55799999999999</v>
          </cell>
          <cell r="N61">
            <v>12625.4</v>
          </cell>
          <cell r="O61">
            <v>133.24100000000001</v>
          </cell>
          <cell r="P61">
            <v>-283</v>
          </cell>
          <cell r="Q61">
            <v>104.80500000000001</v>
          </cell>
          <cell r="R61">
            <v>8110.29</v>
          </cell>
          <cell r="S61">
            <v>366.89699999999999</v>
          </cell>
          <cell r="T61">
            <v>86.442099999999996</v>
          </cell>
          <cell r="U61">
            <v>2057.9499999999998</v>
          </cell>
          <cell r="V61">
            <v>-128.02699999999999</v>
          </cell>
          <cell r="W61">
            <v>96.181899999999999</v>
          </cell>
          <cell r="X61">
            <v>-1500</v>
          </cell>
          <cell r="Y61">
            <v>27</v>
          </cell>
          <cell r="Z61">
            <v>1097</v>
          </cell>
          <cell r="AA61">
            <v>65.389700000000005</v>
          </cell>
          <cell r="AB61">
            <v>1</v>
          </cell>
          <cell r="AC61">
            <v>25771</v>
          </cell>
          <cell r="AD61">
            <v>1072.43</v>
          </cell>
          <cell r="AE61">
            <v>-1368.76</v>
          </cell>
          <cell r="AF61">
            <v>0</v>
          </cell>
          <cell r="AG61">
            <v>1164.58</v>
          </cell>
          <cell r="AH61">
            <v>-2043.65</v>
          </cell>
          <cell r="AI61">
            <v>101469</v>
          </cell>
          <cell r="AJ61">
            <v>32676.7</v>
          </cell>
          <cell r="AK61">
            <v>0</v>
          </cell>
          <cell r="AL61">
            <v>0</v>
          </cell>
          <cell r="AM61">
            <v>1538.04</v>
          </cell>
          <cell r="AN61">
            <v>213.04400000000001</v>
          </cell>
          <cell r="AO61">
            <v>40.389699999999998</v>
          </cell>
          <cell r="AP61">
            <v>617495</v>
          </cell>
          <cell r="AQ61">
            <v>1507.31</v>
          </cell>
          <cell r="AR61">
            <v>33865.300000000003</v>
          </cell>
          <cell r="AS61">
            <v>0</v>
          </cell>
          <cell r="AT61">
            <v>190.49199999999999</v>
          </cell>
          <cell r="AU61">
            <v>309828</v>
          </cell>
          <cell r="AV61">
            <v>233704</v>
          </cell>
          <cell r="AW61">
            <v>76124.2</v>
          </cell>
          <cell r="AX61">
            <v>5.4476799999999999E-2</v>
          </cell>
          <cell r="AY61">
            <v>2.04427</v>
          </cell>
          <cell r="AZ61">
            <v>19071</v>
          </cell>
          <cell r="BA61">
            <v>46240.800000000003</v>
          </cell>
          <cell r="BB61">
            <v>8111</v>
          </cell>
          <cell r="BC61">
            <v>66521.3</v>
          </cell>
          <cell r="BD61">
            <v>65330.1</v>
          </cell>
          <cell r="BE61">
            <v>6738</v>
          </cell>
          <cell r="BF61">
            <v>53143</v>
          </cell>
          <cell r="BG61">
            <v>5378.73</v>
          </cell>
          <cell r="BH61">
            <v>253.29400000000001</v>
          </cell>
          <cell r="BI61">
            <v>0.68</v>
          </cell>
          <cell r="BJ61">
            <v>1.58633</v>
          </cell>
          <cell r="BK61">
            <v>3.3576100000000002</v>
          </cell>
          <cell r="BL61">
            <v>62828.7</v>
          </cell>
          <cell r="BM61">
            <v>4.0984600000000002</v>
          </cell>
          <cell r="BN61">
            <v>6837.03</v>
          </cell>
          <cell r="BO61">
            <v>1299.3699999999999</v>
          </cell>
          <cell r="BP61">
            <v>121.5</v>
          </cell>
          <cell r="BQ61">
            <v>86.442099999999996</v>
          </cell>
          <cell r="BR61">
            <v>425</v>
          </cell>
          <cell r="BS61">
            <v>25</v>
          </cell>
          <cell r="BT61">
            <v>25</v>
          </cell>
          <cell r="BU61" t="e">
            <v>#N/A</v>
          </cell>
          <cell r="BV61" t="e">
            <v>#N/A</v>
          </cell>
          <cell r="BW61">
            <v>807.76</v>
          </cell>
          <cell r="BX61">
            <v>156.74100000000001</v>
          </cell>
          <cell r="BY61">
            <v>-964.50099999999998</v>
          </cell>
          <cell r="BZ61">
            <v>0.18</v>
          </cell>
          <cell r="CA61" t="e">
            <v>#N/A</v>
          </cell>
          <cell r="CB61" t="e">
            <v>#N/A</v>
          </cell>
          <cell r="CC61" t="e">
            <v>#N/A</v>
          </cell>
          <cell r="CD61" t="e">
            <v>#N/A</v>
          </cell>
          <cell r="CE61" t="e">
            <v>#N/A</v>
          </cell>
        </row>
        <row r="62">
          <cell r="A62">
            <v>201402</v>
          </cell>
          <cell r="B62">
            <v>160.441</v>
          </cell>
          <cell r="C62">
            <v>1147860</v>
          </cell>
          <cell r="D62">
            <v>27110.1</v>
          </cell>
          <cell r="E62">
            <v>17678.099999999999</v>
          </cell>
          <cell r="F62">
            <v>5096.5</v>
          </cell>
          <cell r="G62">
            <v>28665.4</v>
          </cell>
          <cell r="H62">
            <v>33.472999999999999</v>
          </cell>
          <cell r="I62">
            <v>12663.2</v>
          </cell>
          <cell r="J62">
            <v>9.7398399999999992</v>
          </cell>
          <cell r="K62">
            <v>684.90599999999995</v>
          </cell>
          <cell r="L62">
            <v>0</v>
          </cell>
          <cell r="M62">
            <v>187.471</v>
          </cell>
          <cell r="N62">
            <v>5733.07</v>
          </cell>
          <cell r="O62">
            <v>133.24100000000001</v>
          </cell>
          <cell r="P62">
            <v>-552</v>
          </cell>
          <cell r="Q62">
            <v>105.848</v>
          </cell>
          <cell r="R62">
            <v>8193.5300000000007</v>
          </cell>
          <cell r="S62">
            <v>828.92600000000004</v>
          </cell>
          <cell r="T62">
            <v>89.790999999999997</v>
          </cell>
          <cell r="U62">
            <v>2233.27</v>
          </cell>
          <cell r="V62">
            <v>-376.02699999999999</v>
          </cell>
          <cell r="W62">
            <v>99.530799999999999</v>
          </cell>
          <cell r="X62">
            <v>-1500</v>
          </cell>
          <cell r="Y62">
            <v>37.700000000000003</v>
          </cell>
          <cell r="Z62">
            <v>1097</v>
          </cell>
          <cell r="AA62">
            <v>65.795299999999997</v>
          </cell>
          <cell r="AB62">
            <v>1</v>
          </cell>
          <cell r="AC62">
            <v>25771</v>
          </cell>
          <cell r="AD62">
            <v>1080.17</v>
          </cell>
          <cell r="AE62">
            <v>-2792.96</v>
          </cell>
          <cell r="AF62">
            <v>0</v>
          </cell>
          <cell r="AG62">
            <v>2975.8</v>
          </cell>
          <cell r="AH62">
            <v>-1880.75</v>
          </cell>
          <cell r="AI62">
            <v>101386</v>
          </cell>
          <cell r="AJ62">
            <v>32676.7</v>
          </cell>
          <cell r="AK62">
            <v>0</v>
          </cell>
          <cell r="AL62">
            <v>0</v>
          </cell>
          <cell r="AM62">
            <v>1314.64</v>
          </cell>
          <cell r="AN62">
            <v>-97.863799999999998</v>
          </cell>
          <cell r="AO62">
            <v>40.795299999999997</v>
          </cell>
          <cell r="AP62">
            <v>617495</v>
          </cell>
          <cell r="AQ62">
            <v>1713.2</v>
          </cell>
          <cell r="AR62">
            <v>0</v>
          </cell>
          <cell r="AS62">
            <v>0</v>
          </cell>
          <cell r="AT62">
            <v>0</v>
          </cell>
          <cell r="AU62">
            <v>318224</v>
          </cell>
          <cell r="AV62">
            <v>241547</v>
          </cell>
          <cell r="AW62">
            <v>76677.8</v>
          </cell>
          <cell r="AX62">
            <v>7.8735700000000006E-2</v>
          </cell>
          <cell r="AY62">
            <v>2.1170200000000001</v>
          </cell>
          <cell r="AZ62">
            <v>18971</v>
          </cell>
          <cell r="BA62">
            <v>48021.5</v>
          </cell>
          <cell r="BB62">
            <v>8136</v>
          </cell>
          <cell r="BC62">
            <v>66955.399999999994</v>
          </cell>
          <cell r="BD62">
            <v>66993.8</v>
          </cell>
          <cell r="BE62">
            <v>6763</v>
          </cell>
          <cell r="BF62">
            <v>53143</v>
          </cell>
          <cell r="BG62">
            <v>5378.73</v>
          </cell>
          <cell r="BH62">
            <v>256.291</v>
          </cell>
          <cell r="BI62">
            <v>0.68</v>
          </cell>
          <cell r="BJ62">
            <v>1.71837</v>
          </cell>
          <cell r="BK62">
            <v>3.4194200000000001</v>
          </cell>
          <cell r="BL62">
            <v>63436.7</v>
          </cell>
          <cell r="BM62">
            <v>4.0013399999999999</v>
          </cell>
          <cell r="BN62">
            <v>6948.69</v>
          </cell>
          <cell r="BO62">
            <v>1480.91</v>
          </cell>
          <cell r="BP62">
            <v>142.5</v>
          </cell>
          <cell r="BQ62">
            <v>89.790999999999997</v>
          </cell>
          <cell r="BR62">
            <v>425</v>
          </cell>
          <cell r="BS62">
            <v>25</v>
          </cell>
          <cell r="BT62">
            <v>25</v>
          </cell>
          <cell r="BU62" t="e">
            <v>#N/A</v>
          </cell>
          <cell r="BV62" t="e">
            <v>#N/A</v>
          </cell>
          <cell r="BW62">
            <v>812.63400000000001</v>
          </cell>
          <cell r="BX62">
            <v>-106.43300000000001</v>
          </cell>
          <cell r="BY62">
            <v>-706.20100000000002</v>
          </cell>
          <cell r="BZ62">
            <v>0.18</v>
          </cell>
          <cell r="CA62" t="e">
            <v>#N/A</v>
          </cell>
          <cell r="CB62" t="e">
            <v>#N/A</v>
          </cell>
          <cell r="CC62" t="e">
            <v>#N/A</v>
          </cell>
          <cell r="CD62" t="e">
            <v>#N/A</v>
          </cell>
          <cell r="CE62" t="e">
            <v>#N/A</v>
          </cell>
        </row>
        <row r="63">
          <cell r="A63">
            <v>201403</v>
          </cell>
          <cell r="B63">
            <v>171.47300000000001</v>
          </cell>
          <cell r="C63">
            <v>1162930</v>
          </cell>
          <cell r="D63">
            <v>27110.1</v>
          </cell>
          <cell r="E63">
            <v>17678.099999999999</v>
          </cell>
          <cell r="F63">
            <v>5119.07</v>
          </cell>
          <cell r="G63">
            <v>28670.6</v>
          </cell>
          <cell r="H63">
            <v>33.472999999999999</v>
          </cell>
          <cell r="I63">
            <v>12898.8</v>
          </cell>
          <cell r="J63">
            <v>9.7398399999999992</v>
          </cell>
          <cell r="K63">
            <v>679.20699999999999</v>
          </cell>
          <cell r="L63">
            <v>0</v>
          </cell>
          <cell r="M63">
            <v>188.08799999999999</v>
          </cell>
          <cell r="N63">
            <v>12642.1</v>
          </cell>
          <cell r="O63">
            <v>133.24100000000001</v>
          </cell>
          <cell r="P63">
            <v>-995</v>
          </cell>
          <cell r="Q63">
            <v>106.892</v>
          </cell>
          <cell r="R63">
            <v>8411.76</v>
          </cell>
          <cell r="S63">
            <v>333.56</v>
          </cell>
          <cell r="T63">
            <v>93.139799999999994</v>
          </cell>
          <cell r="U63">
            <v>2238.6</v>
          </cell>
          <cell r="V63">
            <v>-799.02700000000004</v>
          </cell>
          <cell r="W63">
            <v>102.88</v>
          </cell>
          <cell r="X63">
            <v>-1500</v>
          </cell>
          <cell r="Y63">
            <v>40.776000000000003</v>
          </cell>
          <cell r="Z63">
            <v>1097</v>
          </cell>
          <cell r="AA63">
            <v>66.218999999999994</v>
          </cell>
          <cell r="AB63">
            <v>1</v>
          </cell>
          <cell r="AC63">
            <v>25771</v>
          </cell>
          <cell r="AD63">
            <v>1085.79</v>
          </cell>
          <cell r="AE63">
            <v>-2096.91</v>
          </cell>
          <cell r="AF63">
            <v>0</v>
          </cell>
          <cell r="AG63">
            <v>2151.19</v>
          </cell>
          <cell r="AH63">
            <v>-1461.3</v>
          </cell>
          <cell r="AI63">
            <v>101303</v>
          </cell>
          <cell r="AJ63">
            <v>32676.7</v>
          </cell>
          <cell r="AK63">
            <v>0</v>
          </cell>
          <cell r="AL63">
            <v>0</v>
          </cell>
          <cell r="AM63">
            <v>828.85699999999997</v>
          </cell>
          <cell r="AN63">
            <v>-583.64300000000003</v>
          </cell>
          <cell r="AO63">
            <v>41.219000000000001</v>
          </cell>
          <cell r="AP63">
            <v>617495</v>
          </cell>
          <cell r="AQ63">
            <v>1748.01</v>
          </cell>
          <cell r="AR63">
            <v>34540.1</v>
          </cell>
          <cell r="AS63">
            <v>0</v>
          </cell>
          <cell r="AT63">
            <v>431.75099999999998</v>
          </cell>
          <cell r="AU63">
            <v>332713</v>
          </cell>
          <cell r="AV63">
            <v>255774</v>
          </cell>
          <cell r="AW63">
            <v>76938.399999999994</v>
          </cell>
          <cell r="AX63">
            <v>0.102505</v>
          </cell>
          <cell r="AY63">
            <v>2.1848399999999999</v>
          </cell>
          <cell r="AZ63">
            <v>18871</v>
          </cell>
          <cell r="BA63">
            <v>49382.8</v>
          </cell>
          <cell r="BB63">
            <v>8161</v>
          </cell>
          <cell r="BC63">
            <v>67383.3</v>
          </cell>
          <cell r="BD63">
            <v>68657.5</v>
          </cell>
          <cell r="BE63">
            <v>6788</v>
          </cell>
          <cell r="BF63">
            <v>53143</v>
          </cell>
          <cell r="BG63">
            <v>5378.73</v>
          </cell>
          <cell r="BH63">
            <v>257.30599999999998</v>
          </cell>
          <cell r="BI63">
            <v>0.68</v>
          </cell>
          <cell r="BJ63">
            <v>1.8512599999999999</v>
          </cell>
          <cell r="BK63">
            <v>3.4806400000000002</v>
          </cell>
          <cell r="BL63">
            <v>64065.1</v>
          </cell>
          <cell r="BM63">
            <v>3.90421</v>
          </cell>
          <cell r="BN63">
            <v>7060.35</v>
          </cell>
          <cell r="BO63">
            <v>1492.37</v>
          </cell>
          <cell r="BP63">
            <v>162.5</v>
          </cell>
          <cell r="BQ63">
            <v>93.139799999999994</v>
          </cell>
          <cell r="BR63">
            <v>425</v>
          </cell>
          <cell r="BS63">
            <v>25</v>
          </cell>
          <cell r="BT63">
            <v>25</v>
          </cell>
          <cell r="BU63" t="e">
            <v>#N/A</v>
          </cell>
          <cell r="BV63" t="e">
            <v>#N/A</v>
          </cell>
          <cell r="BW63">
            <v>810.01099999999997</v>
          </cell>
          <cell r="BX63">
            <v>-543.73400000000004</v>
          </cell>
          <cell r="BY63">
            <v>-266.27699999999999</v>
          </cell>
          <cell r="BZ63">
            <v>0.18</v>
          </cell>
          <cell r="CA63" t="e">
            <v>#N/A</v>
          </cell>
          <cell r="CB63" t="e">
            <v>#N/A</v>
          </cell>
          <cell r="CC63" t="e">
            <v>#N/A</v>
          </cell>
          <cell r="CD63" t="e">
            <v>#N/A</v>
          </cell>
          <cell r="CE63" t="e">
            <v>#N/A</v>
          </cell>
        </row>
        <row r="64">
          <cell r="A64">
            <v>201404</v>
          </cell>
          <cell r="B64">
            <v>182.911</v>
          </cell>
          <cell r="C64">
            <v>1184800</v>
          </cell>
          <cell r="D64">
            <v>27110.1</v>
          </cell>
          <cell r="E64">
            <v>17678.099999999999</v>
          </cell>
          <cell r="F64">
            <v>5260.25</v>
          </cell>
          <cell r="G64">
            <v>28551.9</v>
          </cell>
          <cell r="H64">
            <v>33.472999999999999</v>
          </cell>
          <cell r="I64">
            <v>13186.4</v>
          </cell>
          <cell r="J64">
            <v>9.7398399999999992</v>
          </cell>
          <cell r="K64">
            <v>673.62699999999995</v>
          </cell>
          <cell r="L64">
            <v>0</v>
          </cell>
          <cell r="M64">
            <v>189.46299999999999</v>
          </cell>
          <cell r="N64">
            <v>5710.39</v>
          </cell>
          <cell r="O64">
            <v>133.24100000000001</v>
          </cell>
          <cell r="P64">
            <v>-966</v>
          </cell>
          <cell r="Q64">
            <v>107.935</v>
          </cell>
          <cell r="R64">
            <v>8429.4</v>
          </cell>
          <cell r="S64">
            <v>657.81399999999996</v>
          </cell>
          <cell r="T64">
            <v>96.488699999999994</v>
          </cell>
          <cell r="U64">
            <v>2244.79</v>
          </cell>
          <cell r="V64">
            <v>-801.92499999999995</v>
          </cell>
          <cell r="W64">
            <v>106.229</v>
          </cell>
          <cell r="X64">
            <v>-1500</v>
          </cell>
          <cell r="Y64">
            <v>27</v>
          </cell>
          <cell r="Z64">
            <v>1097</v>
          </cell>
          <cell r="AA64">
            <v>66.571299999999994</v>
          </cell>
          <cell r="AB64">
            <v>1</v>
          </cell>
          <cell r="AC64">
            <v>25771</v>
          </cell>
          <cell r="AD64">
            <v>1097.97</v>
          </cell>
          <cell r="AE64">
            <v>-2901.54</v>
          </cell>
          <cell r="AF64">
            <v>0</v>
          </cell>
          <cell r="AG64">
            <v>2836.06</v>
          </cell>
          <cell r="AH64">
            <v>-1457.27</v>
          </cell>
          <cell r="AI64">
            <v>101220</v>
          </cell>
          <cell r="AJ64">
            <v>32676.7</v>
          </cell>
          <cell r="AK64">
            <v>0</v>
          </cell>
          <cell r="AL64">
            <v>0</v>
          </cell>
          <cell r="AM64">
            <v>805.53099999999995</v>
          </cell>
          <cell r="AN64">
            <v>-606.96900000000005</v>
          </cell>
          <cell r="AO64">
            <v>41.571300000000001</v>
          </cell>
          <cell r="AP64">
            <v>617495</v>
          </cell>
          <cell r="AQ64">
            <v>1731.58</v>
          </cell>
          <cell r="AR64">
            <v>0</v>
          </cell>
          <cell r="AS64">
            <v>0</v>
          </cell>
          <cell r="AT64">
            <v>0</v>
          </cell>
          <cell r="AU64">
            <v>341209</v>
          </cell>
          <cell r="AV64">
            <v>263360</v>
          </cell>
          <cell r="AW64">
            <v>77848.600000000006</v>
          </cell>
          <cell r="AX64">
            <v>0.12540599999999999</v>
          </cell>
          <cell r="AY64">
            <v>2.2481800000000001</v>
          </cell>
          <cell r="AZ64">
            <v>18771</v>
          </cell>
          <cell r="BA64">
            <v>50740.1</v>
          </cell>
          <cell r="BB64">
            <v>8186</v>
          </cell>
          <cell r="BC64">
            <v>67811.100000000006</v>
          </cell>
          <cell r="BD64">
            <v>70321.2</v>
          </cell>
          <cell r="BE64">
            <v>6813</v>
          </cell>
          <cell r="BF64">
            <v>53143</v>
          </cell>
          <cell r="BG64">
            <v>5378.73</v>
          </cell>
          <cell r="BH64">
            <v>259.625</v>
          </cell>
          <cell r="BI64">
            <v>0.68409699999999996</v>
          </cell>
          <cell r="BJ64">
            <v>1.9832700000000001</v>
          </cell>
          <cell r="BK64">
            <v>3.5407799999999998</v>
          </cell>
          <cell r="BL64">
            <v>64710.2</v>
          </cell>
          <cell r="BM64">
            <v>3.8111799999999998</v>
          </cell>
          <cell r="BN64">
            <v>7172</v>
          </cell>
          <cell r="BO64">
            <v>1504.49</v>
          </cell>
          <cell r="BP64">
            <v>130.602</v>
          </cell>
          <cell r="BQ64">
            <v>96.488699999999994</v>
          </cell>
          <cell r="BR64">
            <v>425</v>
          </cell>
          <cell r="BS64">
            <v>25</v>
          </cell>
          <cell r="BT64">
            <v>25</v>
          </cell>
          <cell r="BU64" t="e">
            <v>#N/A</v>
          </cell>
          <cell r="BV64" t="e">
            <v>#N/A</v>
          </cell>
          <cell r="BW64">
            <v>790.65499999999997</v>
          </cell>
          <cell r="BX64">
            <v>-509.154</v>
          </cell>
          <cell r="BY64">
            <v>-281.50099999999998</v>
          </cell>
          <cell r="BZ64">
            <v>0.18</v>
          </cell>
          <cell r="CA64" t="e">
            <v>#N/A</v>
          </cell>
          <cell r="CB64" t="e">
            <v>#N/A</v>
          </cell>
          <cell r="CC64" t="e">
            <v>#N/A</v>
          </cell>
          <cell r="CD64" t="e">
            <v>#N/A</v>
          </cell>
          <cell r="CE64" t="e">
            <v>#N/A</v>
          </cell>
        </row>
        <row r="65">
          <cell r="A65">
            <v>201501</v>
          </cell>
          <cell r="B65">
            <v>197.58</v>
          </cell>
          <cell r="C65">
            <v>1201220</v>
          </cell>
          <cell r="D65">
            <v>27110.1</v>
          </cell>
          <cell r="E65">
            <v>17678.099999999999</v>
          </cell>
          <cell r="F65">
            <v>5274.39</v>
          </cell>
          <cell r="G65">
            <v>28678.9</v>
          </cell>
          <cell r="H65">
            <v>33.472999999999999</v>
          </cell>
          <cell r="I65">
            <v>13529.4</v>
          </cell>
          <cell r="J65">
            <v>9.7398399999999992</v>
          </cell>
          <cell r="K65">
            <v>668.41600000000005</v>
          </cell>
          <cell r="L65">
            <v>0</v>
          </cell>
          <cell r="M65">
            <v>191.648</v>
          </cell>
          <cell r="N65">
            <v>11292.8</v>
          </cell>
          <cell r="O65">
            <v>133.24100000000001</v>
          </cell>
          <cell r="P65">
            <v>-283</v>
          </cell>
          <cell r="Q65">
            <v>108.979</v>
          </cell>
          <cell r="R65">
            <v>8580.26</v>
          </cell>
          <cell r="S65">
            <v>412.71600000000001</v>
          </cell>
          <cell r="T65">
            <v>99.837599999999995</v>
          </cell>
          <cell r="U65">
            <v>2260.25</v>
          </cell>
          <cell r="V65">
            <v>-112.07899999999999</v>
          </cell>
          <cell r="W65">
            <v>109.577</v>
          </cell>
          <cell r="X65">
            <v>-1500</v>
          </cell>
          <cell r="Y65">
            <v>27</v>
          </cell>
          <cell r="Z65">
            <v>1097</v>
          </cell>
          <cell r="AA65">
            <v>67.643900000000002</v>
          </cell>
          <cell r="AB65">
            <v>1</v>
          </cell>
          <cell r="AC65">
            <v>25771</v>
          </cell>
          <cell r="AD65">
            <v>1109.94</v>
          </cell>
          <cell r="AE65">
            <v>-2426.48</v>
          </cell>
          <cell r="AF65">
            <v>0</v>
          </cell>
          <cell r="AG65">
            <v>2468.34</v>
          </cell>
          <cell r="AH65">
            <v>-2128.21</v>
          </cell>
          <cell r="AI65">
            <v>101137</v>
          </cell>
          <cell r="AJ65">
            <v>32676.7</v>
          </cell>
          <cell r="AK65">
            <v>0</v>
          </cell>
          <cell r="AL65">
            <v>0</v>
          </cell>
          <cell r="AM65">
            <v>707.81399999999996</v>
          </cell>
          <cell r="AN65">
            <v>45.313800000000001</v>
          </cell>
          <cell r="AO65">
            <v>42.643900000000002</v>
          </cell>
          <cell r="AP65">
            <v>617495</v>
          </cell>
          <cell r="AQ65">
            <v>1763.53</v>
          </cell>
          <cell r="AR65">
            <v>27784.9</v>
          </cell>
          <cell r="AS65">
            <v>0</v>
          </cell>
          <cell r="AT65">
            <v>191.02099999999999</v>
          </cell>
          <cell r="AU65">
            <v>354537</v>
          </cell>
          <cell r="AV65">
            <v>276380</v>
          </cell>
          <cell r="AW65">
            <v>78157</v>
          </cell>
          <cell r="AX65">
            <v>0.147345</v>
          </cell>
          <cell r="AY65">
            <v>2.3075899999999998</v>
          </cell>
          <cell r="AZ65">
            <v>18671</v>
          </cell>
          <cell r="BA65">
            <v>52768.3</v>
          </cell>
          <cell r="BB65">
            <v>8211</v>
          </cell>
          <cell r="BC65">
            <v>68238.899999999994</v>
          </cell>
          <cell r="BD65">
            <v>71984.800000000003</v>
          </cell>
          <cell r="BE65">
            <v>6838</v>
          </cell>
          <cell r="BF65">
            <v>53143</v>
          </cell>
          <cell r="BG65">
            <v>5378.73</v>
          </cell>
          <cell r="BH65">
            <v>261.012</v>
          </cell>
          <cell r="BI65">
            <v>0.75790599999999997</v>
          </cell>
          <cell r="BJ65">
            <v>2.11328</v>
          </cell>
          <cell r="BK65">
            <v>3.5994899999999999</v>
          </cell>
          <cell r="BL65">
            <v>65379.7</v>
          </cell>
          <cell r="BM65">
            <v>3.7878699999999998</v>
          </cell>
          <cell r="BN65">
            <v>7283.66</v>
          </cell>
          <cell r="BO65">
            <v>1526.24</v>
          </cell>
          <cell r="BP65">
            <v>137.44800000000001</v>
          </cell>
          <cell r="BQ65">
            <v>99.837599999999995</v>
          </cell>
          <cell r="BR65">
            <v>425</v>
          </cell>
          <cell r="BS65">
            <v>25</v>
          </cell>
          <cell r="BT65">
            <v>25</v>
          </cell>
          <cell r="BU65" t="e">
            <v>#N/A</v>
          </cell>
          <cell r="BV65" t="e">
            <v>#N/A</v>
          </cell>
          <cell r="BW65">
            <v>785.44399999999996</v>
          </cell>
          <cell r="BX65">
            <v>179.05699999999999</v>
          </cell>
          <cell r="BY65">
            <v>-964.50099999999998</v>
          </cell>
          <cell r="BZ65">
            <v>0.18</v>
          </cell>
          <cell r="CA65" t="e">
            <v>#N/A</v>
          </cell>
          <cell r="CB65" t="e">
            <v>#N/A</v>
          </cell>
          <cell r="CC65" t="e">
            <v>#N/A</v>
          </cell>
          <cell r="CD65" t="e">
            <v>#N/A</v>
          </cell>
          <cell r="CE65" t="e">
            <v>#N/A</v>
          </cell>
        </row>
        <row r="66">
          <cell r="A66">
            <v>201502</v>
          </cell>
          <cell r="B66">
            <v>211.982</v>
          </cell>
          <cell r="C66">
            <v>1218710</v>
          </cell>
          <cell r="D66">
            <v>23100.1</v>
          </cell>
          <cell r="E66">
            <v>17678.099999999999</v>
          </cell>
          <cell r="F66">
            <v>5309.59</v>
          </cell>
          <cell r="G66">
            <v>23068.400000000001</v>
          </cell>
          <cell r="H66">
            <v>33.472999999999999</v>
          </cell>
          <cell r="I66">
            <v>13931</v>
          </cell>
          <cell r="J66">
            <v>9.7398399999999992</v>
          </cell>
          <cell r="K66">
            <v>663.53800000000001</v>
          </cell>
          <cell r="L66">
            <v>0</v>
          </cell>
          <cell r="M66">
            <v>194.69800000000001</v>
          </cell>
          <cell r="N66">
            <v>4613.68</v>
          </cell>
          <cell r="O66">
            <v>133.24100000000001</v>
          </cell>
          <cell r="P66">
            <v>-552</v>
          </cell>
          <cell r="Q66">
            <v>110.02200000000001</v>
          </cell>
          <cell r="R66">
            <v>8791.7900000000009</v>
          </cell>
          <cell r="S66">
            <v>855.03200000000004</v>
          </cell>
          <cell r="T66">
            <v>103.18600000000001</v>
          </cell>
          <cell r="U66">
            <v>2483.7600000000002</v>
          </cell>
          <cell r="V66">
            <v>-358.471</v>
          </cell>
          <cell r="W66">
            <v>112.926</v>
          </cell>
          <cell r="X66">
            <v>0</v>
          </cell>
          <cell r="Y66">
            <v>37.700000000000003</v>
          </cell>
          <cell r="Z66">
            <v>1097</v>
          </cell>
          <cell r="AA66">
            <v>79.310500000000005</v>
          </cell>
          <cell r="AB66">
            <v>1</v>
          </cell>
          <cell r="AC66">
            <v>25771</v>
          </cell>
          <cell r="AD66">
            <v>1122.03</v>
          </cell>
          <cell r="AE66">
            <v>-3626.52</v>
          </cell>
          <cell r="AF66">
            <v>0</v>
          </cell>
          <cell r="AG66">
            <v>3713.62</v>
          </cell>
          <cell r="AH66">
            <v>-1834.44</v>
          </cell>
          <cell r="AI66">
            <v>101134</v>
          </cell>
          <cell r="AJ66">
            <v>32676.7</v>
          </cell>
          <cell r="AK66">
            <v>0</v>
          </cell>
          <cell r="AL66">
            <v>0</v>
          </cell>
          <cell r="AM66">
            <v>233.417</v>
          </cell>
          <cell r="AN66">
            <v>-235.333</v>
          </cell>
          <cell r="AO66">
            <v>54.310499999999998</v>
          </cell>
          <cell r="AP66">
            <v>617495</v>
          </cell>
          <cell r="AQ66">
            <v>2029.54</v>
          </cell>
          <cell r="AR66">
            <v>0</v>
          </cell>
          <cell r="AS66">
            <v>0</v>
          </cell>
          <cell r="AT66">
            <v>0</v>
          </cell>
          <cell r="AU66">
            <v>362693</v>
          </cell>
          <cell r="AV66">
            <v>283832</v>
          </cell>
          <cell r="AW66">
            <v>78861.399999999994</v>
          </cell>
          <cell r="AX66">
            <v>0.168158</v>
          </cell>
          <cell r="AY66">
            <v>2.3764599999999998</v>
          </cell>
          <cell r="AZ66">
            <v>18571</v>
          </cell>
          <cell r="BA66">
            <v>54502.8</v>
          </cell>
          <cell r="BB66">
            <v>8236</v>
          </cell>
          <cell r="BC66">
            <v>68666.7</v>
          </cell>
          <cell r="BD66">
            <v>73628.5</v>
          </cell>
          <cell r="BE66">
            <v>6863.37</v>
          </cell>
          <cell r="BF66">
            <v>53143</v>
          </cell>
          <cell r="BG66">
            <v>5378.73</v>
          </cell>
          <cell r="BH66">
            <v>264.33199999999999</v>
          </cell>
          <cell r="BI66">
            <v>0.82225800000000004</v>
          </cell>
          <cell r="BJ66">
            <v>2.2402299999999999</v>
          </cell>
          <cell r="BK66">
            <v>3.6564800000000002</v>
          </cell>
          <cell r="BL66">
            <v>66089.100000000006</v>
          </cell>
          <cell r="BM66">
            <v>3.75509</v>
          </cell>
          <cell r="BN66">
            <v>7402.61</v>
          </cell>
          <cell r="BO66">
            <v>1766.29</v>
          </cell>
          <cell r="BP66">
            <v>160.05600000000001</v>
          </cell>
          <cell r="BQ66">
            <v>103.18600000000001</v>
          </cell>
          <cell r="BR66">
            <v>425</v>
          </cell>
          <cell r="BS66">
            <v>25</v>
          </cell>
          <cell r="BT66">
            <v>25</v>
          </cell>
          <cell r="BU66" t="e">
            <v>#N/A</v>
          </cell>
          <cell r="BV66" t="e">
            <v>#N/A</v>
          </cell>
          <cell r="BW66">
            <v>791.26599999999996</v>
          </cell>
          <cell r="BX66">
            <v>-85.064899999999994</v>
          </cell>
          <cell r="BY66">
            <v>-706.20100000000002</v>
          </cell>
          <cell r="BZ66">
            <v>0.18</v>
          </cell>
          <cell r="CA66" t="e">
            <v>#N/A</v>
          </cell>
          <cell r="CB66" t="e">
            <v>#N/A</v>
          </cell>
          <cell r="CC66" t="e">
            <v>#N/A</v>
          </cell>
          <cell r="CD66" t="e">
            <v>#N/A</v>
          </cell>
          <cell r="CE66" t="e">
            <v>#N/A</v>
          </cell>
        </row>
        <row r="67">
          <cell r="A67">
            <v>201503</v>
          </cell>
          <cell r="B67">
            <v>226.17500000000001</v>
          </cell>
          <cell r="C67">
            <v>1230210</v>
          </cell>
          <cell r="D67">
            <v>23100.1</v>
          </cell>
          <cell r="E67">
            <v>17678.099999999999</v>
          </cell>
          <cell r="F67">
            <v>5338.43</v>
          </cell>
          <cell r="G67">
            <v>23074.799999999999</v>
          </cell>
          <cell r="H67">
            <v>33.472999999999999</v>
          </cell>
          <cell r="I67">
            <v>14313.7</v>
          </cell>
          <cell r="J67">
            <v>9.7398399999999992</v>
          </cell>
          <cell r="K67">
            <v>659.03399999999999</v>
          </cell>
          <cell r="L67">
            <v>0</v>
          </cell>
          <cell r="M67">
            <v>197.471</v>
          </cell>
          <cell r="N67">
            <v>10603.8</v>
          </cell>
          <cell r="O67">
            <v>133.24100000000001</v>
          </cell>
          <cell r="P67">
            <v>-995</v>
          </cell>
          <cell r="Q67">
            <v>111.066</v>
          </cell>
          <cell r="R67">
            <v>8963.51</v>
          </cell>
          <cell r="S67">
            <v>362.59399999999999</v>
          </cell>
          <cell r="T67">
            <v>106.535</v>
          </cell>
          <cell r="U67">
            <v>2499.75</v>
          </cell>
          <cell r="V67">
            <v>-779.53200000000004</v>
          </cell>
          <cell r="W67">
            <v>116.27500000000001</v>
          </cell>
          <cell r="X67">
            <v>0</v>
          </cell>
          <cell r="Y67">
            <v>40.776000000000003</v>
          </cell>
          <cell r="Z67">
            <v>1097</v>
          </cell>
          <cell r="AA67">
            <v>89.79</v>
          </cell>
          <cell r="AB67">
            <v>1</v>
          </cell>
          <cell r="AC67">
            <v>25771</v>
          </cell>
          <cell r="AD67">
            <v>1131.57</v>
          </cell>
          <cell r="AE67">
            <v>-2649.37</v>
          </cell>
          <cell r="AF67">
            <v>0</v>
          </cell>
          <cell r="AG67">
            <v>2891.83</v>
          </cell>
          <cell r="AH67">
            <v>-1347.73</v>
          </cell>
          <cell r="AI67">
            <v>101130</v>
          </cell>
          <cell r="AJ67">
            <v>32676.7</v>
          </cell>
          <cell r="AK67">
            <v>0</v>
          </cell>
          <cell r="AL67">
            <v>0</v>
          </cell>
          <cell r="AM67">
            <v>-229.786</v>
          </cell>
          <cell r="AN67">
            <v>-698.53599999999994</v>
          </cell>
          <cell r="AO67">
            <v>64.790000000000006</v>
          </cell>
          <cell r="AP67">
            <v>617495</v>
          </cell>
          <cell r="AQ67">
            <v>2085.8000000000002</v>
          </cell>
          <cell r="AR67">
            <v>29944.2</v>
          </cell>
          <cell r="AS67">
            <v>0</v>
          </cell>
          <cell r="AT67">
            <v>355.58699999999999</v>
          </cell>
          <cell r="AU67">
            <v>375834</v>
          </cell>
          <cell r="AV67">
            <v>296551</v>
          </cell>
          <cell r="AW67">
            <v>79282.600000000006</v>
          </cell>
          <cell r="AX67">
            <v>0.18836700000000001</v>
          </cell>
          <cell r="AY67">
            <v>2.44835</v>
          </cell>
          <cell r="AZ67">
            <v>18471</v>
          </cell>
          <cell r="BA67">
            <v>55750.5</v>
          </cell>
          <cell r="BB67">
            <v>8261</v>
          </cell>
          <cell r="BC67">
            <v>69084.5</v>
          </cell>
          <cell r="BD67">
            <v>75272.3</v>
          </cell>
          <cell r="BE67">
            <v>6888.74</v>
          </cell>
          <cell r="BF67">
            <v>53143</v>
          </cell>
          <cell r="BG67">
            <v>5378.73</v>
          </cell>
          <cell r="BH67">
            <v>265.61399999999998</v>
          </cell>
          <cell r="BI67">
            <v>0.89980099999999996</v>
          </cell>
          <cell r="BJ67">
            <v>2.36354</v>
          </cell>
          <cell r="BK67">
            <v>3.71156</v>
          </cell>
          <cell r="BL67">
            <v>66810.399999999994</v>
          </cell>
          <cell r="BM67">
            <v>3.7355100000000001</v>
          </cell>
          <cell r="BN67">
            <v>7521.56</v>
          </cell>
          <cell r="BO67">
            <v>1797.27</v>
          </cell>
          <cell r="BP67">
            <v>181.995</v>
          </cell>
          <cell r="BQ67">
            <v>106.535</v>
          </cell>
          <cell r="BR67">
            <v>425</v>
          </cell>
          <cell r="BS67">
            <v>25</v>
          </cell>
          <cell r="BT67">
            <v>25</v>
          </cell>
          <cell r="BU67" t="e">
            <v>#N/A</v>
          </cell>
          <cell r="BV67" t="e">
            <v>#N/A</v>
          </cell>
          <cell r="BW67">
            <v>789.83799999999997</v>
          </cell>
          <cell r="BX67">
            <v>-523.56100000000004</v>
          </cell>
          <cell r="BY67">
            <v>-266.27699999999999</v>
          </cell>
          <cell r="BZ67">
            <v>0.18</v>
          </cell>
          <cell r="CA67" t="e">
            <v>#N/A</v>
          </cell>
          <cell r="CB67" t="e">
            <v>#N/A</v>
          </cell>
          <cell r="CC67" t="e">
            <v>#N/A</v>
          </cell>
          <cell r="CD67" t="e">
            <v>#N/A</v>
          </cell>
          <cell r="CE67" t="e">
            <v>#N/A</v>
          </cell>
        </row>
        <row r="68">
          <cell r="A68">
            <v>201504</v>
          </cell>
          <cell r="B68">
            <v>241.96199999999999</v>
          </cell>
          <cell r="C68">
            <v>1246170</v>
          </cell>
          <cell r="D68">
            <v>23100.1</v>
          </cell>
          <cell r="E68">
            <v>17678.099999999999</v>
          </cell>
          <cell r="F68">
            <v>5490.75</v>
          </cell>
          <cell r="G68">
            <v>22951.3</v>
          </cell>
          <cell r="H68">
            <v>33.472999999999999</v>
          </cell>
          <cell r="I68">
            <v>14676</v>
          </cell>
          <cell r="J68">
            <v>9.7398399999999992</v>
          </cell>
          <cell r="K68">
            <v>654.904</v>
          </cell>
          <cell r="L68">
            <v>0</v>
          </cell>
          <cell r="M68">
            <v>199.94800000000001</v>
          </cell>
          <cell r="N68">
            <v>6031.23</v>
          </cell>
          <cell r="O68">
            <v>133.24100000000001</v>
          </cell>
          <cell r="P68">
            <v>-966</v>
          </cell>
          <cell r="Q68">
            <v>112.11</v>
          </cell>
          <cell r="R68">
            <v>8970.4599999999991</v>
          </cell>
          <cell r="S68">
            <v>648.00599999999997</v>
          </cell>
          <cell r="T68">
            <v>109.884</v>
          </cell>
          <cell r="U68">
            <v>2518.7800000000002</v>
          </cell>
          <cell r="V68">
            <v>-780.26199999999994</v>
          </cell>
          <cell r="W68">
            <v>119.624</v>
          </cell>
          <cell r="X68">
            <v>0</v>
          </cell>
          <cell r="Y68">
            <v>27</v>
          </cell>
          <cell r="Z68">
            <v>1097</v>
          </cell>
          <cell r="AA68">
            <v>102.393</v>
          </cell>
          <cell r="AB68">
            <v>1</v>
          </cell>
          <cell r="AC68">
            <v>25771</v>
          </cell>
          <cell r="AD68">
            <v>1147.08</v>
          </cell>
          <cell r="AE68">
            <v>-3462.43</v>
          </cell>
          <cell r="AF68">
            <v>0</v>
          </cell>
          <cell r="AG68">
            <v>3527.76</v>
          </cell>
          <cell r="AH68">
            <v>-1311.68</v>
          </cell>
          <cell r="AI68">
            <v>101127</v>
          </cell>
          <cell r="AJ68">
            <v>32676.7</v>
          </cell>
          <cell r="AK68">
            <v>0</v>
          </cell>
          <cell r="AL68">
            <v>0</v>
          </cell>
          <cell r="AM68">
            <v>-238.821</v>
          </cell>
          <cell r="AN68">
            <v>-707.57100000000003</v>
          </cell>
          <cell r="AO68">
            <v>77.392899999999997</v>
          </cell>
          <cell r="AP68">
            <v>617495</v>
          </cell>
          <cell r="AQ68">
            <v>2095.1799999999998</v>
          </cell>
          <cell r="AR68">
            <v>7204.9</v>
          </cell>
          <cell r="AS68">
            <v>0</v>
          </cell>
          <cell r="AT68">
            <v>144.09800000000001</v>
          </cell>
          <cell r="AU68">
            <v>385269</v>
          </cell>
          <cell r="AV68">
            <v>304978</v>
          </cell>
          <cell r="AW68">
            <v>80291.100000000006</v>
          </cell>
          <cell r="AX68">
            <v>0.20764199999999999</v>
          </cell>
          <cell r="AY68">
            <v>2.5180600000000002</v>
          </cell>
          <cell r="AZ68">
            <v>18371</v>
          </cell>
          <cell r="BA68">
            <v>56962.2</v>
          </cell>
          <cell r="BB68">
            <v>8286</v>
          </cell>
          <cell r="BC68">
            <v>69502.399999999994</v>
          </cell>
          <cell r="BD68">
            <v>76916</v>
          </cell>
          <cell r="BE68">
            <v>6914.11</v>
          </cell>
          <cell r="BF68">
            <v>53143</v>
          </cell>
          <cell r="BG68">
            <v>5378.73</v>
          </cell>
          <cell r="BH68">
            <v>268.18700000000001</v>
          </cell>
          <cell r="BI68">
            <v>0.99058299999999999</v>
          </cell>
          <cell r="BJ68">
            <v>2.4826299999999999</v>
          </cell>
          <cell r="BK68">
            <v>3.7645900000000001</v>
          </cell>
          <cell r="BL68">
            <v>67545.7</v>
          </cell>
          <cell r="BM68">
            <v>3.7291699999999999</v>
          </cell>
          <cell r="BN68">
            <v>7640.51</v>
          </cell>
          <cell r="BO68">
            <v>1833.03</v>
          </cell>
          <cell r="BP68">
            <v>152.26499999999999</v>
          </cell>
          <cell r="BQ68">
            <v>109.884</v>
          </cell>
          <cell r="BR68">
            <v>425</v>
          </cell>
          <cell r="BS68">
            <v>25</v>
          </cell>
          <cell r="BT68">
            <v>25</v>
          </cell>
          <cell r="BU68" t="e">
            <v>#N/A</v>
          </cell>
          <cell r="BV68" t="e">
            <v>#N/A</v>
          </cell>
          <cell r="BW68">
            <v>771.93200000000002</v>
          </cell>
          <cell r="BX68">
            <v>-490.43</v>
          </cell>
          <cell r="BY68">
            <v>-281.50099999999998</v>
          </cell>
          <cell r="BZ68">
            <v>0.18</v>
          </cell>
          <cell r="CA68" t="e">
            <v>#N/A</v>
          </cell>
          <cell r="CB68" t="e">
            <v>#N/A</v>
          </cell>
          <cell r="CC68" t="e">
            <v>#N/A</v>
          </cell>
          <cell r="CD68" t="e">
            <v>#N/A</v>
          </cell>
          <cell r="CE68" t="e">
            <v>#N/A</v>
          </cell>
        </row>
        <row r="69">
          <cell r="A69">
            <v>201601</v>
          </cell>
          <cell r="B69">
            <v>273.72500000000002</v>
          </cell>
          <cell r="C69">
            <v>1257520</v>
          </cell>
          <cell r="D69">
            <v>23100.1</v>
          </cell>
          <cell r="E69">
            <v>17678.099999999999</v>
          </cell>
          <cell r="F69">
            <v>5509.3</v>
          </cell>
          <cell r="G69">
            <v>23085</v>
          </cell>
          <cell r="H69">
            <v>33.472999999999999</v>
          </cell>
          <cell r="I69">
            <v>15016.4</v>
          </cell>
          <cell r="J69">
            <v>9.7398399999999992</v>
          </cell>
          <cell r="K69">
            <v>651.27</v>
          </cell>
          <cell r="L69">
            <v>0</v>
          </cell>
          <cell r="M69">
            <v>202.113</v>
          </cell>
          <cell r="N69">
            <v>10798.5</v>
          </cell>
          <cell r="O69">
            <v>133.24100000000001</v>
          </cell>
          <cell r="P69">
            <v>-283</v>
          </cell>
          <cell r="Q69">
            <v>113.15300000000001</v>
          </cell>
          <cell r="R69">
            <v>9154.02</v>
          </cell>
          <cell r="S69">
            <v>385.39100000000002</v>
          </cell>
          <cell r="T69">
            <v>113.233</v>
          </cell>
          <cell r="U69">
            <v>2556.44</v>
          </cell>
          <cell r="V69">
            <v>-89.328500000000005</v>
          </cell>
          <cell r="W69">
            <v>122.973</v>
          </cell>
          <cell r="X69">
            <v>0</v>
          </cell>
          <cell r="Y69">
            <v>27</v>
          </cell>
          <cell r="Z69">
            <v>1097</v>
          </cell>
          <cell r="AA69">
            <v>117.491</v>
          </cell>
          <cell r="AB69">
            <v>1</v>
          </cell>
          <cell r="AC69">
            <v>25771</v>
          </cell>
          <cell r="AD69">
            <v>1160.71</v>
          </cell>
          <cell r="AE69">
            <v>-2917.4</v>
          </cell>
          <cell r="AF69">
            <v>0</v>
          </cell>
          <cell r="AG69">
            <v>3086.45</v>
          </cell>
          <cell r="AH69">
            <v>-1990.87</v>
          </cell>
          <cell r="AI69">
            <v>101123</v>
          </cell>
          <cell r="AJ69">
            <v>32676.7</v>
          </cell>
          <cell r="AK69">
            <v>0</v>
          </cell>
          <cell r="AL69">
            <v>0</v>
          </cell>
          <cell r="AM69">
            <v>418.892</v>
          </cell>
          <cell r="AN69">
            <v>-49.857799999999997</v>
          </cell>
          <cell r="AO69">
            <v>92.490600000000001</v>
          </cell>
          <cell r="AP69">
            <v>617495</v>
          </cell>
          <cell r="AQ69">
            <v>2162.85</v>
          </cell>
          <cell r="AR69">
            <v>30907.3</v>
          </cell>
          <cell r="AS69">
            <v>0</v>
          </cell>
          <cell r="AT69">
            <v>154.536</v>
          </cell>
          <cell r="AU69">
            <v>398678</v>
          </cell>
          <cell r="AV69">
            <v>317998</v>
          </cell>
          <cell r="AW69">
            <v>80680.600000000006</v>
          </cell>
          <cell r="AX69">
            <v>0.225963</v>
          </cell>
          <cell r="AY69">
            <v>2.58467</v>
          </cell>
          <cell r="AZ69">
            <v>18271</v>
          </cell>
          <cell r="BA69">
            <v>58853</v>
          </cell>
          <cell r="BB69">
            <v>8311</v>
          </cell>
          <cell r="BC69">
            <v>69920.2</v>
          </cell>
          <cell r="BD69">
            <v>78559.7</v>
          </cell>
          <cell r="BE69">
            <v>6939.48</v>
          </cell>
          <cell r="BF69">
            <v>53143</v>
          </cell>
          <cell r="BG69">
            <v>5378.73</v>
          </cell>
          <cell r="BH69">
            <v>269.82100000000003</v>
          </cell>
          <cell r="BI69">
            <v>1.1079399999999999</v>
          </cell>
          <cell r="BJ69">
            <v>2.5972599999999999</v>
          </cell>
          <cell r="BK69">
            <v>3.8155000000000001</v>
          </cell>
          <cell r="BL69">
            <v>68291.399999999994</v>
          </cell>
          <cell r="BM69">
            <v>3.8090199999999999</v>
          </cell>
          <cell r="BN69">
            <v>7759.46</v>
          </cell>
          <cell r="BO69">
            <v>1889.42</v>
          </cell>
          <cell r="BP69">
            <v>160.19800000000001</v>
          </cell>
          <cell r="BQ69">
            <v>113.233</v>
          </cell>
          <cell r="BR69">
            <v>425</v>
          </cell>
          <cell r="BS69">
            <v>25</v>
          </cell>
          <cell r="BT69">
            <v>25</v>
          </cell>
          <cell r="BU69" t="e">
            <v>#N/A</v>
          </cell>
          <cell r="BV69" t="e">
            <v>#N/A</v>
          </cell>
          <cell r="BW69">
            <v>768.298</v>
          </cell>
          <cell r="BX69">
            <v>196.203</v>
          </cell>
          <cell r="BY69">
            <v>-964.50099999999998</v>
          </cell>
          <cell r="BZ69">
            <v>0.18</v>
          </cell>
          <cell r="CA69" t="e">
            <v>#N/A</v>
          </cell>
          <cell r="CB69" t="e">
            <v>#N/A</v>
          </cell>
          <cell r="CC69" t="e">
            <v>#N/A</v>
          </cell>
          <cell r="CD69" t="e">
            <v>#N/A</v>
          </cell>
          <cell r="CE69" t="e">
            <v>#N/A</v>
          </cell>
        </row>
        <row r="70">
          <cell r="A70">
            <v>201602</v>
          </cell>
          <cell r="B70">
            <v>293.02</v>
          </cell>
          <cell r="C70">
            <v>1272560</v>
          </cell>
          <cell r="D70">
            <v>19992.900000000001</v>
          </cell>
          <cell r="E70">
            <v>17678.099999999999</v>
          </cell>
          <cell r="F70">
            <v>5549.27</v>
          </cell>
          <cell r="G70">
            <v>19951.599999999999</v>
          </cell>
          <cell r="H70">
            <v>33.472999999999999</v>
          </cell>
          <cell r="I70">
            <v>15333.3</v>
          </cell>
          <cell r="J70">
            <v>9.7398399999999992</v>
          </cell>
          <cell r="K70">
            <v>648.09</v>
          </cell>
          <cell r="L70">
            <v>0</v>
          </cell>
          <cell r="M70">
            <v>203.94800000000001</v>
          </cell>
          <cell r="N70">
            <v>3990.32</v>
          </cell>
          <cell r="O70">
            <v>133.24100000000001</v>
          </cell>
          <cell r="P70">
            <v>-552</v>
          </cell>
          <cell r="Q70">
            <v>114.197</v>
          </cell>
          <cell r="R70">
            <v>9395.0400000000009</v>
          </cell>
          <cell r="S70">
            <v>820.35699999999997</v>
          </cell>
          <cell r="T70">
            <v>116.58199999999999</v>
          </cell>
          <cell r="U70">
            <v>2775.72</v>
          </cell>
          <cell r="V70">
            <v>-334.68700000000001</v>
          </cell>
          <cell r="W70">
            <v>126.322</v>
          </cell>
          <cell r="X70">
            <v>0</v>
          </cell>
          <cell r="Y70">
            <v>37.700000000000003</v>
          </cell>
          <cell r="Z70">
            <v>1097</v>
          </cell>
          <cell r="AA70">
            <v>137.12899999999999</v>
          </cell>
          <cell r="AB70">
            <v>1</v>
          </cell>
          <cell r="AC70">
            <v>25771</v>
          </cell>
          <cell r="AD70">
            <v>1176.46</v>
          </cell>
          <cell r="AE70">
            <v>-4302.6400000000003</v>
          </cell>
          <cell r="AF70">
            <v>0</v>
          </cell>
          <cell r="AG70">
            <v>4506.97</v>
          </cell>
          <cell r="AH70">
            <v>-1738.53</v>
          </cell>
          <cell r="AI70">
            <v>101124</v>
          </cell>
          <cell r="AJ70">
            <v>32676.7</v>
          </cell>
          <cell r="AK70">
            <v>0</v>
          </cell>
          <cell r="AL70">
            <v>0</v>
          </cell>
          <cell r="AM70">
            <v>52.9788</v>
          </cell>
          <cell r="AN70">
            <v>-334.52100000000002</v>
          </cell>
          <cell r="AO70">
            <v>112.129</v>
          </cell>
          <cell r="AP70">
            <v>617495</v>
          </cell>
          <cell r="AQ70">
            <v>2431.94</v>
          </cell>
          <cell r="AR70">
            <v>0</v>
          </cell>
          <cell r="AS70">
            <v>0</v>
          </cell>
          <cell r="AT70">
            <v>0</v>
          </cell>
          <cell r="AU70">
            <v>406966</v>
          </cell>
          <cell r="AV70">
            <v>325504</v>
          </cell>
          <cell r="AW70">
            <v>81462.2</v>
          </cell>
          <cell r="AX70">
            <v>0.24318999999999999</v>
          </cell>
          <cell r="AY70">
            <v>2.6488499999999999</v>
          </cell>
          <cell r="AZ70">
            <v>18171</v>
          </cell>
          <cell r="BA70">
            <v>60491.6</v>
          </cell>
          <cell r="BB70">
            <v>8336</v>
          </cell>
          <cell r="BC70">
            <v>70338</v>
          </cell>
          <cell r="BD70">
            <v>80196.7</v>
          </cell>
          <cell r="BE70">
            <v>6965.23</v>
          </cell>
          <cell r="BF70">
            <v>53143</v>
          </cell>
          <cell r="BG70">
            <v>5378.73</v>
          </cell>
          <cell r="BH70">
            <v>273.46899999999999</v>
          </cell>
          <cell r="BI70">
            <v>1.2135800000000001</v>
          </cell>
          <cell r="BJ70">
            <v>2.7071700000000001</v>
          </cell>
          <cell r="BK70">
            <v>3.8642400000000001</v>
          </cell>
          <cell r="BL70">
            <v>69072.399999999994</v>
          </cell>
          <cell r="BM70">
            <v>3.8834200000000001</v>
          </cell>
          <cell r="BN70">
            <v>7886.18</v>
          </cell>
          <cell r="BO70">
            <v>2131.52</v>
          </cell>
          <cell r="BP70">
            <v>183.839</v>
          </cell>
          <cell r="BQ70">
            <v>116.58199999999999</v>
          </cell>
          <cell r="BR70">
            <v>425</v>
          </cell>
          <cell r="BS70">
            <v>25</v>
          </cell>
          <cell r="BT70">
            <v>25</v>
          </cell>
          <cell r="BU70" t="e">
            <v>#N/A</v>
          </cell>
          <cell r="BV70" t="e">
            <v>#N/A</v>
          </cell>
          <cell r="BW70">
            <v>775.81799999999998</v>
          </cell>
          <cell r="BX70">
            <v>-69.616500000000002</v>
          </cell>
          <cell r="BY70">
            <v>-706.20100000000002</v>
          </cell>
          <cell r="BZ70">
            <v>0.18</v>
          </cell>
          <cell r="CA70" t="e">
            <v>#N/A</v>
          </cell>
          <cell r="CB70" t="e">
            <v>#N/A</v>
          </cell>
          <cell r="CC70" t="e">
            <v>#N/A</v>
          </cell>
          <cell r="CD70" t="e">
            <v>#N/A</v>
          </cell>
          <cell r="CE70" t="e">
            <v>#N/A</v>
          </cell>
        </row>
        <row r="71">
          <cell r="A71">
            <v>201603</v>
          </cell>
          <cell r="B71">
            <v>308.411</v>
          </cell>
          <cell r="C71">
            <v>1292100</v>
          </cell>
          <cell r="D71">
            <v>19992.900000000001</v>
          </cell>
          <cell r="E71">
            <v>17678.099999999999</v>
          </cell>
          <cell r="F71">
            <v>5582.64</v>
          </cell>
          <cell r="G71">
            <v>19958.2</v>
          </cell>
          <cell r="H71">
            <v>33.472999999999999</v>
          </cell>
          <cell r="I71">
            <v>15684.2</v>
          </cell>
          <cell r="J71">
            <v>9.7398399999999992</v>
          </cell>
          <cell r="K71">
            <v>645.375</v>
          </cell>
          <cell r="L71">
            <v>0</v>
          </cell>
          <cell r="M71">
            <v>205.74600000000001</v>
          </cell>
          <cell r="N71">
            <v>-481.49200000000002</v>
          </cell>
          <cell r="O71">
            <v>133.24100000000001</v>
          </cell>
          <cell r="P71">
            <v>-995</v>
          </cell>
          <cell r="Q71">
            <v>115.24</v>
          </cell>
          <cell r="R71">
            <v>9580.35</v>
          </cell>
          <cell r="S71">
            <v>324.76900000000001</v>
          </cell>
          <cell r="T71">
            <v>119.931</v>
          </cell>
          <cell r="U71">
            <v>2797.39</v>
          </cell>
          <cell r="V71">
            <v>-754.91399999999999</v>
          </cell>
          <cell r="W71">
            <v>129.67099999999999</v>
          </cell>
          <cell r="X71">
            <v>0</v>
          </cell>
          <cell r="Y71">
            <v>40.776000000000003</v>
          </cell>
          <cell r="Z71">
            <v>1097</v>
          </cell>
          <cell r="AA71">
            <v>155.35400000000001</v>
          </cell>
          <cell r="AB71">
            <v>1</v>
          </cell>
          <cell r="AC71">
            <v>25771</v>
          </cell>
          <cell r="AD71">
            <v>1137.26</v>
          </cell>
          <cell r="AE71">
            <v>9696.5400000000009</v>
          </cell>
          <cell r="AF71">
            <v>10003.5</v>
          </cell>
          <cell r="AG71">
            <v>3591.98</v>
          </cell>
          <cell r="AH71">
            <v>-1312.88</v>
          </cell>
          <cell r="AI71">
            <v>101126</v>
          </cell>
          <cell r="AJ71">
            <v>32676.7</v>
          </cell>
          <cell r="AK71">
            <v>0</v>
          </cell>
          <cell r="AL71">
            <v>0</v>
          </cell>
          <cell r="AM71">
            <v>-402.59899999999999</v>
          </cell>
          <cell r="AN71">
            <v>-790.09900000000005</v>
          </cell>
          <cell r="AO71">
            <v>130.35400000000001</v>
          </cell>
          <cell r="AP71">
            <v>617495</v>
          </cell>
          <cell r="AQ71">
            <v>2500.67</v>
          </cell>
          <cell r="AR71">
            <v>29190.799999999999</v>
          </cell>
          <cell r="AS71">
            <v>12889.1</v>
          </cell>
          <cell r="AT71">
            <v>291.90800000000002</v>
          </cell>
          <cell r="AU71">
            <v>399677</v>
          </cell>
          <cell r="AV71">
            <v>340611</v>
          </cell>
          <cell r="AW71">
            <v>59065.7</v>
          </cell>
          <cell r="AX71">
            <v>0.25956499999999999</v>
          </cell>
          <cell r="AY71">
            <v>2.7116699999999998</v>
          </cell>
          <cell r="AZ71">
            <v>18071</v>
          </cell>
          <cell r="BA71">
            <v>61704.4</v>
          </cell>
          <cell r="BB71">
            <v>8361</v>
          </cell>
          <cell r="BC71">
            <v>70755.8</v>
          </cell>
          <cell r="BD71">
            <v>81833.8</v>
          </cell>
          <cell r="BE71">
            <v>6990.98</v>
          </cell>
          <cell r="BF71">
            <v>53143</v>
          </cell>
          <cell r="BG71">
            <v>5378.73</v>
          </cell>
          <cell r="BH71">
            <v>275.03300000000002</v>
          </cell>
          <cell r="BI71">
            <v>1.32453</v>
          </cell>
          <cell r="BJ71">
            <v>2.8123300000000002</v>
          </cell>
          <cell r="BK71">
            <v>3.9108100000000001</v>
          </cell>
          <cell r="BL71">
            <v>69866.7</v>
          </cell>
          <cell r="BM71">
            <v>3.96936</v>
          </cell>
          <cell r="BN71">
            <v>8012.9</v>
          </cell>
          <cell r="BO71">
            <v>2174.12</v>
          </cell>
          <cell r="BP71">
            <v>206.613</v>
          </cell>
          <cell r="BQ71">
            <v>119.931</v>
          </cell>
          <cell r="BR71">
            <v>425</v>
          </cell>
          <cell r="BS71">
            <v>25</v>
          </cell>
          <cell r="BT71">
            <v>25</v>
          </cell>
          <cell r="BU71" t="e">
            <v>#N/A</v>
          </cell>
          <cell r="BV71" t="e">
            <v>#N/A</v>
          </cell>
          <cell r="BW71">
            <v>776.17899999999997</v>
          </cell>
          <cell r="BX71">
            <v>-509.90199999999999</v>
          </cell>
          <cell r="BY71">
            <v>-266.27699999999999</v>
          </cell>
          <cell r="BZ71">
            <v>0.18</v>
          </cell>
          <cell r="CA71" t="e">
            <v>#N/A</v>
          </cell>
          <cell r="CB71" t="e">
            <v>#N/A</v>
          </cell>
          <cell r="CC71" t="e">
            <v>#N/A</v>
          </cell>
          <cell r="CD71" t="e">
            <v>#N/A</v>
          </cell>
          <cell r="CE71" t="e">
            <v>#N/A</v>
          </cell>
        </row>
        <row r="72">
          <cell r="A72">
            <v>201604</v>
          </cell>
          <cell r="B72">
            <v>323.85000000000002</v>
          </cell>
          <cell r="C72">
            <v>1307080</v>
          </cell>
          <cell r="D72">
            <v>19992.900000000001</v>
          </cell>
          <cell r="E72">
            <v>17678.099999999999</v>
          </cell>
          <cell r="F72">
            <v>5744.01</v>
          </cell>
          <cell r="G72">
            <v>19830.2</v>
          </cell>
          <cell r="H72">
            <v>33.472999999999999</v>
          </cell>
          <cell r="I72">
            <v>16070.8</v>
          </cell>
          <cell r="J72">
            <v>9.7398399999999992</v>
          </cell>
          <cell r="K72">
            <v>643.13499999999999</v>
          </cell>
          <cell r="L72">
            <v>0</v>
          </cell>
          <cell r="M72">
            <v>207.50700000000001</v>
          </cell>
          <cell r="N72">
            <v>3966.04</v>
          </cell>
          <cell r="O72">
            <v>133.24100000000001</v>
          </cell>
          <cell r="P72">
            <v>-966</v>
          </cell>
          <cell r="Q72">
            <v>116.28400000000001</v>
          </cell>
          <cell r="R72">
            <v>9659.09</v>
          </cell>
          <cell r="S72">
            <v>640.173</v>
          </cell>
          <cell r="T72">
            <v>123.28</v>
          </cell>
          <cell r="U72">
            <v>2819.91</v>
          </cell>
          <cell r="V72">
            <v>-755.03499999999997</v>
          </cell>
          <cell r="W72">
            <v>133.02000000000001</v>
          </cell>
          <cell r="X72">
            <v>0</v>
          </cell>
          <cell r="Y72">
            <v>27</v>
          </cell>
          <cell r="Z72">
            <v>1097</v>
          </cell>
          <cell r="AA72">
            <v>174.52699999999999</v>
          </cell>
          <cell r="AB72">
            <v>1</v>
          </cell>
          <cell r="AC72">
            <v>25771</v>
          </cell>
          <cell r="AD72">
            <v>1134.8499999999999</v>
          </cell>
          <cell r="AE72">
            <v>-4011.43</v>
          </cell>
          <cell r="AF72">
            <v>0</v>
          </cell>
          <cell r="AG72">
            <v>4150.6499999999996</v>
          </cell>
          <cell r="AH72">
            <v>-1322.59</v>
          </cell>
          <cell r="AI72">
            <v>101127</v>
          </cell>
          <cell r="AJ72">
            <v>32676.7</v>
          </cell>
          <cell r="AK72">
            <v>0</v>
          </cell>
          <cell r="AL72">
            <v>0</v>
          </cell>
          <cell r="AM72">
            <v>-391.68900000000002</v>
          </cell>
          <cell r="AN72">
            <v>-779.18899999999996</v>
          </cell>
          <cell r="AO72">
            <v>149.52699999999999</v>
          </cell>
          <cell r="AP72">
            <v>617495</v>
          </cell>
          <cell r="AQ72">
            <v>2518.83</v>
          </cell>
          <cell r="AR72">
            <v>0</v>
          </cell>
          <cell r="AS72">
            <v>0</v>
          </cell>
          <cell r="AT72">
            <v>0</v>
          </cell>
          <cell r="AU72">
            <v>407491</v>
          </cell>
          <cell r="AV72">
            <v>347627</v>
          </cell>
          <cell r="AW72">
            <v>59864.5</v>
          </cell>
          <cell r="AX72">
            <v>0.27495000000000003</v>
          </cell>
          <cell r="AY72">
            <v>2.7706400000000002</v>
          </cell>
          <cell r="AZ72">
            <v>17971</v>
          </cell>
          <cell r="BA72">
            <v>62927</v>
          </cell>
          <cell r="BB72">
            <v>8386</v>
          </cell>
          <cell r="BC72">
            <v>71173.600000000006</v>
          </cell>
          <cell r="BD72">
            <v>83470.899999999994</v>
          </cell>
          <cell r="BE72">
            <v>7016.73</v>
          </cell>
          <cell r="BF72">
            <v>53143</v>
          </cell>
          <cell r="BG72">
            <v>5378.73</v>
          </cell>
          <cell r="BH72">
            <v>277.93799999999999</v>
          </cell>
          <cell r="BI72">
            <v>1.4396599999999999</v>
          </cell>
          <cell r="BJ72">
            <v>2.91262</v>
          </cell>
          <cell r="BK72">
            <v>3.9552</v>
          </cell>
          <cell r="BL72">
            <v>70661.2</v>
          </cell>
          <cell r="BM72">
            <v>4.0657399999999999</v>
          </cell>
          <cell r="BN72">
            <v>8139.62</v>
          </cell>
          <cell r="BO72">
            <v>2218.06</v>
          </cell>
          <cell r="BP72">
            <v>177.49199999999999</v>
          </cell>
          <cell r="BQ72">
            <v>123.28</v>
          </cell>
          <cell r="BR72">
            <v>425</v>
          </cell>
          <cell r="BS72">
            <v>25</v>
          </cell>
          <cell r="BT72">
            <v>25</v>
          </cell>
          <cell r="BU72" t="e">
            <v>#N/A</v>
          </cell>
          <cell r="BV72" t="e">
            <v>#N/A</v>
          </cell>
          <cell r="BW72">
            <v>760.16300000000001</v>
          </cell>
          <cell r="BX72">
            <v>-478.66199999999998</v>
          </cell>
          <cell r="BY72">
            <v>-281.50099999999998</v>
          </cell>
          <cell r="BZ72">
            <v>0.18</v>
          </cell>
          <cell r="CA72" t="e">
            <v>#N/A</v>
          </cell>
          <cell r="CB72" t="e">
            <v>#N/A</v>
          </cell>
          <cell r="CC72" t="e">
            <v>#N/A</v>
          </cell>
          <cell r="CD72" t="e">
            <v>#N/A</v>
          </cell>
          <cell r="CE72" t="e">
            <v>#N/A</v>
          </cell>
        </row>
        <row r="73">
          <cell r="A73">
            <v>201701</v>
          </cell>
          <cell r="B73">
            <v>361.32799999999997</v>
          </cell>
          <cell r="C73">
            <v>1316930</v>
          </cell>
          <cell r="D73">
            <v>19992.900000000001</v>
          </cell>
          <cell r="E73">
            <v>17678.099999999999</v>
          </cell>
          <cell r="F73">
            <v>5766.01</v>
          </cell>
          <cell r="G73">
            <v>19969.599999999999</v>
          </cell>
          <cell r="H73">
            <v>33.472999999999999</v>
          </cell>
          <cell r="I73">
            <v>16495.099999999999</v>
          </cell>
          <cell r="J73">
            <v>9.7398399999999992</v>
          </cell>
          <cell r="K73">
            <v>641.47799999999995</v>
          </cell>
          <cell r="L73">
            <v>0</v>
          </cell>
          <cell r="M73">
            <v>209.23</v>
          </cell>
          <cell r="N73">
            <v>9278.14</v>
          </cell>
          <cell r="O73">
            <v>133.24100000000001</v>
          </cell>
          <cell r="P73">
            <v>-283</v>
          </cell>
          <cell r="Q73">
            <v>117.327</v>
          </cell>
          <cell r="R73">
            <v>9969.8700000000008</v>
          </cell>
          <cell r="S73">
            <v>398.17700000000002</v>
          </cell>
          <cell r="T73">
            <v>126.629</v>
          </cell>
          <cell r="U73">
            <v>2867.72</v>
          </cell>
          <cell r="V73">
            <v>-63.329500000000003</v>
          </cell>
          <cell r="W73">
            <v>136.36799999999999</v>
          </cell>
          <cell r="X73">
            <v>0</v>
          </cell>
          <cell r="Y73">
            <v>27</v>
          </cell>
          <cell r="Z73">
            <v>1097</v>
          </cell>
          <cell r="AA73">
            <v>195.12100000000001</v>
          </cell>
          <cell r="AB73">
            <v>1</v>
          </cell>
          <cell r="AC73">
            <v>25771</v>
          </cell>
          <cell r="AD73">
            <v>1153.07</v>
          </cell>
          <cell r="AE73">
            <v>-3478.85</v>
          </cell>
          <cell r="AF73">
            <v>0</v>
          </cell>
          <cell r="AG73">
            <v>3665.75</v>
          </cell>
          <cell r="AH73">
            <v>-2034.37</v>
          </cell>
          <cell r="AI73">
            <v>101128</v>
          </cell>
          <cell r="AJ73">
            <v>32676.7</v>
          </cell>
          <cell r="AK73">
            <v>0</v>
          </cell>
          <cell r="AL73">
            <v>0</v>
          </cell>
          <cell r="AM73">
            <v>298.97699999999998</v>
          </cell>
          <cell r="AN73">
            <v>-88.522999999999996</v>
          </cell>
          <cell r="AO73">
            <v>170.12100000000001</v>
          </cell>
          <cell r="AP73">
            <v>617495</v>
          </cell>
          <cell r="AQ73">
            <v>2600.9499999999998</v>
          </cell>
          <cell r="AR73">
            <v>26421.200000000001</v>
          </cell>
          <cell r="AS73">
            <v>0</v>
          </cell>
          <cell r="AT73">
            <v>115.593</v>
          </cell>
          <cell r="AU73">
            <v>419899</v>
          </cell>
          <cell r="AV73">
            <v>359692</v>
          </cell>
          <cell r="AW73">
            <v>60206.6</v>
          </cell>
          <cell r="AX73">
            <v>0.28928799999999999</v>
          </cell>
          <cell r="AY73">
            <v>2.8278099999999999</v>
          </cell>
          <cell r="AZ73">
            <v>17871</v>
          </cell>
          <cell r="BA73">
            <v>64861.4</v>
          </cell>
          <cell r="BB73">
            <v>8411</v>
          </cell>
          <cell r="BC73">
            <v>71591.5</v>
          </cell>
          <cell r="BD73">
            <v>85107.9</v>
          </cell>
          <cell r="BE73">
            <v>7042.47</v>
          </cell>
          <cell r="BF73">
            <v>53143</v>
          </cell>
          <cell r="BG73">
            <v>5378.73</v>
          </cell>
          <cell r="BH73">
            <v>279.81599999999997</v>
          </cell>
          <cell r="BI73">
            <v>1.5879000000000001</v>
          </cell>
          <cell r="BJ73">
            <v>3.00814</v>
          </cell>
          <cell r="BK73">
            <v>3.9974500000000002</v>
          </cell>
          <cell r="BL73">
            <v>71473.600000000006</v>
          </cell>
          <cell r="BM73">
            <v>4.2014800000000001</v>
          </cell>
          <cell r="BN73">
            <v>8266.34</v>
          </cell>
          <cell r="BO73">
            <v>2288.12</v>
          </cell>
          <cell r="BP73">
            <v>186.197</v>
          </cell>
          <cell r="BQ73">
            <v>126.629</v>
          </cell>
          <cell r="BR73">
            <v>425</v>
          </cell>
          <cell r="BS73">
            <v>25</v>
          </cell>
          <cell r="BT73">
            <v>25</v>
          </cell>
          <cell r="BU73" t="e">
            <v>#N/A</v>
          </cell>
          <cell r="BV73" t="e">
            <v>#N/A</v>
          </cell>
          <cell r="BW73">
            <v>758.50699999999995</v>
          </cell>
          <cell r="BX73">
            <v>205.995</v>
          </cell>
          <cell r="BY73">
            <v>-964.50099999999998</v>
          </cell>
          <cell r="BZ73">
            <v>0.18</v>
          </cell>
          <cell r="CA73" t="e">
            <v>#N/A</v>
          </cell>
          <cell r="CB73" t="e">
            <v>#N/A</v>
          </cell>
          <cell r="CC73" t="e">
            <v>#N/A</v>
          </cell>
          <cell r="CD73" t="e">
            <v>#N/A</v>
          </cell>
          <cell r="CE73" t="e">
            <v>#N/A</v>
          </cell>
        </row>
        <row r="74">
          <cell r="A74">
            <v>201702</v>
          </cell>
          <cell r="B74">
            <v>378.15199999999999</v>
          </cell>
          <cell r="C74">
            <v>1327770</v>
          </cell>
          <cell r="D74">
            <v>14627.3</v>
          </cell>
          <cell r="E74">
            <v>17678.099999999999</v>
          </cell>
          <cell r="F74">
            <v>5807.88</v>
          </cell>
          <cell r="G74">
            <v>14551.7</v>
          </cell>
          <cell r="H74">
            <v>33.472999999999999</v>
          </cell>
          <cell r="I74">
            <v>16958.900000000001</v>
          </cell>
          <cell r="J74">
            <v>9.7398399999999992</v>
          </cell>
          <cell r="K74">
            <v>640.38300000000004</v>
          </cell>
          <cell r="L74">
            <v>0</v>
          </cell>
          <cell r="M74">
            <v>210.917</v>
          </cell>
          <cell r="N74">
            <v>2910.33</v>
          </cell>
          <cell r="O74">
            <v>133.24100000000001</v>
          </cell>
          <cell r="P74">
            <v>-552</v>
          </cell>
          <cell r="Q74">
            <v>118.371</v>
          </cell>
          <cell r="R74">
            <v>10201.1</v>
          </cell>
          <cell r="S74">
            <v>821.14200000000005</v>
          </cell>
          <cell r="T74">
            <v>129.977</v>
          </cell>
          <cell r="U74">
            <v>3093.45</v>
          </cell>
          <cell r="V74">
            <v>-307.73899999999998</v>
          </cell>
          <cell r="W74">
            <v>139.71700000000001</v>
          </cell>
          <cell r="X74">
            <v>1</v>
          </cell>
          <cell r="Y74">
            <v>37.700000000000003</v>
          </cell>
          <cell r="Z74">
            <v>1097</v>
          </cell>
          <cell r="AA74">
            <v>221.566</v>
          </cell>
          <cell r="AB74">
            <v>1</v>
          </cell>
          <cell r="AC74">
            <v>25771</v>
          </cell>
          <cell r="AD74">
            <v>1168.71</v>
          </cell>
          <cell r="AE74">
            <v>-4990.33</v>
          </cell>
          <cell r="AF74">
            <v>0</v>
          </cell>
          <cell r="AG74">
            <v>5231.63</v>
          </cell>
          <cell r="AH74">
            <v>-1773.6</v>
          </cell>
          <cell r="AI74">
            <v>101161</v>
          </cell>
          <cell r="AJ74">
            <v>32676.7</v>
          </cell>
          <cell r="AK74">
            <v>0</v>
          </cell>
          <cell r="AL74">
            <v>0</v>
          </cell>
          <cell r="AM74">
            <v>-161.67099999999999</v>
          </cell>
          <cell r="AN74">
            <v>-326.52699999999999</v>
          </cell>
          <cell r="AO74">
            <v>196.566</v>
          </cell>
          <cell r="AP74">
            <v>617495</v>
          </cell>
          <cell r="AQ74">
            <v>2882.15</v>
          </cell>
          <cell r="AR74">
            <v>0</v>
          </cell>
          <cell r="AS74">
            <v>0</v>
          </cell>
          <cell r="AT74">
            <v>0</v>
          </cell>
          <cell r="AU74">
            <v>427664</v>
          </cell>
          <cell r="AV74">
            <v>366822</v>
          </cell>
          <cell r="AW74">
            <v>60842.6</v>
          </cell>
          <cell r="AX74">
            <v>0.30248799999999998</v>
          </cell>
          <cell r="AY74">
            <v>2.6760799999999998</v>
          </cell>
          <cell r="AZ74">
            <v>17771</v>
          </cell>
          <cell r="BA74">
            <v>66535</v>
          </cell>
          <cell r="BB74">
            <v>8436</v>
          </cell>
          <cell r="BC74">
            <v>71592.5</v>
          </cell>
          <cell r="BD74">
            <v>86897.3</v>
          </cell>
          <cell r="BE74">
            <v>7068.6</v>
          </cell>
          <cell r="BF74">
            <v>53143</v>
          </cell>
          <cell r="BG74">
            <v>5378.73</v>
          </cell>
          <cell r="BH74">
            <v>283.78899999999999</v>
          </cell>
          <cell r="BI74">
            <v>1.7315100000000001</v>
          </cell>
          <cell r="BJ74">
            <v>3.0988899999999999</v>
          </cell>
          <cell r="BK74">
            <v>4.0375800000000002</v>
          </cell>
          <cell r="BL74">
            <v>72291.3</v>
          </cell>
          <cell r="BM74">
            <v>4.3388400000000003</v>
          </cell>
          <cell r="BN74">
            <v>8401.33</v>
          </cell>
          <cell r="BO74">
            <v>2541.39</v>
          </cell>
          <cell r="BP74">
            <v>210.78800000000001</v>
          </cell>
          <cell r="BQ74">
            <v>129.977</v>
          </cell>
          <cell r="BR74">
            <v>425</v>
          </cell>
          <cell r="BS74">
            <v>25</v>
          </cell>
          <cell r="BT74">
            <v>25</v>
          </cell>
          <cell r="BU74" t="e">
            <v>#N/A</v>
          </cell>
          <cell r="BV74" t="e">
            <v>#N/A</v>
          </cell>
          <cell r="BW74">
            <v>768.11199999999997</v>
          </cell>
          <cell r="BX74">
            <v>-61.910400000000003</v>
          </cell>
          <cell r="BY74">
            <v>-706.20100000000002</v>
          </cell>
          <cell r="BZ74">
            <v>0.18</v>
          </cell>
          <cell r="CA74" t="e">
            <v>#N/A</v>
          </cell>
          <cell r="CB74" t="e">
            <v>#N/A</v>
          </cell>
          <cell r="CC74" t="e">
            <v>#N/A</v>
          </cell>
          <cell r="CD74" t="e">
            <v>#N/A</v>
          </cell>
          <cell r="CE74" t="e">
            <v>#N/A</v>
          </cell>
        </row>
        <row r="75">
          <cell r="A75">
            <v>201703</v>
          </cell>
          <cell r="B75">
            <v>395.31599999999997</v>
          </cell>
          <cell r="C75">
            <v>1330970</v>
          </cell>
          <cell r="D75">
            <v>14627.3</v>
          </cell>
          <cell r="E75">
            <v>17678.099999999999</v>
          </cell>
          <cell r="F75">
            <v>5842.37</v>
          </cell>
          <cell r="G75">
            <v>14579.9</v>
          </cell>
          <cell r="H75">
            <v>33.472999999999999</v>
          </cell>
          <cell r="I75">
            <v>17332.599999999999</v>
          </cell>
          <cell r="J75">
            <v>9.7398399999999992</v>
          </cell>
          <cell r="K75">
            <v>637.27200000000005</v>
          </cell>
          <cell r="L75">
            <v>0</v>
          </cell>
          <cell r="M75">
            <v>212.32300000000001</v>
          </cell>
          <cell r="N75">
            <v>10593.6</v>
          </cell>
          <cell r="O75">
            <v>133.24100000000001</v>
          </cell>
          <cell r="P75">
            <v>-995</v>
          </cell>
          <cell r="Q75">
            <v>119.414</v>
          </cell>
          <cell r="R75">
            <v>10376.1</v>
          </cell>
          <cell r="S75">
            <v>324.76900000000001</v>
          </cell>
          <cell r="T75">
            <v>133.32599999999999</v>
          </cell>
          <cell r="U75">
            <v>3118.69</v>
          </cell>
          <cell r="V75">
            <v>-734.27300000000002</v>
          </cell>
          <cell r="W75">
            <v>143.066</v>
          </cell>
          <cell r="X75">
            <v>2</v>
          </cell>
          <cell r="Y75">
            <v>40.776000000000003</v>
          </cell>
          <cell r="Z75">
            <v>1097</v>
          </cell>
          <cell r="AA75">
            <v>247.833</v>
          </cell>
          <cell r="AB75">
            <v>1</v>
          </cell>
          <cell r="AC75">
            <v>25771</v>
          </cell>
          <cell r="AD75">
            <v>1181.08</v>
          </cell>
          <cell r="AE75">
            <v>-3832.07</v>
          </cell>
          <cell r="AF75">
            <v>0</v>
          </cell>
          <cell r="AG75">
            <v>4190.1899999999996</v>
          </cell>
          <cell r="AH75">
            <v>-1356.9</v>
          </cell>
          <cell r="AI75">
            <v>101172</v>
          </cell>
          <cell r="AJ75">
            <v>32676.7</v>
          </cell>
          <cell r="AK75">
            <v>0</v>
          </cell>
          <cell r="AL75">
            <v>0</v>
          </cell>
          <cell r="AM75">
            <v>-591.07399999999996</v>
          </cell>
          <cell r="AN75">
            <v>-755.93100000000004</v>
          </cell>
          <cell r="AO75">
            <v>222.833</v>
          </cell>
          <cell r="AP75">
            <v>617495</v>
          </cell>
          <cell r="AQ75">
            <v>2956.59</v>
          </cell>
          <cell r="AR75">
            <v>38388.1</v>
          </cell>
          <cell r="AS75">
            <v>0</v>
          </cell>
          <cell r="AT75">
            <v>238.78299999999999</v>
          </cell>
          <cell r="AU75">
            <v>441949</v>
          </cell>
          <cell r="AV75">
            <v>380695</v>
          </cell>
          <cell r="AW75">
            <v>61253.8</v>
          </cell>
          <cell r="AX75">
            <v>0.31489200000000001</v>
          </cell>
          <cell r="AY75">
            <v>2.61219</v>
          </cell>
          <cell r="AZ75">
            <v>17671</v>
          </cell>
          <cell r="BA75">
            <v>67791.899999999994</v>
          </cell>
          <cell r="BB75">
            <v>8461</v>
          </cell>
          <cell r="BC75">
            <v>71593.5</v>
          </cell>
          <cell r="BD75">
            <v>88686.8</v>
          </cell>
          <cell r="BE75">
            <v>7094.73</v>
          </cell>
          <cell r="BF75">
            <v>53143</v>
          </cell>
          <cell r="BG75">
            <v>5378.73</v>
          </cell>
          <cell r="BH75">
            <v>285.59100000000001</v>
          </cell>
          <cell r="BI75">
            <v>1.87016</v>
          </cell>
          <cell r="BJ75">
            <v>3.1850100000000001</v>
          </cell>
          <cell r="BK75">
            <v>4.0756300000000003</v>
          </cell>
          <cell r="BL75">
            <v>73117.2</v>
          </cell>
          <cell r="BM75">
            <v>4.4774900000000004</v>
          </cell>
          <cell r="BN75">
            <v>8536.33</v>
          </cell>
          <cell r="BO75">
            <v>2596.0100000000002</v>
          </cell>
          <cell r="BP75">
            <v>227.25399999999999</v>
          </cell>
          <cell r="BQ75">
            <v>133.32599999999999</v>
          </cell>
          <cell r="BR75">
            <v>425</v>
          </cell>
          <cell r="BS75">
            <v>25</v>
          </cell>
          <cell r="BT75">
            <v>25</v>
          </cell>
          <cell r="BU75" t="e">
            <v>#N/A</v>
          </cell>
          <cell r="BV75" t="e">
            <v>#N/A</v>
          </cell>
          <cell r="BW75">
            <v>768.07600000000002</v>
          </cell>
          <cell r="BX75">
            <v>-501.79899999999998</v>
          </cell>
          <cell r="BY75">
            <v>-266.27699999999999</v>
          </cell>
          <cell r="BZ75">
            <v>0.18</v>
          </cell>
          <cell r="CA75" t="e">
            <v>#N/A</v>
          </cell>
          <cell r="CB75" t="e">
            <v>#N/A</v>
          </cell>
          <cell r="CC75" t="e">
            <v>#N/A</v>
          </cell>
          <cell r="CD75" t="e">
            <v>#N/A</v>
          </cell>
          <cell r="CE75" t="e">
            <v>#N/A</v>
          </cell>
        </row>
        <row r="76">
          <cell r="A76">
            <v>201704</v>
          </cell>
          <cell r="B76">
            <v>412.09300000000002</v>
          </cell>
          <cell r="C76">
            <v>1351450</v>
          </cell>
          <cell r="D76">
            <v>14627.3</v>
          </cell>
          <cell r="E76">
            <v>17678.099999999999</v>
          </cell>
          <cell r="F76">
            <v>6012.49</v>
          </cell>
          <cell r="G76">
            <v>14443.2</v>
          </cell>
          <cell r="H76">
            <v>33.472999999999999</v>
          </cell>
          <cell r="I76">
            <v>17611.2</v>
          </cell>
          <cell r="J76">
            <v>9.7398399999999992</v>
          </cell>
          <cell r="K76">
            <v>634.54300000000001</v>
          </cell>
          <cell r="L76">
            <v>0</v>
          </cell>
          <cell r="M76">
            <v>213.43700000000001</v>
          </cell>
          <cell r="N76">
            <v>-6778.24</v>
          </cell>
          <cell r="O76">
            <v>133.24100000000001</v>
          </cell>
          <cell r="P76">
            <v>-966</v>
          </cell>
          <cell r="Q76">
            <v>120.458</v>
          </cell>
          <cell r="R76">
            <v>10559.9</v>
          </cell>
          <cell r="S76">
            <v>640.202</v>
          </cell>
          <cell r="T76">
            <v>136.67500000000001</v>
          </cell>
          <cell r="U76">
            <v>3143.5</v>
          </cell>
          <cell r="V76">
            <v>-731.93700000000001</v>
          </cell>
          <cell r="W76">
            <v>146.41499999999999</v>
          </cell>
          <cell r="X76">
            <v>3</v>
          </cell>
          <cell r="Y76">
            <v>27</v>
          </cell>
          <cell r="Z76">
            <v>1097</v>
          </cell>
          <cell r="AA76">
            <v>273.38400000000001</v>
          </cell>
          <cell r="AB76">
            <v>1</v>
          </cell>
          <cell r="AC76">
            <v>25771</v>
          </cell>
          <cell r="AD76">
            <v>1189.8599999999999</v>
          </cell>
          <cell r="AE76">
            <v>7559.81</v>
          </cell>
          <cell r="AF76">
            <v>20803.900000000001</v>
          </cell>
          <cell r="AG76">
            <v>4838.46</v>
          </cell>
          <cell r="AH76">
            <v>-1391.32</v>
          </cell>
          <cell r="AI76">
            <v>101183</v>
          </cell>
          <cell r="AJ76">
            <v>32676.7</v>
          </cell>
          <cell r="AK76">
            <v>0</v>
          </cell>
          <cell r="AL76">
            <v>0</v>
          </cell>
          <cell r="AM76">
            <v>-575.69299999999998</v>
          </cell>
          <cell r="AN76">
            <v>-740.54899999999998</v>
          </cell>
          <cell r="AO76">
            <v>248.38399999999999</v>
          </cell>
          <cell r="AP76">
            <v>617495</v>
          </cell>
          <cell r="AQ76">
            <v>2986.36</v>
          </cell>
          <cell r="AR76">
            <v>0</v>
          </cell>
          <cell r="AS76">
            <v>12083.6</v>
          </cell>
          <cell r="AT76">
            <v>0</v>
          </cell>
          <cell r="AU76">
            <v>418846</v>
          </cell>
          <cell r="AV76">
            <v>389610</v>
          </cell>
          <cell r="AW76">
            <v>29236</v>
          </cell>
          <cell r="AX76">
            <v>0.32630500000000001</v>
          </cell>
          <cell r="AY76">
            <v>2.56359</v>
          </cell>
          <cell r="AZ76">
            <v>17571</v>
          </cell>
          <cell r="BA76">
            <v>69083.199999999997</v>
          </cell>
          <cell r="BB76">
            <v>8486</v>
          </cell>
          <cell r="BC76">
            <v>71594.5</v>
          </cell>
          <cell r="BD76">
            <v>90476.2</v>
          </cell>
          <cell r="BE76">
            <v>7120.86</v>
          </cell>
          <cell r="BF76">
            <v>53143</v>
          </cell>
          <cell r="BG76">
            <v>5378.73</v>
          </cell>
          <cell r="BH76">
            <v>288.74400000000003</v>
          </cell>
          <cell r="BI76">
            <v>2.00359</v>
          </cell>
          <cell r="BJ76">
            <v>3.2665700000000002</v>
          </cell>
          <cell r="BK76">
            <v>4.1116599999999996</v>
          </cell>
          <cell r="BL76">
            <v>73964</v>
          </cell>
          <cell r="BM76">
            <v>4.6109299999999998</v>
          </cell>
          <cell r="BN76">
            <v>8671.33</v>
          </cell>
          <cell r="BO76">
            <v>2649.1</v>
          </cell>
          <cell r="BP76">
            <v>200.59</v>
          </cell>
          <cell r="BQ76">
            <v>136.67500000000001</v>
          </cell>
          <cell r="BR76">
            <v>425</v>
          </cell>
          <cell r="BS76">
            <v>25</v>
          </cell>
          <cell r="BT76">
            <v>25</v>
          </cell>
          <cell r="BU76" t="e">
            <v>#N/A</v>
          </cell>
          <cell r="BV76" t="e">
            <v>#N/A</v>
          </cell>
          <cell r="BW76">
            <v>751.57100000000003</v>
          </cell>
          <cell r="BX76">
            <v>-470.07</v>
          </cell>
          <cell r="BY76">
            <v>-281.50099999999998</v>
          </cell>
          <cell r="BZ76">
            <v>0.18</v>
          </cell>
          <cell r="CA76" t="e">
            <v>#N/A</v>
          </cell>
          <cell r="CB76" t="e">
            <v>#N/A</v>
          </cell>
          <cell r="CC76" t="e">
            <v>#N/A</v>
          </cell>
          <cell r="CD76" t="e">
            <v>#N/A</v>
          </cell>
          <cell r="CE76" t="e">
            <v>#N/A</v>
          </cell>
        </row>
        <row r="77">
          <cell r="A77">
            <v>201801</v>
          </cell>
          <cell r="B77">
            <v>450.548</v>
          </cell>
          <cell r="C77">
            <v>1356630</v>
          </cell>
          <cell r="D77">
            <v>14627.3</v>
          </cell>
          <cell r="E77">
            <v>17678.099999999999</v>
          </cell>
          <cell r="F77">
            <v>6036.31</v>
          </cell>
          <cell r="G77">
            <v>14610.4</v>
          </cell>
          <cell r="H77">
            <v>33.472999999999999</v>
          </cell>
          <cell r="I77">
            <v>17789.3</v>
          </cell>
          <cell r="J77">
            <v>9.7398399999999992</v>
          </cell>
          <cell r="K77">
            <v>632.16399999999999</v>
          </cell>
          <cell r="L77">
            <v>0</v>
          </cell>
          <cell r="M77">
            <v>214.24299999999999</v>
          </cell>
          <cell r="N77">
            <v>8725.9</v>
          </cell>
          <cell r="O77">
            <v>133.24100000000001</v>
          </cell>
          <cell r="P77">
            <v>-283</v>
          </cell>
          <cell r="Q77">
            <v>121.501</v>
          </cell>
          <cell r="R77">
            <v>10821</v>
          </cell>
          <cell r="S77">
            <v>398.20600000000002</v>
          </cell>
          <cell r="T77">
            <v>140.024</v>
          </cell>
          <cell r="U77">
            <v>3189.72</v>
          </cell>
          <cell r="V77">
            <v>-47.788200000000003</v>
          </cell>
          <cell r="W77">
            <v>149.76400000000001</v>
          </cell>
          <cell r="X77">
            <v>4</v>
          </cell>
          <cell r="Y77">
            <v>27</v>
          </cell>
          <cell r="Z77">
            <v>1097</v>
          </cell>
          <cell r="AA77">
            <v>299.12599999999998</v>
          </cell>
          <cell r="AB77">
            <v>1</v>
          </cell>
          <cell r="AC77">
            <v>25771</v>
          </cell>
          <cell r="AD77">
            <v>1195.1500000000001</v>
          </cell>
          <cell r="AE77">
            <v>-3924.12</v>
          </cell>
          <cell r="AF77">
            <v>0</v>
          </cell>
          <cell r="AG77">
            <v>4084.45</v>
          </cell>
          <cell r="AH77">
            <v>-2125.67</v>
          </cell>
          <cell r="AI77">
            <v>101172</v>
          </cell>
          <cell r="AJ77">
            <v>32676.7</v>
          </cell>
          <cell r="AK77">
            <v>0</v>
          </cell>
          <cell r="AL77">
            <v>0</v>
          </cell>
          <cell r="AM77">
            <v>-2.5504600000000002</v>
          </cell>
          <cell r="AN77">
            <v>-68.351200000000006</v>
          </cell>
          <cell r="AO77">
            <v>274.12599999999998</v>
          </cell>
          <cell r="AP77">
            <v>617495</v>
          </cell>
          <cell r="AQ77">
            <v>3065.21</v>
          </cell>
          <cell r="AR77">
            <v>29019.1</v>
          </cell>
          <cell r="AS77">
            <v>0</v>
          </cell>
          <cell r="AT77">
            <v>362.73899999999998</v>
          </cell>
          <cell r="AU77">
            <v>430980</v>
          </cell>
          <cell r="AV77">
            <v>401558</v>
          </cell>
          <cell r="AW77">
            <v>29421.7</v>
          </cell>
          <cell r="AX77">
            <v>0.336698</v>
          </cell>
          <cell r="AY77">
            <v>2.5257000000000001</v>
          </cell>
          <cell r="AZ77">
            <v>17471</v>
          </cell>
          <cell r="BA77">
            <v>71108.899999999994</v>
          </cell>
          <cell r="BB77">
            <v>8511</v>
          </cell>
          <cell r="BC77">
            <v>71595.5</v>
          </cell>
          <cell r="BD77">
            <v>92265.600000000006</v>
          </cell>
          <cell r="BE77">
            <v>7146.99</v>
          </cell>
          <cell r="BF77">
            <v>53143</v>
          </cell>
          <cell r="BG77">
            <v>5378.73</v>
          </cell>
          <cell r="BH77">
            <v>290.73599999999999</v>
          </cell>
          <cell r="BI77">
            <v>2.1295500000000001</v>
          </cell>
          <cell r="BJ77">
            <v>3.3438400000000001</v>
          </cell>
          <cell r="BK77">
            <v>4.1116599999999996</v>
          </cell>
          <cell r="BL77">
            <v>74824.100000000006</v>
          </cell>
          <cell r="BM77">
            <v>4.7368800000000002</v>
          </cell>
          <cell r="BN77">
            <v>8806.33</v>
          </cell>
          <cell r="BO77">
            <v>2723.44</v>
          </cell>
          <cell r="BP77">
            <v>201.739</v>
          </cell>
          <cell r="BQ77">
            <v>140.024</v>
          </cell>
          <cell r="BR77">
            <v>425</v>
          </cell>
          <cell r="BS77">
            <v>25</v>
          </cell>
          <cell r="BT77">
            <v>25</v>
          </cell>
          <cell r="BU77" t="e">
            <v>#N/A</v>
          </cell>
          <cell r="BV77" t="e">
            <v>#N/A</v>
          </cell>
          <cell r="BW77">
            <v>749.19200000000001</v>
          </cell>
          <cell r="BX77">
            <v>215.309</v>
          </cell>
          <cell r="BY77">
            <v>-964.50099999999998</v>
          </cell>
          <cell r="BZ77">
            <v>0.18</v>
          </cell>
          <cell r="CA77" t="e">
            <v>#N/A</v>
          </cell>
          <cell r="CB77" t="e">
            <v>#N/A</v>
          </cell>
          <cell r="CC77" t="e">
            <v>#N/A</v>
          </cell>
          <cell r="CD77" t="e">
            <v>#N/A</v>
          </cell>
          <cell r="CE77" t="e">
            <v>#N/A</v>
          </cell>
        </row>
        <row r="78">
          <cell r="A78">
            <v>201802</v>
          </cell>
          <cell r="B78">
            <v>468.61500000000001</v>
          </cell>
          <cell r="C78">
            <v>1358910</v>
          </cell>
          <cell r="D78">
            <v>3750</v>
          </cell>
          <cell r="E78">
            <v>17678.099999999999</v>
          </cell>
          <cell r="F78">
            <v>6080.26</v>
          </cell>
          <cell r="G78">
            <v>3668.28</v>
          </cell>
          <cell r="H78">
            <v>33.472999999999999</v>
          </cell>
          <cell r="I78">
            <v>17861.5</v>
          </cell>
          <cell r="J78">
            <v>9.7398399999999992</v>
          </cell>
          <cell r="K78">
            <v>630.11400000000003</v>
          </cell>
          <cell r="L78">
            <v>0</v>
          </cell>
          <cell r="M78">
            <v>214.72900000000001</v>
          </cell>
          <cell r="N78">
            <v>733.65599999999995</v>
          </cell>
          <cell r="O78">
            <v>133.24100000000001</v>
          </cell>
          <cell r="P78">
            <v>-552</v>
          </cell>
          <cell r="Q78">
            <v>122.545</v>
          </cell>
          <cell r="R78">
            <v>10749.4</v>
          </cell>
          <cell r="S78">
            <v>398.20600000000002</v>
          </cell>
          <cell r="T78">
            <v>143.37299999999999</v>
          </cell>
          <cell r="U78">
            <v>3531.97</v>
          </cell>
          <cell r="V78">
            <v>-290.79300000000001</v>
          </cell>
          <cell r="W78">
            <v>153.113</v>
          </cell>
          <cell r="X78">
            <v>5</v>
          </cell>
          <cell r="Y78">
            <v>37.700000000000003</v>
          </cell>
          <cell r="Z78">
            <v>1097</v>
          </cell>
          <cell r="AA78">
            <v>324.01499999999999</v>
          </cell>
          <cell r="AB78">
            <v>1</v>
          </cell>
          <cell r="AC78">
            <v>25771</v>
          </cell>
          <cell r="AD78">
            <v>1209.25</v>
          </cell>
          <cell r="AE78">
            <v>-4666.58</v>
          </cell>
          <cell r="AF78">
            <v>0</v>
          </cell>
          <cell r="AG78">
            <v>5706.16</v>
          </cell>
          <cell r="AH78">
            <v>-1927.02</v>
          </cell>
          <cell r="AI78">
            <v>101205</v>
          </cell>
          <cell r="AJ78">
            <v>32676.7</v>
          </cell>
          <cell r="AK78">
            <v>0</v>
          </cell>
          <cell r="AL78">
            <v>0</v>
          </cell>
          <cell r="AM78">
            <v>-245.58</v>
          </cell>
          <cell r="AN78">
            <v>-317.26600000000002</v>
          </cell>
          <cell r="AO78">
            <v>299.01499999999999</v>
          </cell>
          <cell r="AP78">
            <v>617495</v>
          </cell>
          <cell r="AQ78">
            <v>3463.73</v>
          </cell>
          <cell r="AR78">
            <v>0</v>
          </cell>
          <cell r="AS78">
            <v>0</v>
          </cell>
          <cell r="AT78">
            <v>0</v>
          </cell>
          <cell r="AU78">
            <v>436765</v>
          </cell>
          <cell r="AV78">
            <v>407019</v>
          </cell>
          <cell r="AW78">
            <v>29746.400000000001</v>
          </cell>
          <cell r="AX78">
            <v>0.34602100000000002</v>
          </cell>
          <cell r="AY78">
            <v>2.4965600000000001</v>
          </cell>
          <cell r="AZ78">
            <v>17371</v>
          </cell>
          <cell r="BA78">
            <v>72935.899999999994</v>
          </cell>
          <cell r="BB78">
            <v>8536</v>
          </cell>
          <cell r="BC78">
            <v>71596.5</v>
          </cell>
          <cell r="BD78">
            <v>94080.7</v>
          </cell>
          <cell r="BE78">
            <v>7173.51</v>
          </cell>
          <cell r="BF78">
            <v>53143</v>
          </cell>
          <cell r="BG78">
            <v>5378.73</v>
          </cell>
          <cell r="BH78">
            <v>294.86200000000002</v>
          </cell>
          <cell r="BI78">
            <v>2.2493500000000002</v>
          </cell>
          <cell r="BJ78">
            <v>3.4169900000000002</v>
          </cell>
          <cell r="BK78">
            <v>4.1116599999999996</v>
          </cell>
          <cell r="BL78">
            <v>75681.7</v>
          </cell>
          <cell r="BM78">
            <v>4.8566900000000004</v>
          </cell>
          <cell r="BN78">
            <v>8950.14</v>
          </cell>
          <cell r="BO78">
            <v>3092.63</v>
          </cell>
          <cell r="BP78">
            <v>227.73400000000001</v>
          </cell>
          <cell r="BQ78">
            <v>143.37299999999999</v>
          </cell>
          <cell r="BR78">
            <v>425</v>
          </cell>
          <cell r="BS78">
            <v>25</v>
          </cell>
          <cell r="BT78">
            <v>25</v>
          </cell>
          <cell r="BU78" t="e">
            <v>#N/A</v>
          </cell>
          <cell r="BV78" t="e">
            <v>#N/A</v>
          </cell>
          <cell r="BW78">
            <v>757.84199999999998</v>
          </cell>
          <cell r="BX78">
            <v>-51.640599999999999</v>
          </cell>
          <cell r="BY78">
            <v>-706.20100000000002</v>
          </cell>
          <cell r="BZ78">
            <v>0.18</v>
          </cell>
          <cell r="CA78" t="e">
            <v>#N/A</v>
          </cell>
          <cell r="CB78" t="e">
            <v>#N/A</v>
          </cell>
          <cell r="CC78" t="e">
            <v>#N/A</v>
          </cell>
          <cell r="CD78" t="e">
            <v>#N/A</v>
          </cell>
          <cell r="CE78" t="e">
            <v>#N/A</v>
          </cell>
        </row>
        <row r="79">
          <cell r="A79">
            <v>201803</v>
          </cell>
          <cell r="B79">
            <v>486.29500000000002</v>
          </cell>
          <cell r="C79">
            <v>1361230</v>
          </cell>
          <cell r="D79">
            <v>3750</v>
          </cell>
          <cell r="E79">
            <v>17678.099999999999</v>
          </cell>
          <cell r="F79">
            <v>6116.47</v>
          </cell>
          <cell r="G79">
            <v>3696.86</v>
          </cell>
          <cell r="H79">
            <v>33.472999999999999</v>
          </cell>
          <cell r="I79">
            <v>17969.7</v>
          </cell>
          <cell r="J79">
            <v>9.7398399999999992</v>
          </cell>
          <cell r="K79">
            <v>628.38699999999994</v>
          </cell>
          <cell r="L79">
            <v>0</v>
          </cell>
          <cell r="M79">
            <v>215.73400000000001</v>
          </cell>
          <cell r="N79">
            <v>739.37199999999996</v>
          </cell>
          <cell r="O79">
            <v>133.24100000000001</v>
          </cell>
          <cell r="P79">
            <v>-995</v>
          </cell>
          <cell r="Q79">
            <v>123.589</v>
          </cell>
          <cell r="R79">
            <v>10819.1</v>
          </cell>
          <cell r="S79">
            <v>398.20600000000002</v>
          </cell>
          <cell r="T79">
            <v>146.72200000000001</v>
          </cell>
          <cell r="U79">
            <v>3557.54</v>
          </cell>
          <cell r="V79">
            <v>-717.80200000000002</v>
          </cell>
          <cell r="W79">
            <v>156.46199999999999</v>
          </cell>
          <cell r="X79">
            <v>6</v>
          </cell>
          <cell r="Y79">
            <v>40.776000000000003</v>
          </cell>
          <cell r="Z79">
            <v>1097</v>
          </cell>
          <cell r="AA79">
            <v>348.39600000000002</v>
          </cell>
          <cell r="AB79">
            <v>1</v>
          </cell>
          <cell r="AC79">
            <v>25771</v>
          </cell>
          <cell r="AD79">
            <v>1216.81</v>
          </cell>
          <cell r="AE79">
            <v>-4060.92</v>
          </cell>
          <cell r="AF79">
            <v>0</v>
          </cell>
          <cell r="AG79">
            <v>4467.57</v>
          </cell>
          <cell r="AH79">
            <v>-1587.82</v>
          </cell>
          <cell r="AI79">
            <v>101216</v>
          </cell>
          <cell r="AJ79">
            <v>32676.7</v>
          </cell>
          <cell r="AK79">
            <v>0</v>
          </cell>
          <cell r="AL79">
            <v>0</v>
          </cell>
          <cell r="AM79">
            <v>-706.45100000000002</v>
          </cell>
          <cell r="AN79">
            <v>-778.13699999999994</v>
          </cell>
          <cell r="AO79">
            <v>323.39600000000002</v>
          </cell>
          <cell r="AP79">
            <v>617495</v>
          </cell>
          <cell r="AQ79">
            <v>3534.75</v>
          </cell>
          <cell r="AR79">
            <v>0</v>
          </cell>
          <cell r="AS79">
            <v>0</v>
          </cell>
          <cell r="AT79">
            <v>0</v>
          </cell>
          <cell r="AU79">
            <v>441340</v>
          </cell>
          <cell r="AV79">
            <v>411389</v>
          </cell>
          <cell r="AW79">
            <v>29951.7</v>
          </cell>
          <cell r="AX79">
            <v>0.35453200000000001</v>
          </cell>
          <cell r="AY79">
            <v>2.4734699999999998</v>
          </cell>
          <cell r="AZ79">
            <v>17271</v>
          </cell>
          <cell r="BA79">
            <v>74423.7</v>
          </cell>
          <cell r="BB79">
            <v>8561</v>
          </cell>
          <cell r="BC79">
            <v>71597.5</v>
          </cell>
          <cell r="BD79">
            <v>95895.9</v>
          </cell>
          <cell r="BE79">
            <v>7200.03</v>
          </cell>
          <cell r="BF79">
            <v>53143</v>
          </cell>
          <cell r="BG79">
            <v>5378.73</v>
          </cell>
          <cell r="BH79">
            <v>296.726</v>
          </cell>
          <cell r="BI79">
            <v>2.3690000000000002</v>
          </cell>
          <cell r="BJ79">
            <v>3.4859800000000001</v>
          </cell>
          <cell r="BK79">
            <v>4.1116599999999996</v>
          </cell>
          <cell r="BL79">
            <v>76547.600000000006</v>
          </cell>
          <cell r="BM79">
            <v>4.9763299999999999</v>
          </cell>
          <cell r="BN79">
            <v>9093.9599999999991</v>
          </cell>
          <cell r="BO79">
            <v>3144.31</v>
          </cell>
          <cell r="BP79">
            <v>243.72499999999999</v>
          </cell>
          <cell r="BQ79">
            <v>146.72200000000001</v>
          </cell>
          <cell r="BR79">
            <v>425</v>
          </cell>
          <cell r="BS79">
            <v>25</v>
          </cell>
          <cell r="BT79">
            <v>25</v>
          </cell>
          <cell r="BU79" t="e">
            <v>#N/A</v>
          </cell>
          <cell r="BV79" t="e">
            <v>#N/A</v>
          </cell>
          <cell r="BW79">
            <v>759.19100000000003</v>
          </cell>
          <cell r="BX79">
            <v>-492.91399999999999</v>
          </cell>
          <cell r="BY79">
            <v>-266.27699999999999</v>
          </cell>
          <cell r="BZ79">
            <v>0.18</v>
          </cell>
          <cell r="CA79" t="e">
            <v>#N/A</v>
          </cell>
          <cell r="CB79" t="e">
            <v>#N/A</v>
          </cell>
          <cell r="CC79" t="e">
            <v>#N/A</v>
          </cell>
          <cell r="CD79" t="e">
            <v>#N/A</v>
          </cell>
          <cell r="CE79" t="e">
            <v>#N/A</v>
          </cell>
        </row>
        <row r="80">
          <cell r="A80">
            <v>201804</v>
          </cell>
          <cell r="B80">
            <v>503.73599999999999</v>
          </cell>
          <cell r="C80">
            <v>1363490</v>
          </cell>
          <cell r="D80">
            <v>3750</v>
          </cell>
          <cell r="E80">
            <v>17678.099999999999</v>
          </cell>
          <cell r="F80">
            <v>6294.15</v>
          </cell>
          <cell r="G80">
            <v>3554.4</v>
          </cell>
          <cell r="H80">
            <v>33.472999999999999</v>
          </cell>
          <cell r="I80">
            <v>18116</v>
          </cell>
          <cell r="J80">
            <v>9.7398399999999992</v>
          </cell>
          <cell r="K80">
            <v>626.95500000000004</v>
          </cell>
          <cell r="L80">
            <v>0</v>
          </cell>
          <cell r="M80">
            <v>217.28700000000001</v>
          </cell>
          <cell r="N80">
            <v>710.88</v>
          </cell>
          <cell r="O80">
            <v>133.24100000000001</v>
          </cell>
          <cell r="P80">
            <v>-966</v>
          </cell>
          <cell r="Q80">
            <v>124.63200000000001</v>
          </cell>
          <cell r="R80">
            <v>10948.8</v>
          </cell>
          <cell r="S80">
            <v>398.20600000000002</v>
          </cell>
          <cell r="T80">
            <v>150.071</v>
          </cell>
          <cell r="U80">
            <v>3582.34</v>
          </cell>
          <cell r="V80">
            <v>-716.06500000000005</v>
          </cell>
          <cell r="W80">
            <v>159.81100000000001</v>
          </cell>
          <cell r="X80">
            <v>7</v>
          </cell>
          <cell r="Y80">
            <v>27</v>
          </cell>
          <cell r="Z80">
            <v>1097</v>
          </cell>
          <cell r="AA80">
            <v>372.60399999999998</v>
          </cell>
          <cell r="AB80">
            <v>1</v>
          </cell>
          <cell r="AC80">
            <v>25771</v>
          </cell>
          <cell r="AD80">
            <v>1232.3399999999999</v>
          </cell>
          <cell r="AE80">
            <v>-4697.12</v>
          </cell>
          <cell r="AF80">
            <v>0</v>
          </cell>
          <cell r="AG80">
            <v>5013.45</v>
          </cell>
          <cell r="AH80">
            <v>-1730.5</v>
          </cell>
          <cell r="AI80">
            <v>101227</v>
          </cell>
          <cell r="AJ80">
            <v>32676.7</v>
          </cell>
          <cell r="AK80">
            <v>0</v>
          </cell>
          <cell r="AL80">
            <v>0</v>
          </cell>
          <cell r="AM80">
            <v>-710.67200000000003</v>
          </cell>
          <cell r="AN80">
            <v>-782.35799999999995</v>
          </cell>
          <cell r="AO80">
            <v>347.60399999999998</v>
          </cell>
          <cell r="AP80">
            <v>617495</v>
          </cell>
          <cell r="AQ80">
            <v>3561.29</v>
          </cell>
          <cell r="AR80">
            <v>0</v>
          </cell>
          <cell r="AS80">
            <v>0</v>
          </cell>
          <cell r="AT80">
            <v>0</v>
          </cell>
          <cell r="AU80">
            <v>446341</v>
          </cell>
          <cell r="AV80">
            <v>415964</v>
          </cell>
          <cell r="AW80">
            <v>30376.7</v>
          </cell>
          <cell r="AX80">
            <v>0.36210700000000001</v>
          </cell>
          <cell r="AY80">
            <v>2.4555600000000002</v>
          </cell>
          <cell r="AZ80">
            <v>17171</v>
          </cell>
          <cell r="BA80">
            <v>76054.2</v>
          </cell>
          <cell r="BB80">
            <v>8586</v>
          </cell>
          <cell r="BC80">
            <v>71598.5</v>
          </cell>
          <cell r="BD80">
            <v>97711</v>
          </cell>
          <cell r="BE80">
            <v>7226.55</v>
          </cell>
          <cell r="BF80">
            <v>53143</v>
          </cell>
          <cell r="BG80">
            <v>5378.73</v>
          </cell>
          <cell r="BH80">
            <v>299.96600000000001</v>
          </cell>
          <cell r="BI80">
            <v>2.4784799999999998</v>
          </cell>
          <cell r="BJ80">
            <v>3.5510999999999999</v>
          </cell>
          <cell r="BK80">
            <v>4.1116599999999996</v>
          </cell>
          <cell r="BL80">
            <v>77428.899999999994</v>
          </cell>
          <cell r="BM80">
            <v>5.0858100000000004</v>
          </cell>
          <cell r="BN80">
            <v>9237.7800000000007</v>
          </cell>
          <cell r="BO80">
            <v>3194.75</v>
          </cell>
          <cell r="BP80">
            <v>216.46199999999999</v>
          </cell>
          <cell r="BQ80">
            <v>150.071</v>
          </cell>
          <cell r="BR80">
            <v>425</v>
          </cell>
          <cell r="BS80">
            <v>25</v>
          </cell>
          <cell r="BT80">
            <v>25</v>
          </cell>
          <cell r="BU80" t="e">
            <v>#N/A</v>
          </cell>
          <cell r="BV80" t="e">
            <v>#N/A</v>
          </cell>
          <cell r="BW80">
            <v>743.98299999999995</v>
          </cell>
          <cell r="BX80">
            <v>-462.48200000000003</v>
          </cell>
          <cell r="BY80">
            <v>-281.50099999999998</v>
          </cell>
          <cell r="BZ80">
            <v>0.18</v>
          </cell>
          <cell r="CA80" t="e">
            <v>#N/A</v>
          </cell>
          <cell r="CB80" t="e">
            <v>#N/A</v>
          </cell>
          <cell r="CC80" t="e">
            <v>#N/A</v>
          </cell>
          <cell r="CD80" t="e">
            <v>#N/A</v>
          </cell>
          <cell r="CE80" t="e">
            <v>#N/A</v>
          </cell>
        </row>
        <row r="81">
          <cell r="A81">
            <v>201901</v>
          </cell>
          <cell r="B81">
            <v>521.85</v>
          </cell>
          <cell r="C81">
            <v>1359270</v>
          </cell>
          <cell r="D81">
            <v>3750</v>
          </cell>
          <cell r="E81">
            <v>17678.099999999999</v>
          </cell>
          <cell r="F81">
            <v>6316.67</v>
          </cell>
          <cell r="G81">
            <v>3730.41</v>
          </cell>
          <cell r="H81">
            <v>33.472999999999999</v>
          </cell>
          <cell r="I81">
            <v>18302.5</v>
          </cell>
          <cell r="J81">
            <v>9.7398399999999992</v>
          </cell>
          <cell r="K81">
            <v>625.80799999999999</v>
          </cell>
          <cell r="L81">
            <v>0</v>
          </cell>
          <cell r="M81">
            <v>219.42</v>
          </cell>
          <cell r="N81">
            <v>7400.16</v>
          </cell>
          <cell r="O81">
            <v>133.24100000000001</v>
          </cell>
          <cell r="P81">
            <v>-283</v>
          </cell>
          <cell r="Q81">
            <v>125.676</v>
          </cell>
          <cell r="R81">
            <v>11077</v>
          </cell>
          <cell r="S81">
            <v>398.20600000000002</v>
          </cell>
          <cell r="T81">
            <v>153.41999999999999</v>
          </cell>
          <cell r="U81">
            <v>3608</v>
          </cell>
          <cell r="V81">
            <v>-32.359200000000001</v>
          </cell>
          <cell r="W81">
            <v>163.15899999999999</v>
          </cell>
          <cell r="X81">
            <v>8</v>
          </cell>
          <cell r="Y81">
            <v>27</v>
          </cell>
          <cell r="Z81">
            <v>1097</v>
          </cell>
          <cell r="AA81">
            <v>396.15499999999997</v>
          </cell>
          <cell r="AB81">
            <v>1</v>
          </cell>
          <cell r="AC81">
            <v>25771</v>
          </cell>
          <cell r="AD81">
            <v>1248.5</v>
          </cell>
          <cell r="AE81">
            <v>-3885.01</v>
          </cell>
          <cell r="AF81">
            <v>0</v>
          </cell>
          <cell r="AG81">
            <v>4321.91</v>
          </cell>
          <cell r="AH81">
            <v>-2605.52</v>
          </cell>
          <cell r="AI81">
            <v>101216</v>
          </cell>
          <cell r="AJ81">
            <v>32676.7</v>
          </cell>
          <cell r="AK81">
            <v>0</v>
          </cell>
          <cell r="AL81">
            <v>0</v>
          </cell>
          <cell r="AM81">
            <v>-95.980199999999996</v>
          </cell>
          <cell r="AN81">
            <v>-117.221</v>
          </cell>
          <cell r="AO81">
            <v>371.15499999999997</v>
          </cell>
          <cell r="AP81">
            <v>617495</v>
          </cell>
          <cell r="AQ81">
            <v>3615.69</v>
          </cell>
          <cell r="AR81">
            <v>33270.400000000001</v>
          </cell>
          <cell r="AS81">
            <v>0</v>
          </cell>
          <cell r="AT81">
            <v>0</v>
          </cell>
          <cell r="AU81">
            <v>457343</v>
          </cell>
          <cell r="AV81">
            <v>426774</v>
          </cell>
          <cell r="AW81">
            <v>30568.7</v>
          </cell>
          <cell r="AX81">
            <v>0.36874200000000001</v>
          </cell>
          <cell r="AY81">
            <v>2.4411100000000001</v>
          </cell>
          <cell r="AZ81">
            <v>17071</v>
          </cell>
          <cell r="BA81">
            <v>78559.7</v>
          </cell>
          <cell r="BB81">
            <v>8611</v>
          </cell>
          <cell r="BC81">
            <v>71599.5</v>
          </cell>
          <cell r="BD81">
            <v>99526.2</v>
          </cell>
          <cell r="BE81">
            <v>7253.06</v>
          </cell>
          <cell r="BF81">
            <v>53143</v>
          </cell>
          <cell r="BG81">
            <v>5378.73</v>
          </cell>
          <cell r="BH81">
            <v>302.02100000000002</v>
          </cell>
          <cell r="BI81">
            <v>2.5867100000000001</v>
          </cell>
          <cell r="BJ81">
            <v>3.6124200000000002</v>
          </cell>
          <cell r="BK81">
            <v>4.1116599999999996</v>
          </cell>
          <cell r="BL81">
            <v>78299.399999999994</v>
          </cell>
          <cell r="BM81">
            <v>5.1940499999999998</v>
          </cell>
          <cell r="BN81">
            <v>9381.59</v>
          </cell>
          <cell r="BO81">
            <v>3245.11</v>
          </cell>
          <cell r="BP81">
            <v>217.16800000000001</v>
          </cell>
          <cell r="BQ81">
            <v>153.41999999999999</v>
          </cell>
          <cell r="BR81">
            <v>425</v>
          </cell>
          <cell r="BS81">
            <v>25</v>
          </cell>
          <cell r="BT81">
            <v>25</v>
          </cell>
          <cell r="BU81" t="e">
            <v>#N/A</v>
          </cell>
          <cell r="BV81" t="e">
            <v>#N/A</v>
          </cell>
          <cell r="BW81">
            <v>742.83600000000001</v>
          </cell>
          <cell r="BX81">
            <v>221.66499999999999</v>
          </cell>
          <cell r="BY81">
            <v>-964.50099999999998</v>
          </cell>
          <cell r="BZ81">
            <v>0.18</v>
          </cell>
          <cell r="CA81" t="e">
            <v>#N/A</v>
          </cell>
          <cell r="CB81" t="e">
            <v>#N/A</v>
          </cell>
          <cell r="CC81" t="e">
            <v>#N/A</v>
          </cell>
          <cell r="CD81" t="e">
            <v>#N/A</v>
          </cell>
          <cell r="CE81" t="e">
            <v>#N/A</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PEF"/>
      <sheetName val="DINT08"/>
      <sheetName val="DINT09"/>
      <sheetName val="DOMINANT"/>
      <sheetName val="SK Data"/>
      <sheetName val="nKEYNES"/>
      <sheetName val="Download"/>
      <sheetName val="Intraflows"/>
      <sheetName val="DICGOP"/>
      <sheetName val="Model-Exp"/>
      <sheetName val="Model-Rec"/>
      <sheetName val="Mini-Forecasts"/>
      <sheetName val="NAO"/>
      <sheetName val="Calcs"/>
      <sheetName val="Upload"/>
      <sheetName val="PBR08"/>
      <sheetName val="Differences"/>
      <sheetName val="PreBud08"/>
      <sheetName val="KELLY01"/>
      <sheetName val="KELLY03"/>
      <sheetName val="KELLY04"/>
      <sheetName val="KELLY05"/>
      <sheetName val="KELLY06"/>
      <sheetName val="KELLY07"/>
      <sheetName val="KELLY09"/>
      <sheetName val="KELLY10"/>
      <sheetName val="KELLY10C"/>
      <sheetName val="KELLY10D"/>
      <sheetName val="KELLY10E"/>
      <sheetName val="KELLY10F"/>
      <sheetName val="KELLY10G"/>
      <sheetName val="KELLY12"/>
      <sheetName val="KELLY12A"/>
      <sheetName val="KELLY12AA"/>
      <sheetName val="KELLY12B"/>
      <sheetName val="FSBR09"/>
      <sheetName val="LIVE"/>
      <sheetName val="KELLY03a"/>
      <sheetName val="KELLY03b"/>
      <sheetName val="KELLY03c"/>
      <sheetName val="KELLY03d"/>
      <sheetName val="KELLY05a"/>
      <sheetName val="KELLY06a"/>
      <sheetName val="KELLY06b"/>
      <sheetName val="Debt Interest PORTAL! FSBR09"/>
      <sheetName val="SK_Data"/>
      <sheetName val="Debt_Interest_PORTAL!_FSBR09"/>
      <sheetName val="SK_Data1"/>
      <sheetName val="Debt_Interest_PORTAL!_FSBR0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t="str">
            <v>CGC</v>
          </cell>
        </row>
        <row r="65">
          <cell r="A65" t="str">
            <v>1999-00</v>
          </cell>
          <cell r="B65">
            <v>1102</v>
          </cell>
          <cell r="C65">
            <v>258807</v>
          </cell>
          <cell r="D65">
            <v>-9137</v>
          </cell>
          <cell r="G65">
            <v>-1202</v>
          </cell>
          <cell r="H65">
            <v>54</v>
          </cell>
          <cell r="I65">
            <v>24968</v>
          </cell>
          <cell r="J65">
            <v>322</v>
          </cell>
          <cell r="K65">
            <v>4056</v>
          </cell>
          <cell r="L65">
            <v>9</v>
          </cell>
          <cell r="M65">
            <v>252</v>
          </cell>
          <cell r="N65">
            <v>2747</v>
          </cell>
          <cell r="O65">
            <v>2036</v>
          </cell>
          <cell r="P65">
            <v>-1555</v>
          </cell>
          <cell r="Q65">
            <v>176</v>
          </cell>
          <cell r="R65">
            <v>17824</v>
          </cell>
          <cell r="S65">
            <v>2849</v>
          </cell>
          <cell r="T65">
            <v>515</v>
          </cell>
          <cell r="U65">
            <v>7538</v>
          </cell>
          <cell r="V65">
            <v>-672</v>
          </cell>
          <cell r="W65">
            <v>846</v>
          </cell>
          <cell r="X65">
            <v>167</v>
          </cell>
          <cell r="Y65">
            <v>-1214</v>
          </cell>
          <cell r="Z65">
            <v>4711</v>
          </cell>
          <cell r="AA65">
            <v>1619</v>
          </cell>
          <cell r="AB65">
            <v>12000</v>
          </cell>
          <cell r="AD65">
            <v>1645</v>
          </cell>
          <cell r="AE65">
            <v>-817</v>
          </cell>
          <cell r="AF65">
            <v>2</v>
          </cell>
          <cell r="AG65">
            <v>819</v>
          </cell>
          <cell r="AH65">
            <v>-421</v>
          </cell>
          <cell r="AK65">
            <v>935</v>
          </cell>
          <cell r="AL65">
            <v>-2319</v>
          </cell>
          <cell r="AM65">
            <v>1495</v>
          </cell>
          <cell r="AN65">
            <v>-3652</v>
          </cell>
          <cell r="AO65">
            <v>1326</v>
          </cell>
          <cell r="AQ65">
            <v>4409</v>
          </cell>
          <cell r="AR65">
            <v>14846</v>
          </cell>
          <cell r="AS65">
            <v>0</v>
          </cell>
          <cell r="AT65">
            <v>0</v>
          </cell>
          <cell r="BN65">
            <v>5640</v>
          </cell>
          <cell r="BO65">
            <v>3065</v>
          </cell>
          <cell r="BP65">
            <v>829</v>
          </cell>
          <cell r="BQ65">
            <v>515</v>
          </cell>
          <cell r="BR65">
            <v>1400</v>
          </cell>
          <cell r="BS65">
            <v>127</v>
          </cell>
          <cell r="BT65">
            <v>153</v>
          </cell>
          <cell r="BW65">
            <v>4543</v>
          </cell>
          <cell r="BX65">
            <v>-1339</v>
          </cell>
          <cell r="BY65">
            <v>-3204</v>
          </cell>
        </row>
        <row r="66">
          <cell r="A66" t="str">
            <v>2000-01</v>
          </cell>
          <cell r="B66">
            <v>1128</v>
          </cell>
          <cell r="C66">
            <v>250843.25</v>
          </cell>
          <cell r="D66">
            <v>-35569</v>
          </cell>
          <cell r="E66">
            <v>-4874</v>
          </cell>
          <cell r="F66">
            <v>185</v>
          </cell>
          <cell r="G66">
            <v>-14239</v>
          </cell>
          <cell r="H66">
            <v>57</v>
          </cell>
          <cell r="I66">
            <v>25958</v>
          </cell>
          <cell r="J66">
            <v>319</v>
          </cell>
          <cell r="K66">
            <v>3707</v>
          </cell>
          <cell r="L66">
            <v>11</v>
          </cell>
          <cell r="M66">
            <v>348</v>
          </cell>
          <cell r="N66">
            <v>2773</v>
          </cell>
          <cell r="O66">
            <v>2039</v>
          </cell>
          <cell r="P66">
            <v>-1573</v>
          </cell>
          <cell r="Q66">
            <v>210</v>
          </cell>
          <cell r="R66">
            <v>16728</v>
          </cell>
          <cell r="S66">
            <v>3159</v>
          </cell>
          <cell r="T66">
            <v>651</v>
          </cell>
          <cell r="U66">
            <v>8442</v>
          </cell>
          <cell r="V66">
            <v>-578</v>
          </cell>
          <cell r="W66">
            <v>981</v>
          </cell>
          <cell r="X66">
            <v>-7073</v>
          </cell>
          <cell r="Y66">
            <v>-1208</v>
          </cell>
          <cell r="Z66">
            <v>4568</v>
          </cell>
          <cell r="AA66">
            <v>2114</v>
          </cell>
          <cell r="AB66">
            <v>12000</v>
          </cell>
          <cell r="AD66">
            <v>1753</v>
          </cell>
          <cell r="AE66">
            <v>-2210</v>
          </cell>
          <cell r="AF66">
            <v>0</v>
          </cell>
          <cell r="AG66">
            <v>2210</v>
          </cell>
          <cell r="AH66">
            <v>-1728</v>
          </cell>
          <cell r="AI66">
            <v>-720</v>
          </cell>
          <cell r="AJ66">
            <v>11832</v>
          </cell>
          <cell r="AK66">
            <v>-2823</v>
          </cell>
          <cell r="AL66">
            <v>-2054</v>
          </cell>
          <cell r="AM66">
            <v>759</v>
          </cell>
          <cell r="AN66">
            <v>-2565</v>
          </cell>
          <cell r="AO66">
            <v>1653</v>
          </cell>
          <cell r="AQ66">
            <v>6399</v>
          </cell>
          <cell r="AR66">
            <v>20872</v>
          </cell>
          <cell r="AS66">
            <v>0</v>
          </cell>
          <cell r="AT66">
            <v>0</v>
          </cell>
          <cell r="BF66">
            <v>-932</v>
          </cell>
          <cell r="BG66">
            <v>-44</v>
          </cell>
          <cell r="BN66">
            <v>7242</v>
          </cell>
          <cell r="BO66">
            <v>4810</v>
          </cell>
          <cell r="BP66">
            <v>938</v>
          </cell>
          <cell r="BQ66">
            <v>651</v>
          </cell>
          <cell r="BR66">
            <v>1117</v>
          </cell>
          <cell r="BS66">
            <v>565</v>
          </cell>
          <cell r="BT66">
            <v>-33</v>
          </cell>
          <cell r="BW66">
            <v>4234</v>
          </cell>
          <cell r="BX66">
            <v>-1415</v>
          </cell>
          <cell r="BY66">
            <v>-2819</v>
          </cell>
        </row>
        <row r="67">
          <cell r="A67" t="str">
            <v>2001-02</v>
          </cell>
          <cell r="B67">
            <v>954</v>
          </cell>
          <cell r="C67">
            <v>230379.5</v>
          </cell>
          <cell r="D67">
            <v>2771</v>
          </cell>
          <cell r="E67">
            <v>4300</v>
          </cell>
          <cell r="F67">
            <v>164</v>
          </cell>
          <cell r="G67">
            <v>-5038</v>
          </cell>
          <cell r="H67">
            <v>40</v>
          </cell>
          <cell r="I67">
            <v>22000</v>
          </cell>
          <cell r="J67">
            <v>289</v>
          </cell>
          <cell r="K67">
            <v>3711</v>
          </cell>
          <cell r="L67">
            <v>9</v>
          </cell>
          <cell r="M67">
            <v>305</v>
          </cell>
          <cell r="N67">
            <v>3642</v>
          </cell>
          <cell r="O67">
            <v>3261</v>
          </cell>
          <cell r="P67">
            <v>-2740</v>
          </cell>
          <cell r="Q67">
            <v>258</v>
          </cell>
          <cell r="R67">
            <v>14971</v>
          </cell>
          <cell r="S67">
            <v>2484</v>
          </cell>
          <cell r="T67">
            <v>757</v>
          </cell>
          <cell r="U67">
            <v>8945</v>
          </cell>
          <cell r="V67">
            <v>-1954</v>
          </cell>
          <cell r="W67">
            <v>1055</v>
          </cell>
          <cell r="X67">
            <v>2030</v>
          </cell>
          <cell r="Y67">
            <v>-2470</v>
          </cell>
          <cell r="Z67">
            <v>4584</v>
          </cell>
          <cell r="AA67">
            <v>1577</v>
          </cell>
          <cell r="AB67">
            <v>3000</v>
          </cell>
          <cell r="AD67">
            <v>1839</v>
          </cell>
          <cell r="AE67">
            <v>33</v>
          </cell>
          <cell r="AF67">
            <v>1170</v>
          </cell>
          <cell r="AG67">
            <v>1137</v>
          </cell>
          <cell r="AH67">
            <v>-317</v>
          </cell>
          <cell r="AI67">
            <v>-336</v>
          </cell>
          <cell r="AJ67">
            <v>-4922</v>
          </cell>
          <cell r="AK67">
            <v>1860</v>
          </cell>
          <cell r="AL67">
            <v>-4077</v>
          </cell>
          <cell r="AM67">
            <v>1624</v>
          </cell>
          <cell r="AN67">
            <v>-2083</v>
          </cell>
          <cell r="AO67">
            <v>1401</v>
          </cell>
          <cell r="AQ67">
            <v>5053</v>
          </cell>
          <cell r="AR67">
            <v>21402</v>
          </cell>
          <cell r="AS67">
            <v>0</v>
          </cell>
          <cell r="AT67">
            <v>0</v>
          </cell>
          <cell r="BF67">
            <v>6179</v>
          </cell>
          <cell r="BG67">
            <v>-13</v>
          </cell>
          <cell r="BN67">
            <v>8062</v>
          </cell>
          <cell r="BO67">
            <v>3550</v>
          </cell>
          <cell r="BP67">
            <v>746</v>
          </cell>
          <cell r="BQ67">
            <v>757</v>
          </cell>
          <cell r="BR67">
            <v>-106</v>
          </cell>
          <cell r="BS67">
            <v>-489</v>
          </cell>
          <cell r="BT67">
            <v>142</v>
          </cell>
          <cell r="BW67">
            <v>4305</v>
          </cell>
          <cell r="BX67">
            <v>-1624</v>
          </cell>
          <cell r="BY67">
            <v>-2681</v>
          </cell>
        </row>
        <row r="68">
          <cell r="A68" t="str">
            <v>2002-03</v>
          </cell>
          <cell r="B68">
            <v>818</v>
          </cell>
          <cell r="C68">
            <v>234285.5</v>
          </cell>
          <cell r="D68">
            <v>21751</v>
          </cell>
          <cell r="E68">
            <v>1018</v>
          </cell>
          <cell r="F68">
            <v>121</v>
          </cell>
          <cell r="G68">
            <v>8892</v>
          </cell>
          <cell r="H68">
            <v>73</v>
          </cell>
          <cell r="I68">
            <v>20911</v>
          </cell>
          <cell r="J68">
            <v>218</v>
          </cell>
          <cell r="K68">
            <v>4150</v>
          </cell>
          <cell r="L68">
            <v>6</v>
          </cell>
          <cell r="M68">
            <v>266</v>
          </cell>
          <cell r="N68">
            <v>4563</v>
          </cell>
          <cell r="O68">
            <v>3384</v>
          </cell>
          <cell r="P68">
            <v>-2889</v>
          </cell>
          <cell r="Q68">
            <v>561</v>
          </cell>
          <cell r="R68">
            <v>14090</v>
          </cell>
          <cell r="S68">
            <v>2079</v>
          </cell>
          <cell r="T68">
            <v>667</v>
          </cell>
          <cell r="U68">
            <v>9144</v>
          </cell>
          <cell r="V68">
            <v>-2066</v>
          </cell>
          <cell r="W68">
            <v>891</v>
          </cell>
          <cell r="X68">
            <v>3871</v>
          </cell>
          <cell r="Y68">
            <v>-2675</v>
          </cell>
          <cell r="Z68">
            <v>4376</v>
          </cell>
          <cell r="AA68">
            <v>1478</v>
          </cell>
          <cell r="AB68">
            <v>0</v>
          </cell>
          <cell r="AD68">
            <v>1919</v>
          </cell>
          <cell r="AE68">
            <v>-1124</v>
          </cell>
          <cell r="AF68">
            <v>0</v>
          </cell>
          <cell r="AG68">
            <v>1124</v>
          </cell>
          <cell r="AH68">
            <v>-278</v>
          </cell>
          <cell r="AI68">
            <v>812</v>
          </cell>
          <cell r="AJ68">
            <v>-2504</v>
          </cell>
          <cell r="AK68">
            <v>-2214</v>
          </cell>
          <cell r="AL68">
            <v>-3206</v>
          </cell>
          <cell r="AM68">
            <v>3089</v>
          </cell>
          <cell r="AN68">
            <v>-1309</v>
          </cell>
          <cell r="AO68">
            <v>1242</v>
          </cell>
          <cell r="AQ68">
            <v>4505</v>
          </cell>
          <cell r="AR68">
            <v>19453</v>
          </cell>
          <cell r="AS68">
            <v>0</v>
          </cell>
          <cell r="AT68">
            <v>0</v>
          </cell>
          <cell r="BF68">
            <v>5300</v>
          </cell>
          <cell r="BG68">
            <v>-102</v>
          </cell>
          <cell r="BN68">
            <v>9158</v>
          </cell>
          <cell r="BO68">
            <v>3088</v>
          </cell>
          <cell r="BP68">
            <v>750</v>
          </cell>
          <cell r="BQ68">
            <v>667</v>
          </cell>
          <cell r="BR68">
            <v>-2437</v>
          </cell>
          <cell r="BS68">
            <v>-26</v>
          </cell>
          <cell r="BT68">
            <v>198</v>
          </cell>
          <cell r="BW68">
            <v>4830</v>
          </cell>
          <cell r="BX68">
            <v>-2516</v>
          </cell>
          <cell r="BY68">
            <v>-2314</v>
          </cell>
        </row>
        <row r="69">
          <cell r="A69" t="str">
            <v>2003-04</v>
          </cell>
          <cell r="B69">
            <v>679</v>
          </cell>
          <cell r="C69">
            <v>256279.5</v>
          </cell>
          <cell r="D69">
            <v>39391</v>
          </cell>
          <cell r="E69">
            <v>21597</v>
          </cell>
          <cell r="F69">
            <v>146</v>
          </cell>
          <cell r="G69">
            <v>28812</v>
          </cell>
          <cell r="H69">
            <v>38</v>
          </cell>
          <cell r="I69">
            <v>22280</v>
          </cell>
          <cell r="J69">
            <v>168</v>
          </cell>
          <cell r="K69">
            <v>4037</v>
          </cell>
          <cell r="L69">
            <v>2</v>
          </cell>
          <cell r="M69">
            <v>236</v>
          </cell>
          <cell r="N69">
            <v>6511</v>
          </cell>
          <cell r="O69">
            <v>3559</v>
          </cell>
          <cell r="P69">
            <v>-2963</v>
          </cell>
          <cell r="Q69">
            <v>528</v>
          </cell>
          <cell r="R69">
            <v>14416</v>
          </cell>
          <cell r="S69">
            <v>1915</v>
          </cell>
          <cell r="T69">
            <v>775</v>
          </cell>
          <cell r="U69">
            <v>9114</v>
          </cell>
          <cell r="V69">
            <v>-2126</v>
          </cell>
          <cell r="W69">
            <v>945</v>
          </cell>
          <cell r="X69">
            <v>-74</v>
          </cell>
          <cell r="Y69">
            <v>-2767</v>
          </cell>
          <cell r="Z69">
            <v>4250</v>
          </cell>
          <cell r="AA69">
            <v>1485</v>
          </cell>
          <cell r="AB69">
            <v>0</v>
          </cell>
          <cell r="AD69">
            <v>2028</v>
          </cell>
          <cell r="AE69">
            <v>-918</v>
          </cell>
          <cell r="AF69">
            <v>1424</v>
          </cell>
          <cell r="AG69">
            <v>2342</v>
          </cell>
          <cell r="AH69">
            <v>578</v>
          </cell>
          <cell r="AI69">
            <v>3435</v>
          </cell>
          <cell r="AJ69">
            <v>-85</v>
          </cell>
          <cell r="AK69">
            <v>1100</v>
          </cell>
          <cell r="AL69">
            <v>1767</v>
          </cell>
          <cell r="AM69">
            <v>-1521</v>
          </cell>
          <cell r="AN69">
            <v>-3282</v>
          </cell>
          <cell r="AO69">
            <v>1248</v>
          </cell>
          <cell r="AQ69">
            <v>4577</v>
          </cell>
          <cell r="AR69">
            <v>25090</v>
          </cell>
          <cell r="AS69">
            <v>0</v>
          </cell>
          <cell r="AT69">
            <v>0</v>
          </cell>
          <cell r="BF69">
            <v>4300</v>
          </cell>
          <cell r="BG69">
            <v>31</v>
          </cell>
          <cell r="BN69">
            <v>11067</v>
          </cell>
          <cell r="BO69">
            <v>3003</v>
          </cell>
          <cell r="BP69">
            <v>799</v>
          </cell>
          <cell r="BQ69">
            <v>775</v>
          </cell>
          <cell r="BR69">
            <v>-3290</v>
          </cell>
          <cell r="BS69">
            <v>-36</v>
          </cell>
          <cell r="BT69">
            <v>-62</v>
          </cell>
          <cell r="BW69">
            <v>4791</v>
          </cell>
          <cell r="BX69">
            <v>-2611</v>
          </cell>
          <cell r="BY69">
            <v>-2180</v>
          </cell>
        </row>
        <row r="70">
          <cell r="A70" t="str">
            <v>2004-05</v>
          </cell>
          <cell r="B70">
            <v>756</v>
          </cell>
          <cell r="C70">
            <v>278371.25</v>
          </cell>
          <cell r="D70">
            <v>38532</v>
          </cell>
          <cell r="E70">
            <v>-2290.5999999999985</v>
          </cell>
          <cell r="F70">
            <v>301.21000000000004</v>
          </cell>
          <cell r="G70">
            <v>35247.72</v>
          </cell>
          <cell r="H70">
            <v>23</v>
          </cell>
          <cell r="I70">
            <v>23933</v>
          </cell>
          <cell r="J70">
            <v>233</v>
          </cell>
          <cell r="K70">
            <v>3085</v>
          </cell>
          <cell r="L70">
            <v>2</v>
          </cell>
          <cell r="M70">
            <v>385</v>
          </cell>
          <cell r="N70">
            <v>7996</v>
          </cell>
          <cell r="O70">
            <v>4233</v>
          </cell>
          <cell r="P70">
            <v>-3550</v>
          </cell>
          <cell r="Q70">
            <v>600</v>
          </cell>
          <cell r="R70">
            <v>14907</v>
          </cell>
          <cell r="S70">
            <v>2334</v>
          </cell>
          <cell r="T70">
            <v>1410</v>
          </cell>
          <cell r="U70">
            <v>9034</v>
          </cell>
          <cell r="V70">
            <v>-2445</v>
          </cell>
          <cell r="W70">
            <v>1645</v>
          </cell>
          <cell r="X70">
            <v>-133.31999999999996</v>
          </cell>
          <cell r="Y70">
            <v>-3442</v>
          </cell>
          <cell r="Z70">
            <v>4264</v>
          </cell>
          <cell r="AA70">
            <v>1885</v>
          </cell>
          <cell r="AB70">
            <v>0</v>
          </cell>
          <cell r="AD70">
            <v>2154</v>
          </cell>
          <cell r="AE70">
            <v>-2079</v>
          </cell>
          <cell r="AF70">
            <v>395</v>
          </cell>
          <cell r="AG70">
            <v>2474</v>
          </cell>
          <cell r="AH70">
            <v>486</v>
          </cell>
          <cell r="AI70">
            <v>1901.6000000000058</v>
          </cell>
          <cell r="AJ70">
            <v>-4034.41</v>
          </cell>
          <cell r="AK70">
            <v>-1338.421</v>
          </cell>
          <cell r="AL70">
            <v>-48.585999999999991</v>
          </cell>
          <cell r="AM70">
            <v>-597</v>
          </cell>
          <cell r="AN70">
            <v>-1928</v>
          </cell>
          <cell r="AO70">
            <v>1633</v>
          </cell>
          <cell r="AQ70">
            <v>6093</v>
          </cell>
          <cell r="AR70">
            <v>16890</v>
          </cell>
          <cell r="AS70">
            <v>0</v>
          </cell>
          <cell r="AT70">
            <v>0</v>
          </cell>
          <cell r="BF70">
            <v>1051.4000000000015</v>
          </cell>
          <cell r="BG70">
            <v>4563.1400000000003</v>
          </cell>
          <cell r="BN70">
            <v>13383</v>
          </cell>
          <cell r="BO70">
            <v>3601</v>
          </cell>
          <cell r="BP70">
            <v>1082</v>
          </cell>
          <cell r="BQ70">
            <v>1410</v>
          </cell>
          <cell r="BR70">
            <v>784</v>
          </cell>
          <cell r="BS70">
            <v>294</v>
          </cell>
          <cell r="BT70">
            <v>124</v>
          </cell>
          <cell r="BW70">
            <v>3865</v>
          </cell>
          <cell r="BX70">
            <v>-2348</v>
          </cell>
          <cell r="BY70">
            <v>-1517</v>
          </cell>
        </row>
        <row r="71">
          <cell r="A71" t="str">
            <v>2005-06</v>
          </cell>
          <cell r="B71">
            <v>778</v>
          </cell>
          <cell r="C71">
            <v>321049.25</v>
          </cell>
          <cell r="D71">
            <v>40813</v>
          </cell>
          <cell r="E71">
            <v>3028</v>
          </cell>
          <cell r="F71">
            <v>181.05000000000018</v>
          </cell>
          <cell r="G71">
            <v>38395.4</v>
          </cell>
          <cell r="H71">
            <v>21</v>
          </cell>
          <cell r="I71">
            <v>25807</v>
          </cell>
          <cell r="J71">
            <v>200</v>
          </cell>
          <cell r="K71">
            <v>3020</v>
          </cell>
          <cell r="L71">
            <v>1</v>
          </cell>
          <cell r="M71">
            <v>440</v>
          </cell>
          <cell r="N71">
            <v>10803</v>
          </cell>
          <cell r="O71">
            <v>5000</v>
          </cell>
          <cell r="P71">
            <v>-4207</v>
          </cell>
          <cell r="Q71">
            <v>505</v>
          </cell>
          <cell r="R71">
            <v>16065</v>
          </cell>
          <cell r="S71">
            <v>2554</v>
          </cell>
          <cell r="T71">
            <v>1905</v>
          </cell>
          <cell r="U71">
            <v>10057</v>
          </cell>
          <cell r="V71">
            <v>-3170</v>
          </cell>
          <cell r="W71">
            <v>2106</v>
          </cell>
          <cell r="X71">
            <v>-81.597000000000008</v>
          </cell>
          <cell r="Y71">
            <v>-4234</v>
          </cell>
          <cell r="Z71">
            <v>4945</v>
          </cell>
          <cell r="AA71">
            <v>1849</v>
          </cell>
          <cell r="AB71">
            <v>0</v>
          </cell>
          <cell r="AD71">
            <v>2405</v>
          </cell>
          <cell r="AE71">
            <v>-2600</v>
          </cell>
          <cell r="AF71">
            <v>0</v>
          </cell>
          <cell r="AG71">
            <v>2600</v>
          </cell>
          <cell r="AH71">
            <v>-861</v>
          </cell>
          <cell r="AI71">
            <v>4851.0999999999913</v>
          </cell>
          <cell r="AJ71">
            <v>5093.1100000000006</v>
          </cell>
          <cell r="AK71">
            <v>879.94200000000001</v>
          </cell>
          <cell r="AL71">
            <v>-64.667999999999992</v>
          </cell>
          <cell r="AM71">
            <v>444</v>
          </cell>
          <cell r="AN71">
            <v>-762</v>
          </cell>
          <cell r="AO71">
            <v>1662</v>
          </cell>
          <cell r="AQ71">
            <v>6807</v>
          </cell>
          <cell r="AR71">
            <v>15137</v>
          </cell>
          <cell r="AS71">
            <v>0</v>
          </cell>
          <cell r="AT71">
            <v>320</v>
          </cell>
          <cell r="BF71">
            <v>-1252.3000000000029</v>
          </cell>
          <cell r="BG71">
            <v>-41.5</v>
          </cell>
          <cell r="BI71">
            <v>4.6174999999999997</v>
          </cell>
          <cell r="BN71">
            <v>15271</v>
          </cell>
          <cell r="BO71">
            <v>3886</v>
          </cell>
          <cell r="BP71">
            <v>1016</v>
          </cell>
          <cell r="BQ71">
            <v>1905</v>
          </cell>
          <cell r="BR71">
            <v>5014</v>
          </cell>
          <cell r="BS71">
            <v>-109</v>
          </cell>
          <cell r="BT71">
            <v>544</v>
          </cell>
          <cell r="BW71">
            <v>3863</v>
          </cell>
          <cell r="BX71">
            <v>-2259</v>
          </cell>
          <cell r="BY71">
            <v>-1604</v>
          </cell>
          <cell r="BZ71">
            <v>0</v>
          </cell>
        </row>
        <row r="72">
          <cell r="A72" t="str">
            <v>2006-07</v>
          </cell>
          <cell r="B72">
            <v>847</v>
          </cell>
          <cell r="C72">
            <v>337279.5</v>
          </cell>
          <cell r="D72">
            <v>37069</v>
          </cell>
          <cell r="E72">
            <v>4312.7999999999993</v>
          </cell>
          <cell r="F72">
            <v>154.57999999999993</v>
          </cell>
          <cell r="G72">
            <v>32370.28</v>
          </cell>
          <cell r="H72">
            <v>20</v>
          </cell>
          <cell r="I72">
            <v>27579</v>
          </cell>
          <cell r="J72">
            <v>130</v>
          </cell>
          <cell r="K72">
            <v>2957</v>
          </cell>
          <cell r="L72">
            <v>2</v>
          </cell>
          <cell r="M72">
            <v>520</v>
          </cell>
          <cell r="N72">
            <v>17221</v>
          </cell>
          <cell r="O72">
            <v>5001</v>
          </cell>
          <cell r="P72">
            <v>-4211</v>
          </cell>
          <cell r="Q72">
            <v>542</v>
          </cell>
          <cell r="R72">
            <v>16216</v>
          </cell>
          <cell r="S72">
            <v>2859</v>
          </cell>
          <cell r="T72">
            <v>937</v>
          </cell>
          <cell r="U72">
            <v>10401</v>
          </cell>
          <cell r="V72">
            <v>-2925</v>
          </cell>
          <cell r="W72">
            <v>1069</v>
          </cell>
          <cell r="X72">
            <v>-76.240000000000009</v>
          </cell>
          <cell r="Y72">
            <v>-4294</v>
          </cell>
          <cell r="Z72">
            <v>4917</v>
          </cell>
          <cell r="AA72">
            <v>1822</v>
          </cell>
          <cell r="AB72">
            <v>0</v>
          </cell>
          <cell r="AD72">
            <v>2690</v>
          </cell>
          <cell r="AE72">
            <v>-1227</v>
          </cell>
          <cell r="AF72">
            <v>2147</v>
          </cell>
          <cell r="AG72">
            <v>3374</v>
          </cell>
          <cell r="AH72">
            <v>-767</v>
          </cell>
          <cell r="AI72">
            <v>5518.1000000000058</v>
          </cell>
          <cell r="AJ72">
            <v>1715.7999999999993</v>
          </cell>
          <cell r="AK72">
            <v>-50.262000000000171</v>
          </cell>
          <cell r="AL72">
            <v>7.2159999999999993</v>
          </cell>
          <cell r="AM72">
            <v>-1192</v>
          </cell>
          <cell r="AN72">
            <v>-3952</v>
          </cell>
          <cell r="AO72">
            <v>1718</v>
          </cell>
          <cell r="AQ72">
            <v>6468</v>
          </cell>
          <cell r="AR72">
            <v>36755</v>
          </cell>
          <cell r="AS72">
            <v>3326.36</v>
          </cell>
          <cell r="AT72">
            <v>413.46549999999996</v>
          </cell>
          <cell r="BF72">
            <v>-3504.3999999999978</v>
          </cell>
          <cell r="BG72">
            <v>44.199999999999818</v>
          </cell>
          <cell r="BI72">
            <v>5.0374999999999996</v>
          </cell>
          <cell r="BN72">
            <v>16397</v>
          </cell>
          <cell r="BO72">
            <v>4265</v>
          </cell>
          <cell r="BP72">
            <v>1266</v>
          </cell>
          <cell r="BQ72">
            <v>937</v>
          </cell>
          <cell r="BR72">
            <v>825</v>
          </cell>
          <cell r="BS72">
            <v>-647</v>
          </cell>
          <cell r="BT72">
            <v>216</v>
          </cell>
          <cell r="BW72">
            <v>3711</v>
          </cell>
          <cell r="BX72">
            <v>-2231</v>
          </cell>
          <cell r="BY72">
            <v>-1480</v>
          </cell>
          <cell r="BZ72">
            <v>0</v>
          </cell>
        </row>
        <row r="73">
          <cell r="A73" t="str">
            <v>2007-08</v>
          </cell>
          <cell r="B73">
            <v>943</v>
          </cell>
          <cell r="C73">
            <v>349814</v>
          </cell>
          <cell r="D73">
            <v>32581.9</v>
          </cell>
          <cell r="E73">
            <v>-2155.1000000000022</v>
          </cell>
          <cell r="F73">
            <v>129.81999999999971</v>
          </cell>
          <cell r="G73">
            <v>29165.02</v>
          </cell>
          <cell r="H73">
            <v>19</v>
          </cell>
          <cell r="I73">
            <v>29960</v>
          </cell>
          <cell r="J73">
            <v>128</v>
          </cell>
          <cell r="K73">
            <v>3116</v>
          </cell>
          <cell r="L73">
            <v>0</v>
          </cell>
          <cell r="M73">
            <v>692</v>
          </cell>
          <cell r="N73">
            <v>14979</v>
          </cell>
          <cell r="O73">
            <v>5148</v>
          </cell>
          <cell r="P73">
            <v>-4287</v>
          </cell>
          <cell r="Q73">
            <v>597</v>
          </cell>
          <cell r="R73">
            <v>16476</v>
          </cell>
          <cell r="S73">
            <v>3289</v>
          </cell>
          <cell r="T73">
            <v>1254</v>
          </cell>
          <cell r="U73">
            <v>11646</v>
          </cell>
          <cell r="V73">
            <v>-2612</v>
          </cell>
          <cell r="W73">
            <v>1382</v>
          </cell>
          <cell r="X73">
            <v>-82.232000000000028</v>
          </cell>
          <cell r="Y73">
            <v>-4371</v>
          </cell>
          <cell r="Z73">
            <v>5027</v>
          </cell>
          <cell r="AA73">
            <v>2427</v>
          </cell>
          <cell r="AB73">
            <v>0</v>
          </cell>
          <cell r="AD73">
            <v>2950</v>
          </cell>
          <cell r="AE73">
            <v>-4600</v>
          </cell>
          <cell r="AF73">
            <v>0</v>
          </cell>
          <cell r="AG73">
            <v>4600</v>
          </cell>
          <cell r="AH73">
            <v>-3576</v>
          </cell>
          <cell r="AI73">
            <v>5753.6999999999971</v>
          </cell>
          <cell r="AJ73">
            <v>2220.2000000000007</v>
          </cell>
          <cell r="AK73">
            <v>-77.785999999999945</v>
          </cell>
          <cell r="AL73">
            <v>10.317</v>
          </cell>
          <cell r="AM73">
            <v>-7434</v>
          </cell>
          <cell r="AN73">
            <v>-4138</v>
          </cell>
          <cell r="AO73">
            <v>2327</v>
          </cell>
          <cell r="AQ73">
            <v>8719</v>
          </cell>
          <cell r="AR73">
            <v>5731</v>
          </cell>
          <cell r="AS73">
            <v>0</v>
          </cell>
          <cell r="AT73">
            <v>460.67309999999998</v>
          </cell>
          <cell r="BF73">
            <v>1967.2000000000007</v>
          </cell>
          <cell r="BG73">
            <v>75.720000000000255</v>
          </cell>
          <cell r="BI73">
            <v>5.9974999999999996</v>
          </cell>
          <cell r="BN73">
            <v>17037.150000000001</v>
          </cell>
          <cell r="BO73">
            <v>5809</v>
          </cell>
          <cell r="BP73">
            <v>1656</v>
          </cell>
          <cell r="BQ73">
            <v>1254</v>
          </cell>
          <cell r="BR73">
            <v>2853</v>
          </cell>
          <cell r="BS73">
            <v>108</v>
          </cell>
          <cell r="BT73">
            <v>693</v>
          </cell>
          <cell r="BW73">
            <v>4176</v>
          </cell>
          <cell r="BX73">
            <v>-2356</v>
          </cell>
          <cell r="BY73">
            <v>-1820</v>
          </cell>
          <cell r="BZ73">
            <v>0.2537874</v>
          </cell>
        </row>
        <row r="74">
          <cell r="A74" t="str">
            <v>2008-09</v>
          </cell>
          <cell r="B74">
            <v>901.83900000000006</v>
          </cell>
          <cell r="C74">
            <v>422844.25</v>
          </cell>
          <cell r="D74">
            <v>162440</v>
          </cell>
          <cell r="E74">
            <v>16571.200000000004</v>
          </cell>
          <cell r="F74">
            <v>162.28999999999996</v>
          </cell>
          <cell r="G74">
            <v>125752.1</v>
          </cell>
          <cell r="H74">
            <v>53.484999999999999</v>
          </cell>
          <cell r="I74">
            <v>30463.19</v>
          </cell>
          <cell r="J74">
            <v>234.70699999999999</v>
          </cell>
          <cell r="K74">
            <v>3217.1890000000003</v>
          </cell>
          <cell r="L74">
            <v>3</v>
          </cell>
          <cell r="M74">
            <v>627</v>
          </cell>
          <cell r="N74">
            <v>20040</v>
          </cell>
          <cell r="O74">
            <v>487.14800000000002</v>
          </cell>
          <cell r="P74">
            <v>-3818</v>
          </cell>
          <cell r="Q74">
            <v>557</v>
          </cell>
          <cell r="R74">
            <v>17271.84</v>
          </cell>
          <cell r="S74">
            <v>2631.17</v>
          </cell>
          <cell r="T74">
            <v>918</v>
          </cell>
          <cell r="U74">
            <v>7485.33</v>
          </cell>
          <cell r="V74">
            <v>-2473.0929999999998</v>
          </cell>
          <cell r="W74">
            <v>1119.9470000000001</v>
          </cell>
          <cell r="X74">
            <v>2683.9249999999997</v>
          </cell>
          <cell r="Y74">
            <v>324.23610000000002</v>
          </cell>
          <cell r="Z74">
            <v>4449</v>
          </cell>
          <cell r="AA74">
            <v>1983.7190000000001</v>
          </cell>
          <cell r="AB74">
            <v>0</v>
          </cell>
          <cell r="AD74">
            <v>3372.7719999999999</v>
          </cell>
          <cell r="AE74">
            <v>-4616</v>
          </cell>
          <cell r="AF74">
            <v>0</v>
          </cell>
          <cell r="AG74">
            <v>4616</v>
          </cell>
          <cell r="AH74">
            <v>1480.1400000000003</v>
          </cell>
          <cell r="AI74">
            <v>12525</v>
          </cell>
          <cell r="AJ74">
            <v>20914.899999999998</v>
          </cell>
          <cell r="AK74">
            <v>280.59900000000005</v>
          </cell>
          <cell r="AL74">
            <v>-1490.2160000000001</v>
          </cell>
          <cell r="AM74">
            <v>-106589</v>
          </cell>
          <cell r="AN74">
            <v>-4092.3599999999997</v>
          </cell>
          <cell r="AO74">
            <v>1903.0010000000002</v>
          </cell>
          <cell r="AQ74">
            <v>7415</v>
          </cell>
          <cell r="AR74">
            <v>3157</v>
          </cell>
          <cell r="AS74">
            <v>0</v>
          </cell>
          <cell r="AT74">
            <v>0</v>
          </cell>
          <cell r="BF74">
            <v>26178.9</v>
          </cell>
          <cell r="BG74">
            <v>692.8799999999992</v>
          </cell>
          <cell r="BI74">
            <v>4.6020450000000004</v>
          </cell>
          <cell r="BN74">
            <v>18784.41</v>
          </cell>
          <cell r="BO74">
            <v>5212</v>
          </cell>
          <cell r="BP74">
            <v>1285</v>
          </cell>
          <cell r="BQ74">
            <v>918</v>
          </cell>
          <cell r="BR74">
            <v>2200</v>
          </cell>
          <cell r="BS74">
            <v>724</v>
          </cell>
          <cell r="BT74">
            <v>179</v>
          </cell>
          <cell r="BW74">
            <v>4035</v>
          </cell>
          <cell r="BX74">
            <v>-2531</v>
          </cell>
          <cell r="BY74">
            <v>-1512.492</v>
          </cell>
          <cell r="BZ74">
            <v>1.0466357500000001</v>
          </cell>
        </row>
        <row r="75">
          <cell r="A75" t="str">
            <v>2009-10</v>
          </cell>
          <cell r="B75">
            <v>738</v>
          </cell>
          <cell r="C75">
            <v>585066.5</v>
          </cell>
          <cell r="D75">
            <v>220849.1</v>
          </cell>
          <cell r="E75">
            <v>-12979.200000000004</v>
          </cell>
          <cell r="F75">
            <v>0</v>
          </cell>
          <cell r="G75">
            <v>203413.40000000002</v>
          </cell>
          <cell r="H75">
            <v>24</v>
          </cell>
          <cell r="I75">
            <v>27206.2</v>
          </cell>
          <cell r="J75">
            <v>145.93</v>
          </cell>
          <cell r="K75">
            <v>3065.21</v>
          </cell>
          <cell r="L75">
            <v>0</v>
          </cell>
          <cell r="M75">
            <v>218.6309</v>
          </cell>
          <cell r="N75">
            <v>26206.500000000004</v>
          </cell>
          <cell r="O75">
            <v>522.947</v>
          </cell>
          <cell r="P75">
            <v>-4554.75</v>
          </cell>
          <cell r="Q75">
            <v>706</v>
          </cell>
          <cell r="R75">
            <v>22787.870000000003</v>
          </cell>
          <cell r="S75">
            <v>1389.3661</v>
          </cell>
          <cell r="T75">
            <v>1090.203</v>
          </cell>
          <cell r="U75">
            <v>5999.69</v>
          </cell>
          <cell r="V75">
            <v>-3550.9560000000001</v>
          </cell>
          <cell r="W75">
            <v>1236.134</v>
          </cell>
          <cell r="X75">
            <v>-2000</v>
          </cell>
          <cell r="Y75">
            <v>337</v>
          </cell>
          <cell r="Z75">
            <v>5272</v>
          </cell>
          <cell r="AA75">
            <v>1131.0039999999999</v>
          </cell>
          <cell r="AB75">
            <v>0</v>
          </cell>
          <cell r="AD75">
            <v>3563.9490000000001</v>
          </cell>
          <cell r="AE75">
            <v>4002</v>
          </cell>
          <cell r="AF75">
            <v>2244.39</v>
          </cell>
          <cell r="AG75">
            <v>-1757.605</v>
          </cell>
          <cell r="AH75">
            <v>4028.92</v>
          </cell>
          <cell r="AI75">
            <v>0</v>
          </cell>
          <cell r="AJ75">
            <v>-10612.699999999997</v>
          </cell>
          <cell r="AK75">
            <v>0</v>
          </cell>
          <cell r="AL75">
            <v>0</v>
          </cell>
          <cell r="AM75">
            <v>-22030.81</v>
          </cell>
          <cell r="AN75">
            <v>-3090.8090000000002</v>
          </cell>
          <cell r="AO75">
            <v>719.50400000000002</v>
          </cell>
          <cell r="AQ75">
            <v>5612.53</v>
          </cell>
          <cell r="AR75">
            <v>12793</v>
          </cell>
          <cell r="AS75">
            <v>3798.15</v>
          </cell>
          <cell r="AT75">
            <v>130.53</v>
          </cell>
          <cell r="BF75">
            <v>21802.399999999994</v>
          </cell>
          <cell r="BG75">
            <v>0</v>
          </cell>
          <cell r="BI75">
            <v>1.8844799999999999</v>
          </cell>
          <cell r="BN75">
            <v>20358.53</v>
          </cell>
          <cell r="BO75">
            <v>3542.5320000000002</v>
          </cell>
          <cell r="BP75">
            <v>979.7940000000001</v>
          </cell>
          <cell r="BQ75">
            <v>1090.203</v>
          </cell>
          <cell r="BR75">
            <v>1200</v>
          </cell>
          <cell r="BS75">
            <v>733</v>
          </cell>
          <cell r="BT75">
            <v>100</v>
          </cell>
          <cell r="BW75">
            <v>3755.2240000000002</v>
          </cell>
          <cell r="BX75">
            <v>-2323.96</v>
          </cell>
          <cell r="BY75">
            <v>-1431.2670000000001</v>
          </cell>
          <cell r="BZ75">
            <v>1.08690175</v>
          </cell>
        </row>
        <row r="76">
          <cell r="A76" t="str">
            <v>2010-11</v>
          </cell>
          <cell r="B76">
            <v>537.96</v>
          </cell>
          <cell r="C76">
            <v>748875.5</v>
          </cell>
          <cell r="D76">
            <v>179040.5</v>
          </cell>
          <cell r="E76">
            <v>0</v>
          </cell>
          <cell r="F76">
            <v>218.96000000000004</v>
          </cell>
          <cell r="G76">
            <v>175910.30000000002</v>
          </cell>
          <cell r="H76">
            <v>24</v>
          </cell>
          <cell r="I76">
            <v>42905.74</v>
          </cell>
          <cell r="J76">
            <v>145.75120000000001</v>
          </cell>
          <cell r="K76">
            <v>3272.116</v>
          </cell>
          <cell r="L76">
            <v>0</v>
          </cell>
          <cell r="M76">
            <v>426.68579999999997</v>
          </cell>
          <cell r="N76">
            <v>28895.09</v>
          </cell>
          <cell r="O76">
            <v>493.86399999999998</v>
          </cell>
          <cell r="P76">
            <v>-4554.75</v>
          </cell>
          <cell r="Q76">
            <v>715</v>
          </cell>
          <cell r="R76">
            <v>30501.230000000003</v>
          </cell>
          <cell r="S76">
            <v>2000.4789999999998</v>
          </cell>
          <cell r="T76">
            <v>1142.3530000000001</v>
          </cell>
          <cell r="U76">
            <v>6920.26</v>
          </cell>
          <cell r="V76">
            <v>-3369.598</v>
          </cell>
          <cell r="W76">
            <v>1288.104</v>
          </cell>
          <cell r="X76">
            <v>0</v>
          </cell>
          <cell r="Y76">
            <v>337</v>
          </cell>
          <cell r="Z76">
            <v>5272</v>
          </cell>
          <cell r="AA76">
            <v>881.26400000000001</v>
          </cell>
          <cell r="AB76">
            <v>0</v>
          </cell>
          <cell r="AD76">
            <v>3908.25</v>
          </cell>
          <cell r="AE76">
            <v>-4169.1980000000003</v>
          </cell>
          <cell r="AF76">
            <v>0</v>
          </cell>
          <cell r="AG76">
            <v>4169.1980000000003</v>
          </cell>
          <cell r="AH76">
            <v>1197.7400000000007</v>
          </cell>
          <cell r="AI76">
            <v>2911.3000000000029</v>
          </cell>
          <cell r="AJ76">
            <v>0</v>
          </cell>
          <cell r="AK76">
            <v>0</v>
          </cell>
          <cell r="AL76">
            <v>0</v>
          </cell>
          <cell r="AM76">
            <v>799.46000000000015</v>
          </cell>
          <cell r="AN76">
            <v>-1448.664</v>
          </cell>
          <cell r="AO76">
            <v>781.26400000000001</v>
          </cell>
          <cell r="AQ76">
            <v>6339.05</v>
          </cell>
          <cell r="AR76">
            <v>38961</v>
          </cell>
          <cell r="AS76">
            <v>0</v>
          </cell>
          <cell r="AT76">
            <v>455.36529999999999</v>
          </cell>
          <cell r="BF76">
            <v>0</v>
          </cell>
          <cell r="BG76">
            <v>0</v>
          </cell>
          <cell r="BI76">
            <v>2.5365925000000002</v>
          </cell>
          <cell r="BN76">
            <v>21932.65</v>
          </cell>
          <cell r="BO76">
            <v>4035.5440000000003</v>
          </cell>
          <cell r="BP76">
            <v>1161.152</v>
          </cell>
          <cell r="BQ76">
            <v>1142.3530000000001</v>
          </cell>
          <cell r="BR76">
            <v>2200</v>
          </cell>
          <cell r="BS76">
            <v>500</v>
          </cell>
          <cell r="BT76">
            <v>100</v>
          </cell>
          <cell r="BW76">
            <v>3933.2250000000004</v>
          </cell>
          <cell r="BX76">
            <v>-2530.866</v>
          </cell>
          <cell r="BY76">
            <v>-1402.3620000000001</v>
          </cell>
          <cell r="BZ76">
            <v>0.30061125</v>
          </cell>
        </row>
        <row r="77">
          <cell r="A77" t="str">
            <v>2011-12</v>
          </cell>
          <cell r="B77">
            <v>920.97399999999993</v>
          </cell>
          <cell r="C77">
            <v>878377.75</v>
          </cell>
          <cell r="D77">
            <v>148286.39999999999</v>
          </cell>
          <cell r="E77">
            <v>0</v>
          </cell>
          <cell r="F77">
            <v>289.82999999999993</v>
          </cell>
          <cell r="G77">
            <v>144027.9</v>
          </cell>
          <cell r="H77">
            <v>24</v>
          </cell>
          <cell r="I77">
            <v>54048.3</v>
          </cell>
          <cell r="J77">
            <v>145.75120000000001</v>
          </cell>
          <cell r="K77">
            <v>3270.7460000000001</v>
          </cell>
          <cell r="L77">
            <v>0</v>
          </cell>
          <cell r="M77">
            <v>565.42100000000005</v>
          </cell>
          <cell r="N77">
            <v>20713.663</v>
          </cell>
          <cell r="O77">
            <v>493.86399999999998</v>
          </cell>
          <cell r="P77">
            <v>-4554.75</v>
          </cell>
          <cell r="Q77">
            <v>720</v>
          </cell>
          <cell r="R77">
            <v>35327.479999999996</v>
          </cell>
          <cell r="S77">
            <v>2812.3330000000005</v>
          </cell>
          <cell r="T77">
            <v>1094.5039999999999</v>
          </cell>
          <cell r="U77">
            <v>8673.2100000000009</v>
          </cell>
          <cell r="V77">
            <v>-3215.8340000000003</v>
          </cell>
          <cell r="W77">
            <v>1240.2550000000001</v>
          </cell>
          <cell r="X77">
            <v>0</v>
          </cell>
          <cell r="Y77">
            <v>337</v>
          </cell>
          <cell r="Z77">
            <v>5272</v>
          </cell>
          <cell r="AA77">
            <v>1554.8200000000002</v>
          </cell>
          <cell r="AB77">
            <v>0</v>
          </cell>
          <cell r="AD77">
            <v>4378.9400000000005</v>
          </cell>
          <cell r="AE77">
            <v>-3749.05</v>
          </cell>
          <cell r="AF77">
            <v>4515.33</v>
          </cell>
          <cell r="AG77">
            <v>8264.380000000001</v>
          </cell>
          <cell r="AH77">
            <v>-915.21399999999994</v>
          </cell>
          <cell r="AI77">
            <v>3969.1999999999971</v>
          </cell>
          <cell r="AJ77">
            <v>0</v>
          </cell>
          <cell r="AK77">
            <v>0</v>
          </cell>
          <cell r="AL77">
            <v>0</v>
          </cell>
          <cell r="AM77">
            <v>-115.56620000000004</v>
          </cell>
          <cell r="AN77">
            <v>-1759.817</v>
          </cell>
          <cell r="AO77">
            <v>1454.8200000000002</v>
          </cell>
          <cell r="AQ77">
            <v>8872.8200000000015</v>
          </cell>
          <cell r="AR77">
            <v>41199</v>
          </cell>
          <cell r="AS77">
            <v>7992.54</v>
          </cell>
          <cell r="AT77">
            <v>684.6123</v>
          </cell>
          <cell r="BF77">
            <v>0</v>
          </cell>
          <cell r="BG77">
            <v>0</v>
          </cell>
          <cell r="BI77">
            <v>3.3972574999999998</v>
          </cell>
          <cell r="BN77">
            <v>23506.77</v>
          </cell>
          <cell r="BO77">
            <v>6463.41</v>
          </cell>
          <cell r="BP77">
            <v>1314.9160000000002</v>
          </cell>
          <cell r="BQ77">
            <v>1094.5039999999999</v>
          </cell>
          <cell r="BR77">
            <v>2200</v>
          </cell>
          <cell r="BS77">
            <v>100</v>
          </cell>
          <cell r="BT77">
            <v>100</v>
          </cell>
          <cell r="BW77">
            <v>3931.857</v>
          </cell>
          <cell r="BX77">
            <v>-2529.4960000000001</v>
          </cell>
          <cell r="BY77">
            <v>-1402.3620000000001</v>
          </cell>
          <cell r="BZ77">
            <v>0.12849725000000001</v>
          </cell>
        </row>
        <row r="78">
          <cell r="A78" t="str">
            <v>2012-13</v>
          </cell>
          <cell r="B78">
            <v>1102.9589999999998</v>
          </cell>
          <cell r="C78">
            <v>978257.5</v>
          </cell>
          <cell r="D78">
            <v>120403.4</v>
          </cell>
          <cell r="E78">
            <v>0</v>
          </cell>
          <cell r="F78">
            <v>299.82999999999993</v>
          </cell>
          <cell r="G78">
            <v>116795.5</v>
          </cell>
          <cell r="H78">
            <v>24</v>
          </cell>
          <cell r="I78">
            <v>58382.900000000009</v>
          </cell>
          <cell r="J78">
            <v>145.75120000000001</v>
          </cell>
          <cell r="K78">
            <v>3303.6829999999995</v>
          </cell>
          <cell r="L78">
            <v>0</v>
          </cell>
          <cell r="M78">
            <v>616.17499999999995</v>
          </cell>
          <cell r="N78">
            <v>22493.34</v>
          </cell>
          <cell r="O78">
            <v>493.86399999999998</v>
          </cell>
          <cell r="P78">
            <v>-4554.75</v>
          </cell>
          <cell r="Q78">
            <v>725</v>
          </cell>
          <cell r="R78">
            <v>38406.600000000006</v>
          </cell>
          <cell r="S78">
            <v>2912.5410000000002</v>
          </cell>
          <cell r="T78">
            <v>1146.654</v>
          </cell>
          <cell r="U78">
            <v>9444.39</v>
          </cell>
          <cell r="V78">
            <v>-3112.0540000000001</v>
          </cell>
          <cell r="W78">
            <v>1292.405</v>
          </cell>
          <cell r="X78">
            <v>0</v>
          </cell>
          <cell r="Y78">
            <v>337</v>
          </cell>
          <cell r="Z78">
            <v>5272</v>
          </cell>
          <cell r="AA78">
            <v>1928.086</v>
          </cell>
          <cell r="AB78">
            <v>0</v>
          </cell>
          <cell r="AD78">
            <v>4857.4880000000003</v>
          </cell>
          <cell r="AE78">
            <v>-8544.09</v>
          </cell>
          <cell r="AF78">
            <v>0</v>
          </cell>
          <cell r="AG78">
            <v>8544.09</v>
          </cell>
          <cell r="AH78">
            <v>-1805.1189999999997</v>
          </cell>
          <cell r="AI78">
            <v>3308</v>
          </cell>
          <cell r="AJ78">
            <v>0</v>
          </cell>
          <cell r="AK78">
            <v>0</v>
          </cell>
          <cell r="AL78">
            <v>0</v>
          </cell>
          <cell r="AM78">
            <v>1626.422</v>
          </cell>
          <cell r="AN78">
            <v>-2533.078</v>
          </cell>
          <cell r="AO78">
            <v>1828.086</v>
          </cell>
          <cell r="AQ78">
            <v>10140.289999999999</v>
          </cell>
          <cell r="AR78">
            <v>33942</v>
          </cell>
          <cell r="AS78">
            <v>0</v>
          </cell>
          <cell r="AT78">
            <v>264.03500000000003</v>
          </cell>
          <cell r="BF78">
            <v>0</v>
          </cell>
          <cell r="BG78">
            <v>0</v>
          </cell>
          <cell r="BI78">
            <v>3.8664849999999999</v>
          </cell>
          <cell r="BN78">
            <v>25080.89</v>
          </cell>
          <cell r="BO78">
            <v>7574.9400000000005</v>
          </cell>
          <cell r="BP78">
            <v>1418.6959999999999</v>
          </cell>
          <cell r="BQ78">
            <v>1146.654</v>
          </cell>
          <cell r="BR78">
            <v>2200</v>
          </cell>
          <cell r="BS78">
            <v>100</v>
          </cell>
          <cell r="BT78">
            <v>100</v>
          </cell>
          <cell r="BW78">
            <v>3964.799</v>
          </cell>
          <cell r="BX78">
            <v>-2562.433</v>
          </cell>
          <cell r="BY78">
            <v>-1402.3620000000001</v>
          </cell>
          <cell r="BZ78">
            <v>0.15406975000000001</v>
          </cell>
        </row>
        <row r="79">
          <cell r="A79" t="str">
            <v>2013-14</v>
          </cell>
          <cell r="B79">
            <v>1228.4659999999999</v>
          </cell>
          <cell r="C79">
            <v>1070217.5</v>
          </cell>
          <cell r="D79">
            <v>104254.3</v>
          </cell>
          <cell r="E79">
            <v>0</v>
          </cell>
          <cell r="F79">
            <v>314.89000000000033</v>
          </cell>
          <cell r="G79">
            <v>100997.1</v>
          </cell>
          <cell r="H79">
            <v>24</v>
          </cell>
          <cell r="I79">
            <v>63655.6</v>
          </cell>
          <cell r="J79">
            <v>145.75120000000001</v>
          </cell>
          <cell r="K79">
            <v>3355.0229999999997</v>
          </cell>
          <cell r="L79">
            <v>0</v>
          </cell>
          <cell r="M79">
            <v>636.35100000000011</v>
          </cell>
          <cell r="N79">
            <v>6495.5599999999995</v>
          </cell>
          <cell r="O79">
            <v>493.86399999999998</v>
          </cell>
          <cell r="P79">
            <v>-4554.75</v>
          </cell>
          <cell r="Q79">
            <v>725</v>
          </cell>
          <cell r="R79">
            <v>43274.7</v>
          </cell>
          <cell r="S79">
            <v>3117.1779999999999</v>
          </cell>
          <cell r="T79">
            <v>1198.8040000000001</v>
          </cell>
          <cell r="U79">
            <v>10707.5</v>
          </cell>
          <cell r="V79">
            <v>-3036.1810000000005</v>
          </cell>
          <cell r="W79">
            <v>1344.556</v>
          </cell>
          <cell r="X79">
            <v>0</v>
          </cell>
          <cell r="Y79">
            <v>337</v>
          </cell>
          <cell r="Z79">
            <v>5272</v>
          </cell>
          <cell r="AA79">
            <v>2193.7489999999998</v>
          </cell>
          <cell r="AB79">
            <v>4</v>
          </cell>
          <cell r="AD79">
            <v>5255.1030000000001</v>
          </cell>
          <cell r="AE79">
            <v>-1936.2799999999997</v>
          </cell>
          <cell r="AF79">
            <v>6183.49</v>
          </cell>
          <cell r="AG79">
            <v>8119.77</v>
          </cell>
          <cell r="AH79">
            <v>-2471.625</v>
          </cell>
          <cell r="AI79">
            <v>2942</v>
          </cell>
          <cell r="AJ79">
            <v>0</v>
          </cell>
          <cell r="AK79">
            <v>0</v>
          </cell>
          <cell r="AL79">
            <v>0</v>
          </cell>
          <cell r="AM79">
            <v>1137.3348000000001</v>
          </cell>
          <cell r="AN79">
            <v>-3629.6640000000002</v>
          </cell>
          <cell r="AO79">
            <v>2093.7489999999998</v>
          </cell>
          <cell r="AQ79">
            <v>11745.740000000002</v>
          </cell>
          <cell r="AR79">
            <v>9062</v>
          </cell>
          <cell r="AS79">
            <v>11780.3</v>
          </cell>
          <cell r="AT79">
            <v>81.884399999999999</v>
          </cell>
          <cell r="BF79">
            <v>0</v>
          </cell>
          <cell r="BG79">
            <v>0</v>
          </cell>
          <cell r="BI79">
            <v>4.1110024999999997</v>
          </cell>
          <cell r="BN79">
            <v>26719.289999999997</v>
          </cell>
          <cell r="BO79">
            <v>9052.3599999999988</v>
          </cell>
          <cell r="BP79">
            <v>1494.569</v>
          </cell>
          <cell r="BQ79">
            <v>1198.8040000000001</v>
          </cell>
          <cell r="BR79">
            <v>2200</v>
          </cell>
          <cell r="BS79">
            <v>100</v>
          </cell>
          <cell r="BT79">
            <v>100</v>
          </cell>
          <cell r="BW79">
            <v>4016.1369999999997</v>
          </cell>
          <cell r="BX79">
            <v>-2613.7730000000001</v>
          </cell>
          <cell r="BY79">
            <v>-1402.3620000000001</v>
          </cell>
          <cell r="BZ79">
            <v>0.15970000000000001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lassification"/>
      <sheetName val="AMEdl"/>
      <sheetName val="DELdl"/>
      <sheetName val="AMEsum"/>
      <sheetName val="DELsum"/>
      <sheetName val="H Rab +"/>
      <sheetName val="Ftabs Query"/>
      <sheetName val="Ftabs input"/>
      <sheetName val="FSBR Ftabs input"/>
      <sheetName val="Ftabs diff"/>
      <sheetName val="TME tables"/>
      <sheetName val="PESA TME table"/>
      <sheetName val="NA Query"/>
      <sheetName val="DEL Query"/>
      <sheetName val="PSAT2"/>
      <sheetName val="FSBR PSAT2"/>
      <sheetName val="Diff PSAT2"/>
      <sheetName val="Calculations"/>
      <sheetName val="LA current spending"/>
      <sheetName val="LA capital spending"/>
      <sheetName val="Mod Query"/>
      <sheetName val="Mod input"/>
      <sheetName val="Upload"/>
      <sheetName val="ANTdl"/>
      <sheetName val="Bate24"/>
      <sheetName val="Mod diff"/>
      <sheetName val="PBR Mod"/>
      <sheetName val="AA Query"/>
      <sheetName val="AA table"/>
      <sheetName val="David Lacey ONS data,Qtly"/>
      <sheetName val="EC codes"/>
      <sheetName val="Bate12 preli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forecast"/>
      <sheetName val="Dint 13"/>
      <sheetName val="Expresumm"/>
      <sheetName val="cgint&amp;div"/>
      <sheetName val="Data (monthly)"/>
      <sheetName val="Output to BRIAN"/>
      <sheetName val="Output to eTC  (F) "/>
      <sheetName val="SotND"/>
      <sheetName val="Output to eTC  "/>
      <sheetName val="OutturnNotes"/>
      <sheetName val="Download"/>
    </sheetNames>
    <sheetDataSet>
      <sheetData sheetId="0"/>
      <sheetData sheetId="1" refreshError="1"/>
      <sheetData sheetId="2">
        <row r="2">
          <cell r="B2" t="str">
            <v>April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End tables"/>
      <sheetName val="Tax diagnostics"/>
      <sheetName val="ETRs"/>
      <sheetName val="Discretionary changes"/>
      <sheetName val="Published Tables"/>
      <sheetName val="Published Charts"/>
      <sheetName val="Expenditure analysis"/>
      <sheetName val="Presentation"/>
      <sheetName val="Latest"/>
      <sheetName val="Previous"/>
      <sheetName val="Base"/>
      <sheetName val="Scorecard"/>
      <sheetName val="long-term data"/>
      <sheetName val="UKCPtables"/>
      <sheetName val="UKCPT2.3"/>
      <sheetName val="Bankdata"/>
      <sheetName val="PBR2002"/>
      <sheetName val="Budget 2003"/>
      <sheetName val="Modeldata"/>
      <sheetName val="Module1"/>
      <sheetName val="Module2"/>
      <sheetName val="Module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gt;"/>
      <sheetName val="Input"/>
      <sheetName val="In-Year Table"/>
      <sheetName val="QATR (PBR)"/>
      <sheetName val="Exp Sec Breakdown"/>
      <sheetName val="Base"/>
      <sheetName val="LY Base"/>
      <sheetName val="Scorecard"/>
      <sheetName val="Calculations -----&gt;"/>
      <sheetName val="Latest"/>
      <sheetName val="Fanchart calc"/>
      <sheetName val="Outputs -----&gt;"/>
      <sheetName val="End tables"/>
      <sheetName val="CX note"/>
      <sheetName val="Briefing"/>
      <sheetName val="Tax diagnostics"/>
      <sheetName val="Summ TD"/>
      <sheetName val="Debt Diagnostics"/>
      <sheetName val="Housing and fin receipts"/>
      <sheetName val="Presentations -----&gt;"/>
      <sheetName val="Presentations tables"/>
      <sheetName val="Presentations Assumptions"/>
      <sheetName val="Presentation Graphs"/>
      <sheetName val="Forecast note -----&gt;"/>
      <sheetName val="Forecast note"/>
      <sheetName val="Other Teams -----&gt;"/>
      <sheetName val="LTPF"/>
      <sheetName val="FP Tab"/>
      <sheetName val="Gaps"/>
      <sheetName val="GEP Tab"/>
      <sheetName val="Charts and Tables -----&gt;"/>
      <sheetName val="Published Charts"/>
      <sheetName val="Charts for Printers"/>
      <sheetName val="Chapter C ---&gt;"/>
      <sheetName val="Charts ---&gt;"/>
      <sheetName val="CB1 Fanchart"/>
      <sheetName val="CB2 PSCR TME"/>
      <sheetName val="Vat Gap"/>
      <sheetName val="Financial Sector Profits"/>
      <sheetName val="Tables ---&gt;"/>
      <sheetName val="C1"/>
      <sheetName val="C5"/>
      <sheetName val="C6"/>
      <sheetName val="C7"/>
      <sheetName val="C9"/>
      <sheetName val="C10"/>
      <sheetName val="C11"/>
      <sheetName val="C11 Old"/>
      <sheetName val="C12"/>
      <sheetName val="C13"/>
      <sheetName val="C14"/>
      <sheetName val="C15"/>
      <sheetName val="C16"/>
      <sheetName val="Red--&gt;"/>
      <sheetName val="Other Taxes"/>
      <sheetName val="Environmental Levies"/>
      <sheetName val="Other Receipts"/>
      <sheetName val="Other HMRC Taxes"/>
      <sheetName val="5.1"/>
      <sheetName val="5.2"/>
      <sheetName val="5.3"/>
      <sheetName val="1.1"/>
      <sheetName val="1.3"/>
      <sheetName val="2.2"/>
      <sheetName val="2.3"/>
      <sheetName val="New--&gt;"/>
      <sheetName val="4"/>
      <sheetName val="5"/>
      <sheetName val="6"/>
      <sheetName val="7"/>
      <sheetName val="10"/>
      <sheetName val="11"/>
      <sheetName val="13"/>
      <sheetName val="Sup Doc ---&gt;"/>
      <sheetName val="SD2.1"/>
      <sheetName val="SD2.2"/>
      <sheetName val="SD2.3"/>
      <sheetName val="SD2.4"/>
      <sheetName val="SD2.4i"/>
      <sheetName val="SD2.4ii"/>
      <sheetName val="SD2.4iii"/>
      <sheetName val="SD2.4iv"/>
      <sheetName val="SD2.4v"/>
      <sheetName val="SD2.5"/>
      <sheetName val="SD2.6"/>
      <sheetName val="SD2.7"/>
      <sheetName val="SD2.8"/>
      <sheetName val="SD2.9"/>
      <sheetName val="SD2.10"/>
      <sheetName val="SD2.11"/>
      <sheetName val="PBR only Tables -----&gt;"/>
      <sheetName val="PBR1"/>
      <sheetName val="PBR2"/>
      <sheetName val="PBR3"/>
      <sheetName val="PBR4"/>
      <sheetName val="PBR5"/>
      <sheetName val="PBR6"/>
      <sheetName val="Checks -----&gt;"/>
      <sheetName val="Check"/>
      <sheetName val="Old tabs -----&gt;"/>
      <sheetName val="C6 old"/>
      <sheetName val="L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End tables"/>
      <sheetName val="Scorecard scenarios"/>
      <sheetName val="Presentation Summary"/>
      <sheetName val="Presentation"/>
      <sheetName val="Tax diagnostics"/>
      <sheetName val="Per Capita"/>
      <sheetName val="Breakdown"/>
      <sheetName val="Extended f'cast"/>
      <sheetName val="Latest"/>
      <sheetName val="Base"/>
      <sheetName val="LY Base"/>
      <sheetName val="base for BST"/>
      <sheetName val="Scorecard"/>
      <sheetName val="long-term data"/>
      <sheetName val="CP"/>
      <sheetName val="Bankdata"/>
      <sheetName val="Reuters"/>
      <sheetName val="Published Charts"/>
      <sheetName val="Charts for Printers"/>
      <sheetName val="CC26"/>
      <sheetName val="CC27"/>
      <sheetName val="CB1"/>
      <sheetName val="CB2"/>
      <sheetName val="CB3"/>
      <sheetName val="CB4"/>
      <sheetName val="B1 - old"/>
      <sheetName val="B1"/>
      <sheetName val="B2"/>
      <sheetName val="B3"/>
      <sheetName val="B4"/>
      <sheetName val="B5"/>
      <sheetName val="B6"/>
      <sheetName val="B7"/>
      <sheetName val="B8"/>
      <sheetName val="B9"/>
      <sheetName val="B10"/>
      <sheetName val="B11"/>
      <sheetName val="B12"/>
      <sheetName val="B13"/>
      <sheetName val="B14"/>
      <sheetName val="B15"/>
      <sheetName val="B16"/>
      <sheetName val="B17"/>
      <sheetName val="B18"/>
      <sheetName val="B19"/>
      <sheetName val="B20"/>
      <sheetName val="B21"/>
      <sheetName val="B22"/>
      <sheetName val="15"/>
      <sheetName val="16"/>
      <sheetName val="17"/>
      <sheetName val="18"/>
      <sheetName val="19"/>
      <sheetName val="20"/>
      <sheetName val="21"/>
      <sheetName val="22"/>
      <sheetName val="22i"/>
      <sheetName val="22ii"/>
      <sheetName val="Data for new C2 tables"/>
      <sheetName val="C2 - 2.2"/>
      <sheetName val="C2 - 2.3"/>
      <sheetName val="C2 - 2.4"/>
      <sheetName val="C2 - 2.5"/>
      <sheetName val="C2 - 2.6"/>
      <sheetName val="C2 - 2.7"/>
      <sheetName val="C2 - 2.X"/>
      <sheetName val="Table 1.1"/>
      <sheetName val="Impact1"/>
      <sheetName val="Bud Impact2"/>
      <sheetName val="Published Tables"/>
      <sheetName val="ETRs"/>
      <sheetName val="Expenditure analysis"/>
      <sheetName val="Previous"/>
      <sheetName val="UKCPtables"/>
      <sheetName val="UKCPT2.3"/>
      <sheetName val="Budget 2003"/>
      <sheetName val="PBR 2003"/>
      <sheetName val="Modeldata"/>
      <sheetName val="Module1"/>
      <sheetName val="Module2"/>
      <sheetName val="Module3"/>
      <sheetName val="C1"/>
      <sheetName val="C2"/>
      <sheetName val="C3"/>
      <sheetName val="C4"/>
      <sheetName val="C5"/>
      <sheetName val="C6"/>
      <sheetName val="C7"/>
      <sheetName val="C8"/>
      <sheetName val="C9"/>
      <sheetName val="C10"/>
      <sheetName val="C11"/>
      <sheetName val="C12"/>
      <sheetName val="C13"/>
      <sheetName val="C14"/>
      <sheetName val="C15"/>
      <sheetName val="Impact2"/>
      <sheetName val="Table 2.X"/>
      <sheetName val="Table 2.XXX"/>
      <sheetName val="MAY NEED1"/>
      <sheetName val="MAY NEED1 (2)"/>
      <sheetName val="MAY NEED2"/>
      <sheetName val="MAY NEED3"/>
      <sheetName val="MAY NEED4"/>
      <sheetName val="PBR1"/>
      <sheetName val="PBR2"/>
      <sheetName val="PBR3"/>
      <sheetName val="PBR4"/>
      <sheetName val="PBR5"/>
      <sheetName val="Table 2.2"/>
      <sheetName val="Table 2.3"/>
      <sheetName val="Table 2.4"/>
      <sheetName val="CC28"/>
      <sheetName val="CC29"/>
      <sheetName val="CC1"/>
      <sheetName val="CC2"/>
      <sheetName val="Ch1 Tables"/>
      <sheetName val="Ch2 Tables"/>
      <sheetName val="Forecast to 15-16"/>
      <sheetName val="CB28"/>
      <sheetName val="CB29"/>
      <sheetName val="Gaps"/>
      <sheetName val="Presentations"/>
      <sheetName val="C26"/>
      <sheetName val="C27"/>
      <sheetName val="CX"/>
      <sheetName val="CY"/>
      <sheetName val="SD2.1"/>
      <sheetName val="SD2.2"/>
      <sheetName val="SD2.3"/>
      <sheetName val="SD2.4"/>
      <sheetName val="SD2.5"/>
      <sheetName val="SD2.6"/>
      <sheetName val="SD2.7"/>
      <sheetName val="SD2.8"/>
      <sheetName val="SD2.8i"/>
      <sheetName val="SD2.8ii"/>
      <sheetName val="2.2"/>
      <sheetName val="2.3"/>
      <sheetName val="2.4"/>
      <sheetName val="C2.1"/>
      <sheetName val="C2.2"/>
      <sheetName val="C2.3"/>
      <sheetName val="1.1"/>
      <sheetName val="2.X"/>
      <sheetName val="PBR6"/>
      <sheetName val="PBR7"/>
      <sheetName val="Briefing"/>
      <sheetName val="2.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refreshError="1"/>
      <sheetData sheetId="114" refreshError="1"/>
      <sheetData sheetId="115"/>
      <sheetData sheetId="116"/>
      <sheetData sheetId="117"/>
      <sheetData sheetId="118"/>
      <sheetData sheetId="119"/>
      <sheetData sheetId="120" refreshError="1"/>
      <sheetData sheetId="121" refreshError="1"/>
      <sheetData sheetId="122"/>
      <sheetData sheetId="123"/>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sheetData sheetId="145"/>
      <sheetData sheetId="146"/>
      <sheetData sheetId="147"/>
      <sheetData sheetId="148"/>
      <sheetData sheetId="149"/>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 val="Dint 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 val="Dint 13"/>
      <sheetName val="DI4PEF_for_OBR"/>
      <sheetName val="AS_R2_-_AS_R1"/>
      <sheetName val="AS14_-_Bud14"/>
      <sheetName val="Totals_Accruals"/>
      <sheetName val="Totals_Cash"/>
      <sheetName val="Bud14_Financing_assumption"/>
      <sheetName val="TBills_and_other"/>
      <sheetName val="Debt_financing_AS_R2"/>
      <sheetName val="Dint14_Quarterly_Summary_Oct"/>
      <sheetName val="Dint13_Quarterly_Summary"/>
      <sheetName val="Accruals_adjustments"/>
      <sheetName val="Network_Rail"/>
      <sheetName val="Inputs_Conventional&gt;"/>
      <sheetName val="Gilts_2014-15_conv_-_market"/>
      <sheetName val="Gilts_2014-15_conv_-_other"/>
      <sheetName val="GCMR_from_ONS"/>
      <sheetName val="DMO_Holdings_April_2014_Conv"/>
      <sheetName val="Inputs_Index-linked&gt;"/>
      <sheetName val="ILG_Accruals"/>
      <sheetName val="ILG_Cash"/>
      <sheetName val="DMO_Gilt_Redemptions_data"/>
      <sheetName val="DMO_Holding_Apr_2014_ILG"/>
      <sheetName val="Ready_recko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CL2" t="str">
            <v>Events</v>
          </cell>
        </row>
        <row r="3">
          <cell r="CL3" t="str">
            <v>Ready reckoner</v>
          </cell>
        </row>
        <row r="4">
          <cell r="CL4" t="str">
            <v>Budget 2014 R4</v>
          </cell>
        </row>
        <row r="5">
          <cell r="CL5" t="str">
            <v>Autumn Statement 2014 R1</v>
          </cell>
        </row>
        <row r="6">
          <cell r="CL6" t="str">
            <v>Autumn Statement 2014 R2</v>
          </cell>
        </row>
        <row r="7">
          <cell r="CL7" t="str">
            <v>Autumn Statement 2014 R3</v>
          </cell>
        </row>
        <row r="8">
          <cell r="CL8" t="str">
            <v>Autumn Statement 2014 R4</v>
          </cell>
        </row>
      </sheetData>
      <sheetData sheetId="27">
        <row r="2">
          <cell r="D2">
            <v>0</v>
          </cell>
        </row>
      </sheetData>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eld List"/>
    </sheetNames>
    <sheetDataSet>
      <sheetData sheetId="0"/>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RawData"/>
      <sheetName val="_Parameters"/>
      <sheetName val="I&amp;E"/>
      <sheetName val="Recog Gains &amp; Losses"/>
      <sheetName val="BSheet"/>
      <sheetName val="CashFlow"/>
      <sheetName val="Note2"/>
      <sheetName val="Note 3"/>
      <sheetName val="Note 4,5,6"/>
      <sheetName val="_Note 7"/>
      <sheetName val="Note 7"/>
      <sheetName val="_Note8"/>
      <sheetName val="Note8"/>
      <sheetName val="Note 9,10,11,12"/>
      <sheetName val="Note 13,14"/>
      <sheetName val="_Note 17,18"/>
      <sheetName val="Note 17,18"/>
      <sheetName val="Note 19"/>
      <sheetName val="_Note 21"/>
      <sheetName val="Note 21"/>
      <sheetName val="Note 24"/>
      <sheetName val="_Note 26"/>
      <sheetName val="Note 26"/>
      <sheetName val="End tables"/>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ncharts"/>
      <sheetName val="Table"/>
      <sheetName val="Table (2)"/>
      <sheetName val="Index"/>
      <sheetName val="Control Sheet"/>
      <sheetName val="Stata format for CSV"/>
      <sheetName val="STATA Format"/>
      <sheetName val="NGDP"/>
      <sheetName val="UKGDP"/>
      <sheetName val="Demand"/>
      <sheetName val="HHconsumption "/>
      <sheetName val="Govconsumption"/>
      <sheetName val="Fixedinv"/>
      <sheetName val="Businessinv"/>
      <sheetName val="Govtinv"/>
      <sheetName val="Privatedwellingsinv"/>
      <sheetName val="Inventories"/>
      <sheetName val="X"/>
      <sheetName val="M"/>
      <sheetName val="Currentacc%GDP"/>
      <sheetName val="CPI"/>
      <sheetName val="CPI histograms"/>
      <sheetName val="RPI"/>
      <sheetName val="Deflator "/>
      <sheetName val="Empl"/>
      <sheetName val="Prod"/>
      <sheetName val="Wages&amp;Salaries"/>
      <sheetName val="Earnings"/>
      <sheetName val="Unemplrate"/>
      <sheetName val="Houseprices"/>
      <sheetName val="CC"/>
      <sheetName val="RHHDI"/>
      <sheetName val="Savingratio"/>
      <sheetName val="WorldGDP"/>
      <sheetName val="EuroGDP"/>
      <sheetName val="Worldtrade"/>
      <sheetName val="UKexportmarke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ncharts"/>
      <sheetName val="Table"/>
      <sheetName val="Table (2)"/>
      <sheetName val="Index"/>
      <sheetName val="Control Sheet"/>
      <sheetName val="Stata format for CSV"/>
      <sheetName val="STATA Format"/>
      <sheetName val="NGDP"/>
      <sheetName val="UKGDP"/>
      <sheetName val="Demand"/>
      <sheetName val="HHconsumption "/>
      <sheetName val="Govconsumption"/>
      <sheetName val="Fixedinv"/>
      <sheetName val="Businessinv"/>
      <sheetName val="Govtinv"/>
      <sheetName val="Privatedwellingsinv"/>
      <sheetName val="Inventories"/>
      <sheetName val="X"/>
      <sheetName val="M"/>
      <sheetName val="Currentacc%GDP"/>
      <sheetName val="CPI"/>
      <sheetName val="CPI histograms"/>
      <sheetName val="RPI"/>
      <sheetName val="Deflator "/>
      <sheetName val="Empl"/>
      <sheetName val="Prod"/>
      <sheetName val="Wages&amp;Salaries"/>
      <sheetName val="Earnings"/>
      <sheetName val="Unemplrate"/>
      <sheetName val="Houseprices"/>
      <sheetName val="CC"/>
      <sheetName val="RHHDI"/>
      <sheetName val="Savingratio"/>
      <sheetName val="WorldGDP"/>
      <sheetName val="EuroGDP"/>
      <sheetName val="Worldtrade"/>
      <sheetName val="UKexportmarkets"/>
    </sheetNames>
    <sheetDataSet>
      <sheetData sheetId="0"/>
      <sheetData sheetId="1"/>
      <sheetData sheetId="2"/>
      <sheetData sheetId="3"/>
      <sheetData sheetId="4">
        <row r="4">
          <cell r="I4">
            <v>2016</v>
          </cell>
        </row>
      </sheetData>
      <sheetData sheetId="5"/>
      <sheetData sheetId="6"/>
      <sheetData sheetId="7"/>
      <sheetData sheetId="8"/>
      <sheetData sheetId="9"/>
      <sheetData sheetId="10">
        <row r="5">
          <cell r="A5" t="str">
            <v>1997 November PBR</v>
          </cell>
        </row>
        <row r="6">
          <cell r="A6" t="str">
            <v>1998 Winter Internal</v>
          </cell>
        </row>
        <row r="7">
          <cell r="A7" t="str">
            <v>1998 EFSR</v>
          </cell>
        </row>
        <row r="8">
          <cell r="A8" t="str">
            <v>1999 November PBR</v>
          </cell>
        </row>
        <row r="9">
          <cell r="A9" t="str">
            <v>2000 November PBR</v>
          </cell>
        </row>
        <row r="10">
          <cell r="A10" t="str">
            <v>2001 November PBR</v>
          </cell>
        </row>
        <row r="11">
          <cell r="A11" t="str">
            <v>2002 December PBR</v>
          </cell>
        </row>
        <row r="12">
          <cell r="A12" t="str">
            <v>2003 December PBR</v>
          </cell>
        </row>
        <row r="13">
          <cell r="A13" t="str">
            <v>2004 December PBR</v>
          </cell>
        </row>
        <row r="14">
          <cell r="A14" t="str">
            <v>2005 December PBR</v>
          </cell>
        </row>
        <row r="15">
          <cell r="A15" t="str">
            <v>2006 December PBR</v>
          </cell>
        </row>
        <row r="16">
          <cell r="A16" t="str">
            <v>2007 October PBR</v>
          </cell>
        </row>
        <row r="17">
          <cell r="A17" t="str">
            <v>2008 October PBR</v>
          </cell>
        </row>
        <row r="18">
          <cell r="A18" t="str">
            <v>2009 October PBR</v>
          </cell>
        </row>
        <row r="19">
          <cell r="A19">
            <v>40483</v>
          </cell>
        </row>
        <row r="20">
          <cell r="A20">
            <v>40848</v>
          </cell>
        </row>
        <row r="21">
          <cell r="A21">
            <v>41244</v>
          </cell>
        </row>
        <row r="22">
          <cell r="A22">
            <v>41609</v>
          </cell>
        </row>
        <row r="23">
          <cell r="A23">
            <v>41977</v>
          </cell>
        </row>
        <row r="24">
          <cell r="A24">
            <v>42309</v>
          </cell>
        </row>
        <row r="25">
          <cell r="A25">
            <v>42675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Contents"/>
      <sheetName val="Summary"/>
      <sheetName val="Details"/>
      <sheetName val="Baselines"/>
      <sheetName val="Glossary"/>
      <sheetName val="Org_Lookups"/>
    </sheetNames>
    <sheetDataSet>
      <sheetData sheetId="0"/>
      <sheetData sheetId="1"/>
      <sheetData sheetId="2"/>
      <sheetData sheetId="3"/>
      <sheetData sheetId="4"/>
      <sheetData sheetId="5"/>
      <sheetData sheetId="6"/>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CT Forecast"/>
      <sheetName val="CT Outturn"/>
      <sheetName val="QIP %"/>
      <sheetName val="Check"/>
      <sheetName val="Bank Levy Outturn"/>
      <sheetName val="Bank Levy Outturn (2)"/>
      <sheetName val="NABs Table"/>
      <sheetName val="NABs Chart"/>
      <sheetName val="Cash tables"/>
      <sheetName val="Cash Chart"/>
      <sheetName val="Cash (AB18)"/>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FullOverview"/>
      <sheetName val="Parameters"/>
      <sheetName val="Growth vs. x"/>
      <sheetName val="Pilot packages"/>
      <sheetName val="HMT Summary"/>
      <sheetName val="Year n, scenario, no pilots"/>
      <sheetName val="Year n, base case, no pilots"/>
      <sheetName val="Year n, scenario, pilots"/>
      <sheetName val="1718 Growth R1 (no pilots)"/>
      <sheetName val="1718 Growth R2 (no pilots)"/>
      <sheetName val="1718 Growth R1 (pilots)"/>
      <sheetName val="1718 Growth R2 (pilots)"/>
      <sheetName val="1819 Growth R2 (pilots)"/>
      <sheetName val="Year n, base case, pilots"/>
      <sheetName val="1920 Growth R2 (toggle)"/>
      <sheetName val="KI 1718 (pilots)"/>
      <sheetName val="KI 1718 (no pilots)"/>
      <sheetName val="1718 Datasheet1"/>
      <sheetName val="1718 Datasheet2"/>
      <sheetName val="1718 Datasheet3"/>
      <sheetName val="1718 Datasheet4"/>
      <sheetName val="lookup"/>
      <sheetName val="RPI Forecasts"/>
      <sheetName val="Need to spend"/>
    </sheetNames>
    <sheetDataSet>
      <sheetData sheetId="0" refreshError="1"/>
      <sheetData sheetId="1" refreshError="1"/>
      <sheetData sheetId="2"/>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sheetData sheetId="21" refreshError="1"/>
      <sheetData sheetId="22"/>
      <sheetData sheetId="23" refreshError="1"/>
      <sheetData sheetId="2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Formatting"/>
      <sheetName val="Report"/>
    </sheetNames>
    <sheetDataSet>
      <sheetData sheetId="0"/>
      <sheetData sheetId="1"/>
      <sheetData sheetId="2"/>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
      <sheetName val="Notes"/>
      <sheetName val="DOMINANT"/>
      <sheetName val="Overview"/>
      <sheetName val="FTRAN"/>
      <sheetName val="Model"/>
      <sheetName val="LIVE"/>
      <sheetName val="LCGOS"/>
      <sheetName val="LCGPR"/>
      <sheetName val="CGMISP"/>
      <sheetName val="NPRIVP"/>
      <sheetName val="CGACRES"/>
      <sheetName val="CONACC"/>
      <sheetName val="ILGAC"/>
      <sheetName val="MFTRAN"/>
      <sheetName val="LCGLA"/>
      <sheetName val="LCGPC"/>
      <sheetName val="LALEND"/>
      <sheetName val="LAMISE"/>
      <sheetName val="LAAC"/>
      <sheetName val="LAMFT"/>
      <sheetName val="CCACC"/>
      <sheetName val="PCLEND"/>
      <sheetName val="PCMISE"/>
      <sheetName val="PCAC"/>
      <sheetName val="PCGILT"/>
      <sheetName val="MFT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own Book Oil Chart"/>
      <sheetName val="Brown Book Gas Chart"/>
      <sheetName val="Brown Book reserves data"/>
      <sheetName val="Oil Chart (proven + probable)"/>
      <sheetName val="Gas Chart (proven + probable)"/>
      <sheetName val="boe Chart"/>
      <sheetName val="boe Chart (2)"/>
      <sheetName val="PARS and YTFs"/>
      <sheetName val="boe Chart (plus PARS YTFs)"/>
      <sheetName val="boe Chart (plus PARS YTFs rem)"/>
      <sheetName val="PARS chart"/>
      <sheetName val="boe Chart (plus PARS YTFs) (2)"/>
      <sheetName val="boe Chart (UKCS max potl)"/>
      <sheetName val="reserves projection"/>
      <sheetName val="Oil Chart (projection)"/>
      <sheetName val="Gas Chart (projection)"/>
      <sheetName val="Gas Chart (projection) (2)"/>
      <sheetName val="reserves replacement (2)"/>
      <sheetName val="reserves replacement"/>
      <sheetName val="reserves to production ratio pl"/>
      <sheetName val="boe prodn history plus fcast"/>
      <sheetName val="boe prodn history (oil and gas)"/>
      <sheetName val="TEF Jan 2009 central estimates"/>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Title"/>
      <sheetName val="instructions"/>
      <sheetName val="BR1 Blank Form"/>
      <sheetName val="Validation"/>
      <sheetName val="BR1_Blank_Form"/>
      <sheetName val="BR1_Blank_Form1"/>
      <sheetName val="BR1_Blank_Form2"/>
      <sheetName val="BR1_Blank_Form6"/>
      <sheetName val="BR1_Blank_Form4"/>
      <sheetName val="BR1_Blank_Form3"/>
      <sheetName val="BR1_Blank_Form5"/>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230301 - MA"/>
      <sheetName val="230010 - DA"/>
      <sheetName val="230102 - MT"/>
      <sheetName val="230103 - Second &amp; Special Leave"/>
      <sheetName val="230200 - AB"/>
      <sheetName val="230306 - CB"/>
      <sheetName val="230400 - MH"/>
      <sheetName val="230410 - AW"/>
      <sheetName val="230420 - EZ"/>
      <sheetName val="230500 - NC"/>
      <sheetName val="230600 - TW"/>
      <sheetName val="230610 - SW"/>
      <sheetName val="230700 - GORS"/>
      <sheetName val="230810 - PL"/>
      <sheetName val="Spare"/>
      <sheetName val="Ad hoc Pivot"/>
      <sheetName val="All - DO NOT EDIT"/>
      <sheetName val="Li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ATION&gt;&gt;"/>
      <sheetName val="Model Map"/>
      <sheetName val="Version Control"/>
      <sheetName val="QA log"/>
      <sheetName val="Data Register"/>
      <sheetName val="Assumptions Register"/>
      <sheetName val="INPUTS&gt;&gt;"/>
      <sheetName val="I.Codes"/>
      <sheetName val="I.Lookups"/>
      <sheetName val="I.ONS RPI"/>
      <sheetName val="I.ONS CPI"/>
      <sheetName val="I.OBR Economy Tables (Mar 20)"/>
      <sheetName val="I.Briefing Tool 2021 (FINAL)"/>
      <sheetName val="I.CSP Supporting Info (FINAL)"/>
      <sheetName val="I.CSP v4 19-20 - CTR New LAs "/>
      <sheetName val="I.Tax Base (CT Model)"/>
      <sheetName val="I.CTR 19-20"/>
      <sheetName val="I.CTR 20-21"/>
      <sheetName val="I.CT ANAs"/>
      <sheetName val="I.13-14 SFA"/>
      <sheetName val="I.GLA TfL Investment Grant"/>
      <sheetName val="I.PHG adj-15-16 to 16-17"/>
      <sheetName val="I.PHG 17-18 to 18-19"/>
      <sheetName val="I.PHG 19-20 to 20-21"/>
      <sheetName val="I.19-20 Negative RSG"/>
      <sheetName val="I.20-21 NHB"/>
      <sheetName val="I.Current ASC RNF"/>
      <sheetName val="I.New ASC RNF"/>
      <sheetName val="I.New CYPS RNF"/>
      <sheetName val="I.Growth - 15-16"/>
      <sheetName val="I.Growth - 16-17"/>
      <sheetName val="I.Growth - 17-18 50% system"/>
      <sheetName val="I.Growth - 18-19 50% system"/>
      <sheetName val="I.Growth - 19-20 50% system"/>
      <sheetName val="I.Growth - 20-21 50% system"/>
      <sheetName val="CONTROL"/>
      <sheetName val="Bespoke Ref"/>
      <sheetName val="CALCS&gt;&gt;"/>
      <sheetName val="C.CSP Summary (20-21 Published)"/>
      <sheetName val="C.Grossing Factor &amp; Multiplier"/>
      <sheetName val="C.Codes &amp; Inflation"/>
      <sheetName val="C.SFA"/>
      <sheetName val="C.Comp for under indexation"/>
      <sheetName val="C.NHB"/>
      <sheetName val="C.CT (20-21 Outturn)"/>
      <sheetName val="C.13-14 SFA Re-org"/>
      <sheetName val="C.New Equalisation Grant"/>
      <sheetName val="C.Other New Grants"/>
      <sheetName val="C.BR Growth"/>
      <sheetName val="C.CSP Projection"/>
      <sheetName val="C.Graphs 1"/>
      <sheetName val="C.Graphs 2"/>
      <sheetName val="OUTPUTS&gt;&gt;"/>
      <sheetName val="O.CSP Proj - Stata Outpu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turns"/>
      <sheetName val="VAT"/>
      <sheetName val="FSBR profile"/>
      <sheetName val="Treasury 11th day lastM Profile"/>
      <sheetName val="ProfHIS"/>
      <sheetName val="Profiles"/>
      <sheetName val="BISDAS6"/>
      <sheetName val="Proar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AS2"/>
      <sheetName val="Lists"/>
    </sheetNames>
    <sheetDataSet>
      <sheetData sheetId="0" refreshError="1"/>
      <sheetData sheetId="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sheetName val="Risks for other areas or Checks"/>
      <sheetName val="Ratings and Bandings"/>
      <sheetName val="Risk Matrix"/>
      <sheetName val="Risk ID"/>
      <sheetName val="Risk Input"/>
      <sheetName val="LOB Risk Register - Input"/>
      <sheetName val="LOB Risk Register"/>
      <sheetName val="Dashboard"/>
      <sheetName val="Risk Summary"/>
      <sheetName val="Radar"/>
      <sheetName val="Risk Register"/>
      <sheetName val="Matrix"/>
      <sheetName val="Print Radar"/>
      <sheetName val="Track Changes "/>
      <sheetName val="Trend Analysis"/>
      <sheetName val="Risk Template"/>
      <sheetName val="Sheet2"/>
      <sheetName val="Data (Protected Worksheet)"/>
      <sheetName val="Data"/>
      <sheetName val="Risks_for_other_areas_or_Checks"/>
      <sheetName val="Ratings_and_Bandings"/>
      <sheetName val="Risk_Matrix"/>
      <sheetName val="Risk_ID"/>
      <sheetName val="Risk_Input"/>
      <sheetName val="LOB_Risk_Register_-_Input"/>
      <sheetName val="LOB_Risk_Register"/>
      <sheetName val="Data_(Protected_Worksheet)"/>
      <sheetName val="Risk_Summary"/>
      <sheetName val="Risk_Register"/>
      <sheetName val="Print_Radar"/>
      <sheetName val="Track_Changes_"/>
      <sheetName val="Trend_Analysis"/>
      <sheetName val="Risk_Template"/>
      <sheetName val="Risks_for_other_areas_or_Check1"/>
      <sheetName val="Ratings_and_Bandings1"/>
      <sheetName val="Risk_Matrix1"/>
      <sheetName val="Risk_ID1"/>
      <sheetName val="Risk_Input1"/>
      <sheetName val="LOB_Risk_Register_-_Input1"/>
      <sheetName val="LOB_Risk_Register1"/>
      <sheetName val="Risk_Summary1"/>
      <sheetName val="Risk_Register1"/>
      <sheetName val="Print_Radar1"/>
      <sheetName val="Track_Changes_1"/>
      <sheetName val="Trend_Analysis1"/>
      <sheetName val="Risk_Template1"/>
      <sheetName val="Data_(Protected_Work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 val="Forecast_data"/>
      <sheetName val="Intro_-_read_first"/>
      <sheetName val="Imp_VAT"/>
      <sheetName val="Home_VAT"/>
      <sheetName val="Reb_oils"/>
      <sheetName val="Tables_1_&amp;_2"/>
      <sheetName val="Daily_(2)"/>
      <sheetName val="CGBR_table"/>
      <sheetName val="BIS_table"/>
      <sheetName val="Tob_accs"/>
      <sheetName val="Acc_ad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adata"/>
      <sheetName val="Part 1"/>
      <sheetName val="Part 2"/>
      <sheetName val="Part 3"/>
      <sheetName val="Part 4"/>
      <sheetName val="Datasheet1"/>
      <sheetName val="Datasheet2"/>
      <sheetName val="Datasheet3"/>
      <sheetName val="Datasheet4"/>
    </sheetNames>
    <sheetDataSet>
      <sheetData sheetId="0"/>
      <sheetData sheetId="1"/>
      <sheetData sheetId="2"/>
      <sheetData sheetId="3"/>
      <sheetData sheetId="4"/>
      <sheetData sheetId="5"/>
      <sheetData sheetId="6"/>
      <sheetData sheetId="7"/>
      <sheetData sheetId="8"/>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Charts"/>
      <sheetName val="National Summary"/>
      <sheetName val="Class-Level Summary"/>
      <sheetName val="JD-LA Summary"/>
      <sheetName val="Area-Level Summary"/>
      <sheetName val="UT Urban Rural"/>
      <sheetName val="LT Urban Rural"/>
      <sheetName val="Income excl Fees &amp; Charges"/>
      <sheetName val="Income Typ.Scenarios"/>
      <sheetName val="TFL General Grant"/>
      <sheetName val="TFL Investment Grant"/>
      <sheetName val="Metronet Grant"/>
      <sheetName val="HB Admin Grant"/>
      <sheetName val="Counter Terrorism Grant"/>
      <sheetName val="Police Revenue"/>
      <sheetName val="Data 1415"/>
      <sheetName val="RO1 LA Data 2013-14"/>
      <sheetName val="Non-Schools Education"/>
      <sheetName val="Children's Social Care"/>
      <sheetName val="Younger Adults' Social Care"/>
      <sheetName val="Older People's Social Care"/>
      <sheetName val="Public Health"/>
      <sheetName val="Highway Maintenance"/>
      <sheetName val="RA LA Data 2014-15 (1)"/>
      <sheetName val="Street Lighting"/>
      <sheetName val="Parking"/>
      <sheetName val="Road Safety"/>
      <sheetName val="Concessionary Travel"/>
      <sheetName val="Public Transport"/>
      <sheetName val="Airports etc"/>
      <sheetName val="Housing Strategy"/>
      <sheetName val="Homelessness"/>
      <sheetName val="Housing Benefit"/>
      <sheetName val="Housing Benefit Admin"/>
      <sheetName val="Other Council Property"/>
      <sheetName val="Supporting People"/>
      <sheetName val="Other Welfare Services"/>
      <sheetName val="Archives"/>
      <sheetName val="Culture &amp; Heritage"/>
      <sheetName val="Recreation &amp; Sport"/>
      <sheetName val="Open Spaces"/>
      <sheetName val="Tourism"/>
      <sheetName val="Library Services"/>
      <sheetName val="Cemetery etc"/>
      <sheetName val="Trading Standards"/>
      <sheetName val="Water Safety"/>
      <sheetName val="Food Safety"/>
      <sheetName val="Env Protection"/>
      <sheetName val="Housing Standards"/>
      <sheetName val="H&amp;S"/>
      <sheetName val="Port Health"/>
      <sheetName val="Pest Control"/>
      <sheetName val="Public Conveniences"/>
      <sheetName val="Disease Control"/>
      <sheetName val="Licensing"/>
      <sheetName val="Crime Reduction"/>
      <sheetName val="Safety Services"/>
      <sheetName val="CCTV"/>
      <sheetName val="Flooding"/>
      <sheetName val="Land Drainage"/>
      <sheetName val="Coast Protection"/>
      <sheetName val="Ag &amp; Fish"/>
      <sheetName val="Street Cleansing"/>
      <sheetName val="Waste Collection"/>
      <sheetName val="Waste Disposal"/>
      <sheetName val="RO5 LA Data 2013-14 (1)"/>
      <sheetName val="RO5 LA Data 2013-14 (2)"/>
      <sheetName val="RO5 LA Data 2013-14 (3)"/>
      <sheetName val="Trade Waste"/>
      <sheetName val="Recycling"/>
      <sheetName val="Waste Minimisation"/>
      <sheetName val="Climate Change Costs"/>
      <sheetName val="Building Control"/>
      <sheetName val="Development Control"/>
      <sheetName val="Planning Policy"/>
      <sheetName val="Environmental Iniatives"/>
      <sheetName val="Economic Development"/>
      <sheetName val="Community Development"/>
      <sheetName val="Economic Research"/>
      <sheetName val="Business Support"/>
      <sheetName val="Police"/>
      <sheetName val="Fire &amp; Rescue"/>
      <sheetName val="Coroners Courts"/>
      <sheetName val="Other Courts"/>
      <sheetName val="Core"/>
      <sheetName val="Local Tax"/>
      <sheetName val="Emergency Planning"/>
      <sheetName val="Other Central Services"/>
      <sheetName val="Retirement"/>
      <sheetName val="IT"/>
      <sheetName val="Depreciation"/>
      <sheetName val="Surplus"/>
      <sheetName val="ITA Levy"/>
      <sheetName val="Waste Levy"/>
      <sheetName val="CERA"/>
      <sheetName val="CERA (PH)"/>
      <sheetName val="Repayment"/>
      <sheetName val="Interest Payable"/>
      <sheetName val="Interest &amp; Investment Income"/>
      <sheetName val="Business Rates Supplement"/>
      <sheetName val="Other Reserves"/>
      <sheetName val="Unearmarked Reserves"/>
      <sheetName val="RS LA Data 2010-11 (1)"/>
      <sheetName val="RG LA Data 2010-11"/>
      <sheetName val="RO1 LA Data 2010-11"/>
      <sheetName val="RO2 LA Data 2010-11 (1)"/>
      <sheetName val="RO2 LA Data 2010-11 (2)"/>
      <sheetName val="RO2 LA Data 2010-11 (3)"/>
      <sheetName val="RO3 LA Data 2010-11"/>
      <sheetName val="RO4 LA Data 2010-11 (1)"/>
      <sheetName val="RO4 LA Data 2010-11 (2)"/>
      <sheetName val="RO4 LA Data 2010-11 (3)"/>
      <sheetName val="RO5 LA Data 2010-11 (1)"/>
      <sheetName val="RO5 LA Data 2010-11 (2)"/>
      <sheetName val="RO5 LA Data 2010-11 (3)"/>
      <sheetName val="RO6 LA Data 2010-11 (1)"/>
      <sheetName val="RO6 LA Data 2010-11 (2)"/>
      <sheetName val="RO6 LA Data 2010-11 (3)"/>
      <sheetName val="RS LA Data 2011-12 (1)"/>
      <sheetName val="RG LA Data 2011-12"/>
      <sheetName val="RO1 LA Data 2011-12"/>
      <sheetName val="RO2 LA Data 2011-12 (1)"/>
      <sheetName val="RO2 LA Data 2011-12 (2)"/>
      <sheetName val="RO2 LA Data 2011-12 (3)"/>
      <sheetName val="RO3 LA Data 2011-12"/>
      <sheetName val="RO4 LA Data 2011-12 (1)"/>
      <sheetName val="RO4 LA Data 2011-12 (2)"/>
      <sheetName val="RO4 LA Data 2011-12 (3)"/>
      <sheetName val="RO5 LA Data 2011-12 (1)"/>
      <sheetName val="RO5 LA Data 2011-12 (2)"/>
      <sheetName val="RO5 LA Data 2011-12 (3)"/>
      <sheetName val="RO6 LA Data 2011-12 (1)"/>
      <sheetName val="RO6 LA Data 2011-12 (2)"/>
      <sheetName val="RO6 LA Data 2011-12 (3)"/>
      <sheetName val="RS LA Data 2012-13 (1)"/>
      <sheetName val="RG LA Data 2012-13"/>
      <sheetName val="RO1 LA Data 2012-13"/>
      <sheetName val="RO2 LA Data 2012-13 (1)"/>
      <sheetName val="RO2 LA Data 2012-13 (2)"/>
      <sheetName val="RO2 LA Data 2012-13 (3)"/>
      <sheetName val="RO3 LA Data 2012-13"/>
      <sheetName val="RO4 LA Data 2012-13 (1)"/>
      <sheetName val="RO4 LA Data 2012-13 (2)"/>
      <sheetName val="RO4 LA Data 2012-13 (3)"/>
      <sheetName val="RO5 LA Data 2012-13 (1)"/>
      <sheetName val="RO5 LA Data 2012-13 (2)"/>
      <sheetName val="RO5 LA Data 2012-13 (3)"/>
      <sheetName val="RO6 LA Data 2012-13 (1)"/>
      <sheetName val="RO6 LA Data 2012-13 (2)"/>
      <sheetName val="RO6 LA Data 2012-13 (3)"/>
      <sheetName val="RS LA Data 2013-14 (1)"/>
      <sheetName val="RG LA Data 2013-14"/>
      <sheetName val="RO2 LA Data 2013-14 (1)"/>
      <sheetName val="RO2 LA Data 2013-14 (2)"/>
      <sheetName val="RO2 LA Data 2013-14 (3)"/>
      <sheetName val="RO3 LA Data 2013-14 (1)"/>
      <sheetName val="RO3 LA Data 2013-14 (2)"/>
      <sheetName val="RO3 LA Data 2013-14 (3)"/>
      <sheetName val="RO4 LA Data 2013-14 (1)"/>
      <sheetName val="RO4 LA Data 2013-14 (2)"/>
      <sheetName val="RO4 LA Data 2013-14 (3)"/>
      <sheetName val="RO6 LA Data 2013-14 (1)"/>
      <sheetName val="RO6 LA Data 2013-14 (2)"/>
      <sheetName val="RO6 LA Data 2013-14 (3)"/>
      <sheetName val="SG LA Data 2014-15"/>
      <sheetName val="OBR AS14 Table 1.1"/>
      <sheetName val="OBR AS14 Table 1.7 "/>
      <sheetName val="Population"/>
      <sheetName val="Road Miles"/>
      <sheetName val="Household Projections"/>
      <sheetName val="Hh proj by dep ki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ual for Web"/>
      <sheetName val="Half-yearly for Web"/>
      <sheetName val="2008 Web Update"/>
      <sheetName val="PQ"/>
      <sheetName val="GTP QUARTERLY TOTALS"/>
      <sheetName val="GTP YEAR TOTALS"/>
      <sheetName val="GTP HISTORY"/>
      <sheetName val="GTP Summary"/>
      <sheetName val="Summary"/>
      <sheetName val="CAPEX &amp; DEVDREX"/>
      <sheetName val="GTP1998"/>
      <sheetName val="GTP1999"/>
      <sheetName val="GTP2000"/>
      <sheetName val="GTP2001"/>
      <sheetName val="GTP2002"/>
      <sheetName val="GTP2003"/>
      <sheetName val="GTP2004"/>
      <sheetName val="GDFCF HISTORY"/>
      <sheetName val="GDFCF YEARLY TOTALS"/>
      <sheetName val="GDFCF QUARTERLY TOTALS"/>
      <sheetName val="GFCF1998"/>
      <sheetName val="GFCF1999"/>
      <sheetName val="GFCF2000"/>
      <sheetName val="GFCF2001"/>
      <sheetName val="GFCF2002"/>
      <sheetName val="GFCF2003"/>
      <sheetName val="Highlights"/>
      <sheetName val="Main Table"/>
      <sheetName val="Quarter"/>
      <sheetName val="Annual"/>
      <sheetName val="Calcul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b text"/>
      <sheetName val="2007-08 RS Live"/>
      <sheetName val="2008-09 RS live"/>
      <sheetName val="RS raw"/>
      <sheetName val="RSX raw"/>
      <sheetName val="RG raw"/>
      <sheetName val="RO1 raw"/>
      <sheetName val="RO2 raw"/>
      <sheetName val="RO3 raw"/>
      <sheetName val="RO4 raw"/>
      <sheetName val="RO5 raw"/>
      <sheetName val="RO6 raw"/>
      <sheetName val="BIDRO raw"/>
      <sheetName val="SAR grossed (old)"/>
      <sheetName val="Chart B"/>
      <sheetName val="TSR raw"/>
      <sheetName val="SAR 0809"/>
      <sheetName val="SAR 0708"/>
      <sheetName val="SAR 0607"/>
      <sheetName val="SAR 0506"/>
      <sheetName val="Table1"/>
      <sheetName val="Chart A"/>
      <sheetName val="Table 2"/>
      <sheetName val="Chart B#"/>
      <sheetName val="Table 3"/>
      <sheetName val="Table 4"/>
      <sheetName val="Table 5"/>
      <sheetName val="Data for Chart C"/>
      <sheetName val="Chart C"/>
      <sheetName val="Table 6"/>
      <sheetName val="Chart E"/>
      <sheetName val="A1(RSX)"/>
      <sheetName val="A2(RS)"/>
      <sheetName val="A2(RS) old"/>
      <sheetName val="A3(RG)"/>
      <sheetName val="A4(RO1)"/>
      <sheetName val="A5(RO2)"/>
      <sheetName val="A6(RO3)"/>
      <sheetName val="A7(RO4)"/>
      <sheetName val="A8(RO5)"/>
      <sheetName val="A9(RO6)"/>
      <sheetName val="A10(TSR)"/>
      <sheetName val="A11(SAR)"/>
      <sheetName val="A12(BIDRO)"/>
      <sheetName val="Annex B"/>
      <sheetName val="Annex C"/>
      <sheetName val="SAR grossed"/>
      <sheetName val="SAR Conf Int"/>
      <sheetName val="Data for Exp Chart A"/>
      <sheetName val="Exp Chart A"/>
      <sheetName val="Experimental A"/>
      <sheetName val="Data for Exp Annex B"/>
      <sheetName val="FRS17 Service"/>
      <sheetName val="FRS17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refreshError="1"/>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b text"/>
      <sheetName val="2007-08 RS Live"/>
      <sheetName val="2008-09 RS live"/>
      <sheetName val="RS raw"/>
      <sheetName val="RSX raw"/>
      <sheetName val="RG raw"/>
      <sheetName val="RO1 raw"/>
      <sheetName val="RO2 raw"/>
      <sheetName val="RO3 raw"/>
      <sheetName val="RO4 raw"/>
      <sheetName val="RO5 raw"/>
      <sheetName val="RO6 raw"/>
      <sheetName val="BIDRO raw"/>
      <sheetName val="SAR grossed (old)"/>
      <sheetName val="Chart B"/>
      <sheetName val="TSR raw"/>
      <sheetName val="SAR 0809"/>
      <sheetName val="SAR 0708"/>
      <sheetName val="SAR 0607"/>
      <sheetName val="SAR 0506"/>
      <sheetName val="Table1"/>
      <sheetName val="Chart A"/>
      <sheetName val="Table 2"/>
      <sheetName val="Chart B#"/>
      <sheetName val="Table 3"/>
      <sheetName val="Table 4"/>
      <sheetName val="Table 5"/>
      <sheetName val="Data for Chart C"/>
      <sheetName val="Chart C"/>
      <sheetName val="Table 6"/>
      <sheetName val="Chart E"/>
      <sheetName val="A1(RSX)"/>
      <sheetName val="A2(RS)"/>
      <sheetName val="A2(RS) old"/>
      <sheetName val="A3(RG)"/>
      <sheetName val="A4(RO1)"/>
      <sheetName val="A5(RO2)"/>
      <sheetName val="A6(RO3)"/>
      <sheetName val="A7(RO4)"/>
      <sheetName val="A8(RO5)"/>
      <sheetName val="A9(RO6)"/>
      <sheetName val="A10(TSR)"/>
      <sheetName val="A11(SAR)"/>
      <sheetName val="A12(BIDRO)"/>
      <sheetName val="Annex B"/>
      <sheetName val="Annex C"/>
      <sheetName val="SAR grossed"/>
      <sheetName val="SAR Conf Int"/>
      <sheetName val="Data for Exp Chart A"/>
      <sheetName val="Exp Chart A"/>
      <sheetName val="Experimental A"/>
      <sheetName val="Data for Exp Annex B"/>
      <sheetName val="FRS17 Service"/>
      <sheetName val="FRS17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refreshError="1"/>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Blank"/>
      <sheetName val="Tracker"/>
      <sheetName val="Chapter 2 ---&gt;"/>
      <sheetName val="T2.1"/>
      <sheetName val="T2.2"/>
      <sheetName val="T2.3"/>
      <sheetName val="T2.4"/>
      <sheetName val="T2.5"/>
      <sheetName val="T2.6"/>
      <sheetName val="T2.7"/>
      <sheetName val="C2.1"/>
      <sheetName val="C2.2"/>
      <sheetName val="C2.3"/>
      <sheetName val="forecomp data"/>
      <sheetName val="C2.1a"/>
      <sheetName val="C2.Ao"/>
      <sheetName val="Input"/>
      <sheetName val="Data (C2.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S LA Data 2017-18"/>
      <sheetName val="Access (Col 1)"/>
      <sheetName val="Access (Col 2)"/>
      <sheetName val="Access (Col 3)"/>
      <sheetName val="Access (Col 4)"/>
      <sheetName val="Access (Col 5)"/>
      <sheetName val="Access (Col 6)"/>
      <sheetName val="Access (Col 7)"/>
      <sheetName val="Access (Col 8)"/>
      <sheetName val="PHE Check"/>
      <sheetName val="Access (Col 99)"/>
      <sheetName val="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Income Sources"/>
      <sheetName val="England Level Charts"/>
      <sheetName val="Overall Income"/>
      <sheetName val="Overall Income Pivot"/>
      <sheetName val="Case study summary (1)"/>
      <sheetName val="Case study summary (2)"/>
      <sheetName val="Council Tax"/>
      <sheetName val="Business Rates Retention"/>
      <sheetName val="Section 31 BR grants"/>
      <sheetName val="Sales, Fees &amp; Charges"/>
      <sheetName val="New Homes Bonus"/>
      <sheetName val="Revenue Support Grant"/>
      <sheetName val="Discounts and Exemptions"/>
      <sheetName val="Fire Revenue Grant"/>
      <sheetName val="Right to Bid"/>
      <sheetName val="Right to Challenge"/>
      <sheetName val="Local Reform &amp; Community Voices"/>
      <sheetName val="Better Care Fund"/>
      <sheetName val="Lead Local Flood"/>
      <sheetName val="Inshore Fisheries"/>
      <sheetName val="Commons Pioneer"/>
      <sheetName val="Social Fund Admin"/>
      <sheetName val="NHB adjustment"/>
      <sheetName val="Public Health Grant"/>
      <sheetName val="Council Tax Freeze"/>
      <sheetName val="NHB Details"/>
      <sheetName val="NHB Analysis"/>
      <sheetName val="SFC"/>
      <sheetName val="SFC Details"/>
      <sheetName val="RSG scenarios"/>
      <sheetName val="13-14 SUFA to redist NHB adj "/>
      <sheetName val="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Metadata"/>
      <sheetName val="LA Dropdown "/>
      <sheetName val="Pensioner"/>
      <sheetName val="Working Age"/>
      <sheetName val="Total"/>
    </sheetNames>
    <sheetDataSet>
      <sheetData sheetId="0"/>
      <sheetData sheetId="1"/>
      <sheetData sheetId="2"/>
      <sheetData sheetId="3"/>
      <sheetData sheetId="4"/>
      <sheetData sheetId="5"/>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Metadata"/>
      <sheetName val="LA Dropdown "/>
      <sheetName val="Pensioner"/>
      <sheetName val="Working Age"/>
      <sheetName val="Total"/>
    </sheetNames>
    <sheetDataSet>
      <sheetData sheetId="0"/>
      <sheetData sheetId="1"/>
      <sheetData sheetId="2"/>
      <sheetData sheetId="3"/>
      <sheetData sheetId="4"/>
      <sheetData sheetId="5"/>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Metadata"/>
      <sheetName val="Live Table"/>
      <sheetName val="LA Drop Down"/>
      <sheetName val="Table 2"/>
      <sheetName val="Table 3"/>
    </sheetNames>
    <sheetDataSet>
      <sheetData sheetId="0"/>
      <sheetData sheetId="1"/>
      <sheetData sheetId="2"/>
      <sheetData sheetId="3"/>
      <sheetData sheetId="4"/>
      <sheetData sheetId="5"/>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cils"/>
      <sheetName val="Extracts"/>
      <sheetName val="OrgHistory"/>
      <sheetName val="DataProcessing"/>
      <sheetName val="DH macros"/>
      <sheetName val="Cover"/>
      <sheetName val="Activity data"/>
      <sheetName val="Grants"/>
      <sheetName val="XSSM"/>
      <sheetName val="X2"/>
      <sheetName val="SSMSS"/>
      <sheetName val="Incl SSMSS"/>
      <sheetName val="Unit costs"/>
      <sheetName val="Unit costs summary"/>
      <sheetName val="Cost Data for PAF"/>
      <sheetName val="2004-05RAPdata"/>
      <sheetName val="HH1data"/>
      <sheetName val="2004-05PSSEX1Exp"/>
      <sheetName val="2004-05PSSEX1UCs"/>
      <sheetName val="Efficiency calcs"/>
      <sheetName val="Comments"/>
      <sheetName val="ActivityData_Extract"/>
      <sheetName val="GrantsData_Extract"/>
      <sheetName val="XSSMData_Part1_Extract"/>
      <sheetName val="XSSMData_Part2_Extract"/>
      <sheetName val="XSSMData_Part3_Extract"/>
      <sheetName val="XSSMData_Part4_Extract"/>
      <sheetName val="XSSMData_Part5_Extract"/>
      <sheetName val="XSSMData_Part6_Extract"/>
      <sheetName val="EfficiencyCalcsData_Extract"/>
      <sheetName val="DH_macros"/>
      <sheetName val="Activity_data"/>
      <sheetName val="Incl_SSMSS"/>
      <sheetName val="Unit_costs"/>
      <sheetName val="Unit_costs_summary"/>
      <sheetName val="Cost_Data_for_PAF"/>
      <sheetName val="Efficiency_cal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ata"/>
      <sheetName val="Chart1"/>
    </sheetNames>
    <sheetDataSet>
      <sheetData sheetId="0"/>
      <sheetData sheetId="1" refreshError="1"/>
      <sheetData sheetId="2"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dist"/>
      <sheetName val="LAdist (Levy)"/>
      <sheetName val="Levy"/>
      <sheetName val="HMT"/>
    </sheetNames>
    <sheetDataSet>
      <sheetData sheetId="0"/>
      <sheetData sheetId="1"/>
      <sheetData sheetId="2"/>
      <sheetData sheetId="3"/>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sheetName val="DWP"/>
      <sheetName val="DWP latest"/>
      <sheetName val="DWP_rebased_50-50"/>
      <sheetName val="pub serv pen"/>
      <sheetName val="Latest"/>
      <sheetName val="Latest_ext"/>
      <sheetName val="Fiscal table"/>
      <sheetName val="Nominal Input"/>
      <sheetName val="Start Baseline"/>
      <sheetName val="Start low prod"/>
      <sheetName val="Start high prod"/>
      <sheetName val="Start low popu"/>
      <sheetName val="Start low migr"/>
      <sheetName val="Start old pop"/>
      <sheetName val="Start low life exp pop"/>
      <sheetName val="GA_Res_Proj"/>
      <sheetName val="GDP and projections"/>
      <sheetName val="nominal fiscal rules"/>
      <sheetName val="2006 principal population"/>
      <sheetName val="Health"/>
      <sheetName val="Death"/>
      <sheetName val="Education"/>
      <sheetName val="Student loan"/>
      <sheetName val="Fiscal gaps"/>
      <sheetName val="Latest check"/>
      <sheetName val="Chart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HMT"/>
      <sheetName val="4HMT (Oil %)"/>
      <sheetName val="4HMT (Oil)"/>
      <sheetName val="4HMT (Gas)"/>
      <sheetName val="Oil &amp; Gas Chart 4HMT"/>
      <sheetName val="Oil &amp; Gas Chart 4HMT (2)"/>
      <sheetName val="Oil Chart 4HMT"/>
      <sheetName val="Gas Chart 4HMT"/>
      <sheetName val="Historic Reserves &amp; Production"/>
      <sheetName val="2016 reserves"/>
      <sheetName val="Brown Book reserves data"/>
      <sheetName val="PARS and YTFs"/>
      <sheetName val="Data"/>
      <sheetName val="ME"/>
      <sheetName val="From Clive Evans"/>
      <sheetName val="EMO chart data"/>
      <sheetName val="Oil to 2020 for EMO"/>
      <sheetName val="Gas to 2020 for EMO"/>
      <sheetName val="Oil to 2025 for EMO"/>
      <sheetName val="Gas to 2025 for EMO"/>
      <sheetName val="Oil to 2050 for EMO"/>
      <sheetName val="Gas to 2050 for EMO"/>
      <sheetName val="EMO Oil history"/>
      <sheetName val="EMO Gas history"/>
      <sheetName val="EMO Oil history (2)"/>
      <sheetName val="EMO Gas history (2)"/>
      <sheetName val="Oil to 2025 for EMO (2)"/>
      <sheetName val="Oil to 2030"/>
      <sheetName val="Gas to 2025 for EMO (2)"/>
      <sheetName val="Oil &amp; Gas history"/>
      <sheetName val="Oil &amp; Gas to 2025"/>
      <sheetName val="Oil &amp; Gas to 2050"/>
      <sheetName val="Oil &amp; Gas history (2)"/>
      <sheetName val="Oil &amp; Gas to 2050 (5) (3)"/>
      <sheetName val="Oil &amp; Gas to 2050 (5) (4)"/>
      <sheetName val="Oil &amp; Gas to 2050 (5) (5)"/>
      <sheetName val="Oil to 2050 (3)"/>
      <sheetName val="Oil to 2050 (2)"/>
      <sheetName val="Oil &amp; Gas to 2050 (2)"/>
      <sheetName val="Oil &amp; Gas to 2050 (5)"/>
      <sheetName val="Oil &amp; Gas to 2050 (7)"/>
      <sheetName val="Oil &amp; Gas to 2050 (10)"/>
      <sheetName val="Oil &amp; Gas to 2050 (5) (2)"/>
      <sheetName val="Oil &amp; Gas to 2050 (7) (2)"/>
      <sheetName val="Oil &amp; Gas to 2050 (10) (2)"/>
      <sheetName val="Oil"/>
      <sheetName val="Gas"/>
      <sheetName val="Oil (2)"/>
      <sheetName val="Oil SA 1"/>
      <sheetName val="Oil SA 2"/>
      <sheetName val="Oil SA 3"/>
      <sheetName val="Gas (2)"/>
      <sheetName val="Oil (3)"/>
      <sheetName val="Gas (3)"/>
      <sheetName val="Oil (4)"/>
      <sheetName val="Gas (4)"/>
      <sheetName val="Oil (5)"/>
      <sheetName val="Gas (5)"/>
      <sheetName val="boe"/>
      <sheetName val="Oil (6)"/>
      <sheetName val="Gas (6)"/>
      <sheetName val="Gas for National Grid"/>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Charts"/>
      <sheetName val="National Summary"/>
      <sheetName val="Class-Level Summary"/>
      <sheetName val="Area-Level Summary"/>
      <sheetName val="Risk Model Outputs"/>
      <sheetName val="LA CHARTS"/>
      <sheetName val="LA Summary"/>
      <sheetName val="UT Urban Rural"/>
      <sheetName val="LT Urban Rural"/>
      <sheetName val="Income excl Fees &amp; Charges"/>
      <sheetName val="Income Typ.Scenarios"/>
      <sheetName val="DSG"/>
      <sheetName val="Pupil Premium"/>
      <sheetName val="TFL General Grant"/>
      <sheetName val="TFL Investment Grant"/>
      <sheetName val="Metronet Grant"/>
      <sheetName val="HB Admin Grant"/>
      <sheetName val="Counter Terrorism Grant"/>
      <sheetName val="Police Revenue"/>
      <sheetName val="Rent Allowance Subsidy"/>
      <sheetName val="Non-HRA RR Subsidy"/>
      <sheetName val="HRA RR Subsidy"/>
      <sheetName val="Data 1415"/>
      <sheetName val="Education"/>
      <sheetName val="Children's Social Care"/>
      <sheetName val="Younger Adults' Social Care"/>
      <sheetName val="Older People's Social Care"/>
      <sheetName val="Public Health"/>
      <sheetName val="Highway Maintenance"/>
      <sheetName val="Street Lighting"/>
      <sheetName val="Parking"/>
      <sheetName val="Road Safety"/>
      <sheetName val="Concessionary Travel"/>
      <sheetName val="Public Transport"/>
      <sheetName val="Airports etc"/>
      <sheetName val="Housing Strategy"/>
      <sheetName val="Homelessness"/>
      <sheetName val="Housing Benefit"/>
      <sheetName val="Housing Benefit Admin"/>
      <sheetName val="Other Council Property"/>
      <sheetName val="Supporting People"/>
      <sheetName val="Other Welfare Services"/>
      <sheetName val="Archives"/>
      <sheetName val="Culture &amp; Heritage"/>
      <sheetName val="Recreation &amp; Sport"/>
      <sheetName val="Open Spaces"/>
      <sheetName val="Tourism"/>
      <sheetName val="Library Services"/>
      <sheetName val="Cemetery etc"/>
      <sheetName val="Trading Standards"/>
      <sheetName val="Water Safety"/>
      <sheetName val="Food Safety"/>
      <sheetName val="Env Protection"/>
      <sheetName val="Housing Standards"/>
      <sheetName val="H&amp;S"/>
      <sheetName val="Port Health"/>
      <sheetName val="Pest Control"/>
      <sheetName val="Public Conveniences"/>
      <sheetName val="Disease Control"/>
      <sheetName val="Licensing"/>
      <sheetName val="Crime Reduction"/>
      <sheetName val="Safety Services"/>
      <sheetName val="CCTV"/>
      <sheetName val="Flooding"/>
      <sheetName val="Land Drainage"/>
      <sheetName val="Coast Protection"/>
      <sheetName val="Ag &amp; Fish"/>
      <sheetName val="Street Cleansing"/>
      <sheetName val="Waste Collection"/>
      <sheetName val="Waste Disposal"/>
      <sheetName val="Trade Waste"/>
      <sheetName val="Recycling"/>
      <sheetName val="Waste Minimisation"/>
      <sheetName val="Climate Change Costs"/>
      <sheetName val="Building Control"/>
      <sheetName val="Development Control"/>
      <sheetName val="Planning Policy"/>
      <sheetName val="Environmental Iniatives"/>
      <sheetName val="RO5 LA Data 2013-14 (3)"/>
      <sheetName val="Economic Development"/>
      <sheetName val="Community Development"/>
      <sheetName val="Economic Research"/>
      <sheetName val="Business Support"/>
      <sheetName val="Police"/>
      <sheetName val="Fire &amp; Rescue"/>
      <sheetName val="Coroners Courts"/>
      <sheetName val="Other Courts"/>
      <sheetName val="Other Central Services"/>
      <sheetName val="Retirement"/>
      <sheetName val="Other Services"/>
      <sheetName val="Rent Allowance"/>
      <sheetName val="Non-HRA Rent Rebate"/>
      <sheetName val="HRA Rent Rebate"/>
      <sheetName val="Rent Rebate Subsidy"/>
      <sheetName val="HRA Contribution"/>
      <sheetName val="Parish Precept"/>
      <sheetName val="ITA Levy"/>
      <sheetName val="Waste Levy"/>
      <sheetName val="London Pension Fund Levy"/>
      <sheetName val="Other Levies"/>
      <sheetName val="External Trading Accounts"/>
      <sheetName val="Internal Trading Accounts"/>
      <sheetName val="External Trading Accounts - CF"/>
      <sheetName val="Internal Trading Accounts - CF"/>
      <sheetName val="Absences"/>
      <sheetName val="Adjustments"/>
      <sheetName val="CERA"/>
      <sheetName val="CERA (PH)"/>
      <sheetName val="Repayment"/>
      <sheetName val="Interest Payable"/>
      <sheetName val="Interest &amp; Investment Income"/>
      <sheetName val="Business Rates Supplement"/>
      <sheetName val="Other Reserves"/>
      <sheetName val="Unearmarked Reserves"/>
      <sheetName val="RS LA Data 2013-14 (1)"/>
      <sheetName val="RG LA Data 2013-14"/>
      <sheetName val="RO1 LA Data 2013-14"/>
      <sheetName val="RO2 LA Data 2013-14 (1)"/>
      <sheetName val="RO2 LA Data 2013-14 (2)"/>
      <sheetName val="RO2 LA Data 2013-14 (3)"/>
      <sheetName val="RO3 LA Data 2013-14 (1)"/>
      <sheetName val="RO3 LA Data 2013-14 (2)"/>
      <sheetName val="RO3 LA Data 2013-14 (3)"/>
      <sheetName val="RO4 LA Data 2013-14 (1)"/>
      <sheetName val="RO4 LA Data 2013-14 (2)"/>
      <sheetName val="RO4 LA Data 2013-14 (3)"/>
      <sheetName val="RO5 LA Data 2013-14 (1)"/>
      <sheetName val="RO5 LA Data 2013-14 (2)"/>
      <sheetName val="RO6 LA Data 2013-14 (1)"/>
      <sheetName val="RO6 LA Data 2013-14 (2)"/>
      <sheetName val="RO6 LA Data 2013-14 (3)"/>
      <sheetName val="RA LA Data 2014-15 (1)"/>
      <sheetName val="SG LA Data 2014-15"/>
      <sheetName val="OBR Budget 15 Table 1.1"/>
      <sheetName val="OBR Budget Table 1.6"/>
      <sheetName val="OBR Budget 15 Table 1.7 "/>
      <sheetName val="Population"/>
      <sheetName val="Road Miles"/>
      <sheetName val="Household Projections"/>
      <sheetName val="Council Taxbase"/>
      <sheetName val="Hh proj by dep kids"/>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cker"/>
      <sheetName val="Template"/>
      <sheetName val="LASTq"/>
      <sheetName val="LASTy"/>
      <sheetName val="CURRENTq"/>
      <sheetName val="CURRENTy"/>
      <sheetName val="C2.1"/>
      <sheetName val="C2.2"/>
      <sheetName val="C2.3"/>
      <sheetName val="C2.A"/>
      <sheetName val="T2.A"/>
      <sheetName val="C2.4"/>
      <sheetName val="C2.5"/>
      <sheetName val="T2.1"/>
      <sheetName val="T2.B"/>
      <sheetName val="C2.B"/>
      <sheetName val="T2.2"/>
      <sheetName val="T2.3"/>
      <sheetName val="C2.6"/>
      <sheetName val="C2.7"/>
      <sheetName val="C2.8"/>
      <sheetName val="C2.9"/>
      <sheetName val="T2.4"/>
      <sheetName val="C2.10"/>
      <sheetName val="C2.C"/>
      <sheetName val="C2.D"/>
      <sheetName val="T2.C"/>
      <sheetName val="C2.11"/>
      <sheetName val="C2.12"/>
      <sheetName val="C2.13"/>
      <sheetName val="C2.14"/>
      <sheetName val="C2.15"/>
      <sheetName val="C2.16"/>
      <sheetName val="C2.17"/>
      <sheetName val="T2.5"/>
      <sheetName val="T2.6"/>
      <sheetName val="T2.7"/>
      <sheetName val="T2.8"/>
      <sheetName val="T2.9"/>
      <sheetName val="T2.10"/>
      <sheetName val="xC2.C"/>
      <sheetName val="T2.Ax"/>
      <sheetName val="C2.5x"/>
      <sheetName val="C2.15x"/>
      <sheetName val="C2.15x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TKAI"/>
      <sheetName val="BGTKAI"/>
      <sheetName val="BGTKAI2"/>
      <sheetName val="RBKAI"/>
      <sheetName val="Wait Pen"/>
      <sheetName val="Date ref"/>
    </sheetNames>
    <sheetDataSet>
      <sheetData sheetId="0"/>
      <sheetData sheetId="1"/>
      <sheetData sheetId="2"/>
      <sheetData sheetId="3"/>
      <sheetData sheetId="4"/>
      <sheetData sheetId="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Chapter 1 Intro"/>
      <sheetName val="RAB Section"/>
      <sheetName val="Section 1 - Dept Resources"/>
      <sheetName val="1.1"/>
      <sheetName val="1.2"/>
      <sheetName val="1.3"/>
      <sheetName val="1.4"/>
      <sheetName val="1.5"/>
      <sheetName val="1.6"/>
      <sheetName val="1.7"/>
      <sheetName val="1.8"/>
      <sheetName val="Transparency Supplement"/>
      <sheetName val="Section 2 - Defence Inflation"/>
      <sheetName val="1.9a b"/>
      <sheetName val="1.9c d"/>
      <sheetName val="Section 3 - Industry"/>
      <sheetName val="1.10"/>
      <sheetName val="Chart to Table 1.10"/>
      <sheetName val="1.11"/>
      <sheetName val="Chart 1.12a"/>
      <sheetName val="Chart 1.12b &amp; c"/>
      <sheetName val="Chart 1.12d"/>
      <sheetName val="Charts 1.12 footnotes"/>
      <sheetName val="Section 4 - Trade"/>
      <sheetName val="1.13"/>
      <sheetName val="1.14"/>
      <sheetName val="Section 5 - Defence Contracts"/>
      <sheetName val="1.15"/>
      <sheetName val="1.16"/>
      <sheetName val="1.17"/>
      <sheetName val="1.17a"/>
      <sheetName val="Section 6 - Intnl Defence"/>
      <sheetName val="1.18"/>
      <sheetName val="1.19"/>
      <sheetName val="1.20"/>
      <sheetName val="Chart to 1.19 &amp; 1.20"/>
      <sheetName val="1.21"/>
      <sheetName val="Chart 1.22a"/>
      <sheetName val="Chart 1.22 b &amp; c"/>
      <sheetName val="Chart 1.22d and footnotes"/>
      <sheetName val="Version_Control14"/>
      <sheetName val="Chapter_1_Intro14"/>
      <sheetName val="RAB_Section14"/>
      <sheetName val="Section_1_-_Dept_Resources14"/>
      <sheetName val="1_127"/>
      <sheetName val="1_224"/>
      <sheetName val="1_314"/>
      <sheetName val="1_414"/>
      <sheetName val="1_514"/>
      <sheetName val="1_614"/>
      <sheetName val="1_714"/>
      <sheetName val="1_814"/>
      <sheetName val="Transparency_Supplement13"/>
      <sheetName val="Section_2_-_Defence_Inflation13"/>
      <sheetName val="1_9a_b13"/>
      <sheetName val="1_9c_d13"/>
      <sheetName val="Section_3_-_Industry13"/>
      <sheetName val="1_1013"/>
      <sheetName val="Chart_to_Table_1_1013"/>
      <sheetName val="1_1117"/>
      <sheetName val="Chart_1_12a13"/>
      <sheetName val="Chart_1_12b_&amp;_c13"/>
      <sheetName val="Chart_1_12d13"/>
      <sheetName val="Charts_1_12_footnotes13"/>
      <sheetName val="Section_4_-_Trade13"/>
      <sheetName val="1_1313"/>
      <sheetName val="1_1413"/>
      <sheetName val="Section_5_-_Defence_Contracts13"/>
      <sheetName val="1_1513"/>
      <sheetName val="1_1613"/>
      <sheetName val="1_1713"/>
      <sheetName val="1_17a13"/>
      <sheetName val="Section_6_-_Intnl_Defence13"/>
      <sheetName val="1_1813"/>
      <sheetName val="1_1913"/>
      <sheetName val="1_2013"/>
      <sheetName val="Chart_to_1_19_&amp;_1_2013"/>
      <sheetName val="1_2113"/>
      <sheetName val="Chart_1_22a13"/>
      <sheetName val="Chart_1_22_b_&amp;_c13"/>
      <sheetName val="Chart_1_22d_and_footnotes13"/>
      <sheetName val="Version_Control5"/>
      <sheetName val="Chapter_1_Intro5"/>
      <sheetName val="RAB_Section5"/>
      <sheetName val="Section_1_-_Dept_Resources5"/>
      <sheetName val="1_117"/>
      <sheetName val="1_26"/>
      <sheetName val="1_35"/>
      <sheetName val="1_45"/>
      <sheetName val="1_55"/>
      <sheetName val="1_65"/>
      <sheetName val="1_75"/>
      <sheetName val="1_85"/>
      <sheetName val="Transparency_Supplement5"/>
      <sheetName val="Section_2_-_Defence_Inflation5"/>
      <sheetName val="1_9a_b5"/>
      <sheetName val="1_9c_d5"/>
      <sheetName val="Section_3_-_Industry5"/>
      <sheetName val="1_105"/>
      <sheetName val="Chart_to_Table_1_105"/>
      <sheetName val="1_118"/>
      <sheetName val="Chart_1_12a5"/>
      <sheetName val="Chart_1_12b_&amp;_c5"/>
      <sheetName val="Chart_1_12d5"/>
      <sheetName val="Charts_1_12_footnotes5"/>
      <sheetName val="Section_4_-_Trade5"/>
      <sheetName val="1_135"/>
      <sheetName val="1_145"/>
      <sheetName val="Section_5_-_Defence_Contracts5"/>
      <sheetName val="1_155"/>
      <sheetName val="1_165"/>
      <sheetName val="1_175"/>
      <sheetName val="1_17a5"/>
      <sheetName val="Section_6_-_Intnl_Defence5"/>
      <sheetName val="1_185"/>
      <sheetName val="1_195"/>
      <sheetName val="1_205"/>
      <sheetName val="Chart_to_1_19_&amp;_1_205"/>
      <sheetName val="1_215"/>
      <sheetName val="Chart_1_22a5"/>
      <sheetName val="Chart_1_22_b_&amp;_c5"/>
      <sheetName val="Chart_1_22d_and_footnotes5"/>
      <sheetName val="Version_Control"/>
      <sheetName val="Chapter_1_Intro"/>
      <sheetName val="RAB_Section"/>
      <sheetName val="Section_1_-_Dept_Resources"/>
      <sheetName val="1_1"/>
      <sheetName val="1_2"/>
      <sheetName val="1_3"/>
      <sheetName val="1_4"/>
      <sheetName val="1_5"/>
      <sheetName val="1_6"/>
      <sheetName val="1_7"/>
      <sheetName val="1_8"/>
      <sheetName val="Transparency_Supplement"/>
      <sheetName val="Section_2_-_Defence_Inflation"/>
      <sheetName val="1_9a_b"/>
      <sheetName val="1_9c_d"/>
      <sheetName val="Section_3_-_Industry"/>
      <sheetName val="1_10"/>
      <sheetName val="Chart_to_Table_1_10"/>
      <sheetName val="1_11"/>
      <sheetName val="Chart_1_12a"/>
      <sheetName val="Chart_1_12b_&amp;_c"/>
      <sheetName val="Chart_1_12d"/>
      <sheetName val="Charts_1_12_footnotes"/>
      <sheetName val="Section_4_-_Trade"/>
      <sheetName val="1_13"/>
      <sheetName val="1_14"/>
      <sheetName val="Section_5_-_Defence_Contracts"/>
      <sheetName val="1_15"/>
      <sheetName val="1_16"/>
      <sheetName val="1_17"/>
      <sheetName val="1_17a"/>
      <sheetName val="Section_6_-_Intnl_Defence"/>
      <sheetName val="1_18"/>
      <sheetName val="1_19"/>
      <sheetName val="1_20"/>
      <sheetName val="Chart_to_1_19_&amp;_1_20"/>
      <sheetName val="1_21"/>
      <sheetName val="Chart_1_22a"/>
      <sheetName val="Chart_1_22_b_&amp;_c"/>
      <sheetName val="Chart_1_22d_and_footnotes"/>
      <sheetName val="Version_Control1"/>
      <sheetName val="Chapter_1_Intro1"/>
      <sheetName val="RAB_Section1"/>
      <sheetName val="Section_1_-_Dept_Resources1"/>
      <sheetName val="1_12"/>
      <sheetName val="1_22"/>
      <sheetName val="1_31"/>
      <sheetName val="1_41"/>
      <sheetName val="1_51"/>
      <sheetName val="1_61"/>
      <sheetName val="1_71"/>
      <sheetName val="1_81"/>
      <sheetName val="Transparency_Supplement1"/>
      <sheetName val="Section_2_-_Defence_Inflation1"/>
      <sheetName val="1_9a_b1"/>
      <sheetName val="1_9c_d1"/>
      <sheetName val="Section_3_-_Industry1"/>
      <sheetName val="1_101"/>
      <sheetName val="Chart_to_Table_1_101"/>
      <sheetName val="1_111"/>
      <sheetName val="Chart_1_12a1"/>
      <sheetName val="Chart_1_12b_&amp;_c1"/>
      <sheetName val="Chart_1_12d1"/>
      <sheetName val="Charts_1_12_footnotes1"/>
      <sheetName val="Section_4_-_Trade1"/>
      <sheetName val="1_131"/>
      <sheetName val="1_141"/>
      <sheetName val="Section_5_-_Defence_Contracts1"/>
      <sheetName val="1_151"/>
      <sheetName val="1_161"/>
      <sheetName val="1_171"/>
      <sheetName val="1_17a1"/>
      <sheetName val="Section_6_-_Intnl_Defence1"/>
      <sheetName val="1_181"/>
      <sheetName val="1_191"/>
      <sheetName val="1_201"/>
      <sheetName val="Chart_to_1_19_&amp;_1_201"/>
      <sheetName val="1_211"/>
      <sheetName val="Chart_1_22a1"/>
      <sheetName val="Chart_1_22_b_&amp;_c1"/>
      <sheetName val="Chart_1_22d_and_footnotes1"/>
      <sheetName val="Version_Control2"/>
      <sheetName val="Chapter_1_Intro2"/>
      <sheetName val="RAB_Section2"/>
      <sheetName val="Section_1_-_Dept_Resources2"/>
      <sheetName val="1_110"/>
      <sheetName val="1_23"/>
      <sheetName val="1_32"/>
      <sheetName val="1_42"/>
      <sheetName val="1_52"/>
      <sheetName val="1_62"/>
      <sheetName val="1_72"/>
      <sheetName val="1_82"/>
      <sheetName val="Transparency_Supplement2"/>
      <sheetName val="Section_2_-_Defence_Inflation2"/>
      <sheetName val="1_9a_b2"/>
      <sheetName val="1_9c_d2"/>
      <sheetName val="Section_3_-_Industry2"/>
      <sheetName val="1_102"/>
      <sheetName val="Chart_to_Table_1_102"/>
      <sheetName val="1_112"/>
      <sheetName val="Chart_1_12a2"/>
      <sheetName val="Chart_1_12b_&amp;_c2"/>
      <sheetName val="Chart_1_12d2"/>
      <sheetName val="Charts_1_12_footnotes2"/>
      <sheetName val="Section_4_-_Trade2"/>
      <sheetName val="1_132"/>
      <sheetName val="1_142"/>
      <sheetName val="Section_5_-_Defence_Contracts2"/>
      <sheetName val="1_152"/>
      <sheetName val="1_162"/>
      <sheetName val="1_172"/>
      <sheetName val="1_17a2"/>
      <sheetName val="Section_6_-_Intnl_Defence2"/>
      <sheetName val="1_182"/>
      <sheetName val="1_192"/>
      <sheetName val="1_202"/>
      <sheetName val="Chart_to_1_19_&amp;_1_202"/>
      <sheetName val="1_212"/>
      <sheetName val="Chart_1_22a2"/>
      <sheetName val="Chart_1_22_b_&amp;_c2"/>
      <sheetName val="Chart_1_22d_and_footnotes2"/>
      <sheetName val="Version_Control3"/>
      <sheetName val="Chapter_1_Intro3"/>
      <sheetName val="RAB_Section3"/>
      <sheetName val="Section_1_-_Dept_Resources3"/>
      <sheetName val="1_113"/>
      <sheetName val="1_24"/>
      <sheetName val="1_33"/>
      <sheetName val="1_43"/>
      <sheetName val="1_53"/>
      <sheetName val="1_63"/>
      <sheetName val="1_73"/>
      <sheetName val="1_83"/>
      <sheetName val="Transparency_Supplement3"/>
      <sheetName val="Section_2_-_Defence_Inflation3"/>
      <sheetName val="1_9a_b3"/>
      <sheetName val="1_9c_d3"/>
      <sheetName val="Section_3_-_Industry3"/>
      <sheetName val="1_103"/>
      <sheetName val="Chart_to_Table_1_103"/>
      <sheetName val="1_114"/>
      <sheetName val="Chart_1_12a3"/>
      <sheetName val="Chart_1_12b_&amp;_c3"/>
      <sheetName val="Chart_1_12d3"/>
      <sheetName val="Charts_1_12_footnotes3"/>
      <sheetName val="Section_4_-_Trade3"/>
      <sheetName val="1_133"/>
      <sheetName val="1_143"/>
      <sheetName val="Section_5_-_Defence_Contracts3"/>
      <sheetName val="1_153"/>
      <sheetName val="1_163"/>
      <sheetName val="1_173"/>
      <sheetName val="1_17a3"/>
      <sheetName val="Section_6_-_Intnl_Defence3"/>
      <sheetName val="1_183"/>
      <sheetName val="1_193"/>
      <sheetName val="1_203"/>
      <sheetName val="Chart_to_1_19_&amp;_1_203"/>
      <sheetName val="1_213"/>
      <sheetName val="Chart_1_22a3"/>
      <sheetName val="Chart_1_22_b_&amp;_c3"/>
      <sheetName val="Chart_1_22d_and_footnotes3"/>
      <sheetName val="Version_Control4"/>
      <sheetName val="Chapter_1_Intro4"/>
      <sheetName val="RAB_Section4"/>
      <sheetName val="Section_1_-_Dept_Resources4"/>
      <sheetName val="1_115"/>
      <sheetName val="1_25"/>
      <sheetName val="1_34"/>
      <sheetName val="1_44"/>
      <sheetName val="1_54"/>
      <sheetName val="1_64"/>
      <sheetName val="1_74"/>
      <sheetName val="1_84"/>
      <sheetName val="Transparency_Supplement4"/>
      <sheetName val="Section_2_-_Defence_Inflation4"/>
      <sheetName val="1_9a_b4"/>
      <sheetName val="1_9c_d4"/>
      <sheetName val="Section_3_-_Industry4"/>
      <sheetName val="1_104"/>
      <sheetName val="Chart_to_Table_1_104"/>
      <sheetName val="1_116"/>
      <sheetName val="Chart_1_12a4"/>
      <sheetName val="Chart_1_12b_&amp;_c4"/>
      <sheetName val="Chart_1_12d4"/>
      <sheetName val="Charts_1_12_footnotes4"/>
      <sheetName val="Section_4_-_Trade4"/>
      <sheetName val="1_134"/>
      <sheetName val="1_144"/>
      <sheetName val="Section_5_-_Defence_Contracts4"/>
      <sheetName val="1_154"/>
      <sheetName val="1_164"/>
      <sheetName val="1_174"/>
      <sheetName val="1_17a4"/>
      <sheetName val="Section_6_-_Intnl_Defence4"/>
      <sheetName val="1_184"/>
      <sheetName val="1_194"/>
      <sheetName val="1_204"/>
      <sheetName val="Chart_to_1_19_&amp;_1_204"/>
      <sheetName val="1_214"/>
      <sheetName val="Chart_1_22a4"/>
      <sheetName val="Chart_1_22_b_&amp;_c4"/>
      <sheetName val="Chart_1_22d_and_footnotes4"/>
      <sheetName val="Version_Control8"/>
      <sheetName val="Chapter_1_Intro8"/>
      <sheetName val="RAB_Section8"/>
      <sheetName val="Section_1_-_Dept_Resources8"/>
      <sheetName val="1_121"/>
      <sheetName val="1_29"/>
      <sheetName val="1_38"/>
      <sheetName val="1_48"/>
      <sheetName val="1_58"/>
      <sheetName val="1_68"/>
      <sheetName val="1_78"/>
      <sheetName val="1_88"/>
      <sheetName val="Transparency_Supplement8"/>
      <sheetName val="Section_2_-_Defence_Inflation8"/>
      <sheetName val="1_9a_b8"/>
      <sheetName val="1_9c_d8"/>
      <sheetName val="Section_3_-_Industry8"/>
      <sheetName val="1_108"/>
      <sheetName val="Chart_to_Table_1_108"/>
      <sheetName val="1_1112"/>
      <sheetName val="Chart_1_12a8"/>
      <sheetName val="Chart_1_12b_&amp;_c8"/>
      <sheetName val="Chart_1_12d8"/>
      <sheetName val="Charts_1_12_footnotes8"/>
      <sheetName val="Section_4_-_Trade8"/>
      <sheetName val="1_138"/>
      <sheetName val="1_148"/>
      <sheetName val="Section_5_-_Defence_Contracts8"/>
      <sheetName val="1_158"/>
      <sheetName val="1_168"/>
      <sheetName val="1_178"/>
      <sheetName val="1_17a8"/>
      <sheetName val="Section_6_-_Intnl_Defence8"/>
      <sheetName val="1_188"/>
      <sheetName val="1_198"/>
      <sheetName val="1_208"/>
      <sheetName val="Chart_to_1_19_&amp;_1_208"/>
      <sheetName val="1_218"/>
      <sheetName val="Chart_1_22a8"/>
      <sheetName val="Chart_1_22_b_&amp;_c8"/>
      <sheetName val="Chart_1_22d_and_footnotes8"/>
      <sheetName val="Version_Control6"/>
      <sheetName val="Chapter_1_Intro6"/>
      <sheetName val="RAB_Section6"/>
      <sheetName val="Section_1_-_Dept_Resources6"/>
      <sheetName val="1_119"/>
      <sheetName val="1_27"/>
      <sheetName val="1_36"/>
      <sheetName val="1_46"/>
      <sheetName val="1_56"/>
      <sheetName val="1_66"/>
      <sheetName val="1_76"/>
      <sheetName val="1_86"/>
      <sheetName val="Transparency_Supplement6"/>
      <sheetName val="Section_2_-_Defence_Inflation6"/>
      <sheetName val="1_9a_b6"/>
      <sheetName val="1_9c_d6"/>
      <sheetName val="Section_3_-_Industry6"/>
      <sheetName val="1_106"/>
      <sheetName val="Chart_to_Table_1_106"/>
      <sheetName val="1_1110"/>
      <sheetName val="Chart_1_12a6"/>
      <sheetName val="Chart_1_12b_&amp;_c6"/>
      <sheetName val="Chart_1_12d6"/>
      <sheetName val="Charts_1_12_footnotes6"/>
      <sheetName val="Section_4_-_Trade6"/>
      <sheetName val="1_136"/>
      <sheetName val="1_146"/>
      <sheetName val="Section_5_-_Defence_Contracts6"/>
      <sheetName val="1_156"/>
      <sheetName val="1_166"/>
      <sheetName val="1_176"/>
      <sheetName val="1_17a6"/>
      <sheetName val="Section_6_-_Intnl_Defence6"/>
      <sheetName val="1_186"/>
      <sheetName val="1_196"/>
      <sheetName val="1_206"/>
      <sheetName val="Chart_to_1_19_&amp;_1_206"/>
      <sheetName val="1_216"/>
      <sheetName val="Chart_1_22a6"/>
      <sheetName val="Chart_1_22_b_&amp;_c6"/>
      <sheetName val="Chart_1_22d_and_footnotes6"/>
      <sheetName val="Version_Control7"/>
      <sheetName val="Chapter_1_Intro7"/>
      <sheetName val="RAB_Section7"/>
      <sheetName val="Section_1_-_Dept_Resources7"/>
      <sheetName val="1_120"/>
      <sheetName val="1_28"/>
      <sheetName val="1_37"/>
      <sheetName val="1_47"/>
      <sheetName val="1_57"/>
      <sheetName val="1_67"/>
      <sheetName val="1_77"/>
      <sheetName val="1_87"/>
      <sheetName val="Transparency_Supplement7"/>
      <sheetName val="Section_2_-_Defence_Inflation7"/>
      <sheetName val="1_9a_b7"/>
      <sheetName val="1_9c_d7"/>
      <sheetName val="Section_3_-_Industry7"/>
      <sheetName val="1_107"/>
      <sheetName val="Chart_to_Table_1_107"/>
      <sheetName val="1_1111"/>
      <sheetName val="Chart_1_12a7"/>
      <sheetName val="Chart_1_12b_&amp;_c7"/>
      <sheetName val="Chart_1_12d7"/>
      <sheetName val="Charts_1_12_footnotes7"/>
      <sheetName val="Section_4_-_Trade7"/>
      <sheetName val="1_137"/>
      <sheetName val="1_147"/>
      <sheetName val="Section_5_-_Defence_Contracts7"/>
      <sheetName val="1_157"/>
      <sheetName val="1_167"/>
      <sheetName val="1_177"/>
      <sheetName val="1_17a7"/>
      <sheetName val="Section_6_-_Intnl_Defence7"/>
      <sheetName val="1_187"/>
      <sheetName val="1_197"/>
      <sheetName val="1_207"/>
      <sheetName val="Chart_to_1_19_&amp;_1_207"/>
      <sheetName val="1_217"/>
      <sheetName val="Chart_1_22a7"/>
      <sheetName val="Chart_1_22_b_&amp;_c7"/>
      <sheetName val="Chart_1_22d_and_footnotes7"/>
      <sheetName val="Version_Control12"/>
      <sheetName val="Chapter_1_Intro12"/>
      <sheetName val="RAB_Section12"/>
      <sheetName val="Section_1_-_Dept_Resources12"/>
      <sheetName val="1_125"/>
      <sheetName val="1_222"/>
      <sheetName val="1_312"/>
      <sheetName val="1_412"/>
      <sheetName val="1_512"/>
      <sheetName val="1_612"/>
      <sheetName val="1_712"/>
      <sheetName val="1_812"/>
      <sheetName val="Transparency_Supplement12"/>
      <sheetName val="Section_2_-_Defence_Inflation12"/>
      <sheetName val="1_9a_b12"/>
      <sheetName val="1_9c_d12"/>
      <sheetName val="Section_3_-_Industry12"/>
      <sheetName val="1_1012"/>
      <sheetName val="Chart_to_Table_1_1012"/>
      <sheetName val="1_1116"/>
      <sheetName val="Chart_1_12a12"/>
      <sheetName val="Chart_1_12b_&amp;_c12"/>
      <sheetName val="Chart_1_12d12"/>
      <sheetName val="Charts_1_12_footnotes12"/>
      <sheetName val="Section_4_-_Trade12"/>
      <sheetName val="1_1312"/>
      <sheetName val="1_1412"/>
      <sheetName val="Section_5_-_Defence_Contracts12"/>
      <sheetName val="1_1512"/>
      <sheetName val="1_1612"/>
      <sheetName val="1_1712"/>
      <sheetName val="1_17a12"/>
      <sheetName val="Section_6_-_Intnl_Defence12"/>
      <sheetName val="1_1812"/>
      <sheetName val="1_1912"/>
      <sheetName val="1_2012"/>
      <sheetName val="Chart_to_1_19_&amp;_1_2012"/>
      <sheetName val="1_2112"/>
      <sheetName val="Chart_1_22a12"/>
      <sheetName val="Chart_1_22_b_&amp;_c12"/>
      <sheetName val="Chart_1_22d_and_footnotes12"/>
      <sheetName val="Version_Control9"/>
      <sheetName val="Chapter_1_Intro9"/>
      <sheetName val="RAB_Section9"/>
      <sheetName val="Section_1_-_Dept_Resources9"/>
      <sheetName val="1_122"/>
      <sheetName val="1_210"/>
      <sheetName val="1_39"/>
      <sheetName val="1_49"/>
      <sheetName val="1_59"/>
      <sheetName val="1_69"/>
      <sheetName val="1_79"/>
      <sheetName val="1_89"/>
      <sheetName val="Transparency_Supplement9"/>
      <sheetName val="Section_2_-_Defence_Inflation9"/>
      <sheetName val="1_9a_b9"/>
      <sheetName val="1_9c_d9"/>
      <sheetName val="Section_3_-_Industry9"/>
      <sheetName val="1_109"/>
      <sheetName val="Chart_to_Table_1_109"/>
      <sheetName val="1_1113"/>
      <sheetName val="Chart_1_12a9"/>
      <sheetName val="Chart_1_12b_&amp;_c9"/>
      <sheetName val="Chart_1_12d9"/>
      <sheetName val="Charts_1_12_footnotes9"/>
      <sheetName val="Section_4_-_Trade9"/>
      <sheetName val="1_139"/>
      <sheetName val="1_149"/>
      <sheetName val="Section_5_-_Defence_Contracts9"/>
      <sheetName val="1_159"/>
      <sheetName val="1_169"/>
      <sheetName val="1_179"/>
      <sheetName val="1_17a9"/>
      <sheetName val="Section_6_-_Intnl_Defence9"/>
      <sheetName val="1_189"/>
      <sheetName val="1_199"/>
      <sheetName val="1_209"/>
      <sheetName val="Chart_to_1_19_&amp;_1_209"/>
      <sheetName val="1_219"/>
      <sheetName val="Chart_1_22a9"/>
      <sheetName val="Chart_1_22_b_&amp;_c9"/>
      <sheetName val="Chart_1_22d_and_footnotes9"/>
      <sheetName val="Version_Control10"/>
      <sheetName val="Chapter_1_Intro10"/>
      <sheetName val="RAB_Section10"/>
      <sheetName val="Section_1_-_Dept_Resources10"/>
      <sheetName val="1_123"/>
      <sheetName val="1_220"/>
      <sheetName val="1_310"/>
      <sheetName val="1_410"/>
      <sheetName val="1_510"/>
      <sheetName val="1_610"/>
      <sheetName val="1_710"/>
      <sheetName val="1_810"/>
      <sheetName val="Transparency_Supplement10"/>
      <sheetName val="Section_2_-_Defence_Inflation10"/>
      <sheetName val="1_9a_b10"/>
      <sheetName val="1_9c_d10"/>
      <sheetName val="Section_3_-_Industry10"/>
      <sheetName val="1_1010"/>
      <sheetName val="Chart_to_Table_1_1010"/>
      <sheetName val="1_1114"/>
      <sheetName val="Chart_1_12a10"/>
      <sheetName val="Chart_1_12b_&amp;_c10"/>
      <sheetName val="Chart_1_12d10"/>
      <sheetName val="Charts_1_12_footnotes10"/>
      <sheetName val="Section_4_-_Trade10"/>
      <sheetName val="1_1310"/>
      <sheetName val="1_1410"/>
      <sheetName val="Section_5_-_Defence_Contracts10"/>
      <sheetName val="1_1510"/>
      <sheetName val="1_1610"/>
      <sheetName val="1_1710"/>
      <sheetName val="1_17a10"/>
      <sheetName val="Section_6_-_Intnl_Defence10"/>
      <sheetName val="1_1810"/>
      <sheetName val="1_1910"/>
      <sheetName val="1_2010"/>
      <sheetName val="Chart_to_1_19_&amp;_1_2010"/>
      <sheetName val="1_2110"/>
      <sheetName val="Chart_1_22a10"/>
      <sheetName val="Chart_1_22_b_&amp;_c10"/>
      <sheetName val="Chart_1_22d_and_footnotes10"/>
      <sheetName val="Version_Control11"/>
      <sheetName val="Chapter_1_Intro11"/>
      <sheetName val="RAB_Section11"/>
      <sheetName val="Section_1_-_Dept_Resources11"/>
      <sheetName val="1_124"/>
      <sheetName val="1_221"/>
      <sheetName val="1_311"/>
      <sheetName val="1_411"/>
      <sheetName val="1_511"/>
      <sheetName val="1_611"/>
      <sheetName val="1_711"/>
      <sheetName val="1_811"/>
      <sheetName val="Version_Control13"/>
      <sheetName val="Chapter_1_Intro13"/>
      <sheetName val="RAB_Section13"/>
      <sheetName val="Section_1_-_Dept_Resources13"/>
      <sheetName val="1_126"/>
      <sheetName val="1_223"/>
      <sheetName val="1_313"/>
      <sheetName val="1_413"/>
      <sheetName val="1_513"/>
      <sheetName val="1_613"/>
      <sheetName val="1_713"/>
      <sheetName val="1_813"/>
      <sheetName val="Transparency_Supplement11"/>
      <sheetName val="Section_2_-_Defence_Inflation11"/>
      <sheetName val="1_9a_b11"/>
      <sheetName val="1_9c_d11"/>
      <sheetName val="Section_3_-_Industry11"/>
      <sheetName val="1_1011"/>
      <sheetName val="Chart_to_Table_1_1011"/>
      <sheetName val="1_1115"/>
      <sheetName val="Chart_1_12a11"/>
      <sheetName val="Chart_1_12b_&amp;_c11"/>
      <sheetName val="Chart_1_12d11"/>
      <sheetName val="Charts_1_12_footnotes11"/>
      <sheetName val="Section_4_-_Trade11"/>
      <sheetName val="1_1311"/>
      <sheetName val="1_1411"/>
      <sheetName val="Section_5_-_Defence_Contracts11"/>
      <sheetName val="1_1511"/>
      <sheetName val="1_1611"/>
      <sheetName val="1_1711"/>
      <sheetName val="1_17a11"/>
      <sheetName val="Section_6_-_Intnl_Defence11"/>
      <sheetName val="1_1811"/>
      <sheetName val="1_1911"/>
      <sheetName val="1_2011"/>
      <sheetName val="Chart_to_1_19_&amp;_1_2011"/>
      <sheetName val="1_2111"/>
      <sheetName val="Chart_1_22a11"/>
      <sheetName val="Chart_1_22_b_&amp;_c11"/>
      <sheetName val="Chart_1_22d_and_footnotes11"/>
      <sheetName val="Version_Control17"/>
      <sheetName val="Chapter_1_Intro17"/>
      <sheetName val="RAB_Section17"/>
      <sheetName val="Section_1_-_Dept_Resources17"/>
      <sheetName val="1_130"/>
      <sheetName val="1_227"/>
      <sheetName val="1_317"/>
      <sheetName val="1_417"/>
      <sheetName val="1_517"/>
      <sheetName val="1_617"/>
      <sheetName val="1_717"/>
      <sheetName val="1_817"/>
      <sheetName val="Transparency_Supplement17"/>
      <sheetName val="Section_2_-_Defence_Inflation17"/>
      <sheetName val="1_9a_b17"/>
      <sheetName val="1_9c_d17"/>
      <sheetName val="Section_3_-_Industry17"/>
      <sheetName val="1_1017"/>
      <sheetName val="Chart_to_Table_1_1017"/>
      <sheetName val="1_1121"/>
      <sheetName val="Chart_1_12a17"/>
      <sheetName val="Chart_1_12b_&amp;_c17"/>
      <sheetName val="Chart_1_12d17"/>
      <sheetName val="Charts_1_12_footnotes17"/>
      <sheetName val="Section_4_-_Trade17"/>
      <sheetName val="1_1317"/>
      <sheetName val="1_1417"/>
      <sheetName val="Section_5_-_Defence_Contracts17"/>
      <sheetName val="1_1517"/>
      <sheetName val="1_1617"/>
      <sheetName val="1_1717"/>
      <sheetName val="1_17a17"/>
      <sheetName val="Section_6_-_Intnl_Defence17"/>
      <sheetName val="1_1817"/>
      <sheetName val="1_1917"/>
      <sheetName val="1_2017"/>
      <sheetName val="Chart_to_1_19_&amp;_1_2017"/>
      <sheetName val="1_2117"/>
      <sheetName val="Chart_1_22a17"/>
      <sheetName val="Chart_1_22_b_&amp;_c17"/>
      <sheetName val="Chart_1_22d_and_footnotes17"/>
      <sheetName val="Transparency_Supplement14"/>
      <sheetName val="Section_2_-_Defence_Inflation14"/>
      <sheetName val="1_9a_b14"/>
      <sheetName val="1_9c_d14"/>
      <sheetName val="Section_3_-_Industry14"/>
      <sheetName val="1_1014"/>
      <sheetName val="Chart_to_Table_1_1014"/>
      <sheetName val="1_1118"/>
      <sheetName val="Chart_1_12a14"/>
      <sheetName val="Chart_1_12b_&amp;_c14"/>
      <sheetName val="Chart_1_12d14"/>
      <sheetName val="Charts_1_12_footnotes14"/>
      <sheetName val="Section_4_-_Trade14"/>
      <sheetName val="1_1314"/>
      <sheetName val="1_1414"/>
      <sheetName val="Section_5_-_Defence_Contracts14"/>
      <sheetName val="1_1514"/>
      <sheetName val="1_1614"/>
      <sheetName val="1_1714"/>
      <sheetName val="1_17a14"/>
      <sheetName val="Section_6_-_Intnl_Defence14"/>
      <sheetName val="1_1814"/>
      <sheetName val="1_1914"/>
      <sheetName val="1_2014"/>
      <sheetName val="Chart_to_1_19_&amp;_1_2014"/>
      <sheetName val="1_2114"/>
      <sheetName val="Chart_1_22a14"/>
      <sheetName val="Chart_1_22_b_&amp;_c14"/>
      <sheetName val="Chart_1_22d_and_footnotes14"/>
      <sheetName val="Version_Control15"/>
      <sheetName val="Chapter_1_Intro15"/>
      <sheetName val="RAB_Section15"/>
      <sheetName val="Section_1_-_Dept_Resources15"/>
      <sheetName val="1_128"/>
      <sheetName val="1_225"/>
      <sheetName val="1_315"/>
      <sheetName val="1_415"/>
      <sheetName val="1_515"/>
      <sheetName val="1_615"/>
      <sheetName val="1_715"/>
      <sheetName val="1_815"/>
      <sheetName val="Transparency_Supplement15"/>
      <sheetName val="Section_2_-_Defence_Inflation15"/>
      <sheetName val="1_9a_b15"/>
      <sheetName val="1_9c_d15"/>
      <sheetName val="Section_3_-_Industry15"/>
      <sheetName val="1_1015"/>
      <sheetName val="Chart_to_Table_1_1015"/>
      <sheetName val="1_1119"/>
      <sheetName val="Chart_1_12a15"/>
      <sheetName val="Chart_1_12b_&amp;_c15"/>
      <sheetName val="Chart_1_12d15"/>
      <sheetName val="Charts_1_12_footnotes15"/>
      <sheetName val="Section_4_-_Trade15"/>
      <sheetName val="1_1315"/>
      <sheetName val="1_1415"/>
      <sheetName val="Section_5_-_Defence_Contracts15"/>
      <sheetName val="1_1515"/>
      <sheetName val="1_1615"/>
      <sheetName val="1_1715"/>
      <sheetName val="1_17a15"/>
      <sheetName val="Section_6_-_Intnl_Defence15"/>
      <sheetName val="1_1815"/>
      <sheetName val="1_1915"/>
      <sheetName val="1_2015"/>
      <sheetName val="Chart_to_1_19_&amp;_1_2015"/>
      <sheetName val="1_2115"/>
      <sheetName val="Chart_1_22a15"/>
      <sheetName val="Chart_1_22_b_&amp;_c15"/>
      <sheetName val="Chart_1_22d_and_footnotes15"/>
      <sheetName val="Version_Control16"/>
      <sheetName val="Chapter_1_Intro16"/>
      <sheetName val="RAB_Section16"/>
      <sheetName val="Section_1_-_Dept_Resources16"/>
      <sheetName val="1_129"/>
      <sheetName val="1_226"/>
      <sheetName val="1_316"/>
      <sheetName val="1_416"/>
      <sheetName val="1_516"/>
      <sheetName val="1_616"/>
      <sheetName val="1_716"/>
      <sheetName val="1_816"/>
      <sheetName val="Transparency_Supplement16"/>
      <sheetName val="Section_2_-_Defence_Inflation16"/>
      <sheetName val="1_9a_b16"/>
      <sheetName val="1_9c_d16"/>
      <sheetName val="Section_3_-_Industry16"/>
      <sheetName val="1_1016"/>
      <sheetName val="Chart_to_Table_1_1016"/>
      <sheetName val="1_1120"/>
      <sheetName val="Chart_1_12a16"/>
      <sheetName val="Chart_1_12b_&amp;_c16"/>
      <sheetName val="Chart_1_12d16"/>
      <sheetName val="Charts_1_12_footnotes16"/>
      <sheetName val="Section_4_-_Trade16"/>
      <sheetName val="1_1316"/>
      <sheetName val="1_1416"/>
      <sheetName val="Section_5_-_Defence_Contracts16"/>
      <sheetName val="1_1516"/>
      <sheetName val="1_1616"/>
      <sheetName val="1_1716"/>
      <sheetName val="1_17a16"/>
      <sheetName val="Section_6_-_Intnl_Defence16"/>
      <sheetName val="1_1816"/>
      <sheetName val="1_1916"/>
      <sheetName val="1_2016"/>
      <sheetName val="Chart_to_1_19_&amp;_1_2016"/>
      <sheetName val="1_2116"/>
      <sheetName val="Chart_1_22a16"/>
      <sheetName val="Chart_1_22_b_&amp;_c16"/>
      <sheetName val="Chart_1_22d_and_footnotes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KI LA Data"/>
      <sheetName val="KI Local Authority Dropdown"/>
      <sheetName val="KI 2016-17"/>
      <sheetName val="KI 2017-18"/>
      <sheetName val="KI 2018-19"/>
      <sheetName val="KI 2019-20"/>
      <sheetName val="Core Spending Power - Summary"/>
      <sheetName val="per Dwelling"/>
      <sheetName val="Core Spending Power - detail"/>
      <sheetName val="Change over the SR"/>
      <sheetName val="2016-17 (SoS)"/>
      <sheetName val="2017-18 (SoS)"/>
      <sheetName val="2016-17"/>
      <sheetName val="2017-18"/>
      <sheetName val="2018-19"/>
      <sheetName val="2019-20"/>
      <sheetName val="Area Spending Power"/>
      <sheetName val="SoS cribsheet"/>
      <sheetName val="Changes on provisional 1617"/>
      <sheetName val="Changes on provisional 1718"/>
      <sheetName val="LA Data"/>
      <sheetName val="25112015 deflator update"/>
      <sheetName val="PHG assumptions"/>
      <sheetName val="for briefing pack"/>
      <sheetName val="HoC table"/>
      <sheetName val="HoC table (v2)"/>
      <sheetName val="Visible Lines - Summary"/>
      <sheetName val="2016-17 (visible)"/>
      <sheetName val="2017-18 (visible)"/>
      <sheetName val="2018-19 (visible)"/>
      <sheetName val="2019-20 (visible)"/>
      <sheetName val="NHB"/>
      <sheetName val="Transition Grant"/>
      <sheetName val="SF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All changes"/>
      <sheetName val="Grand totals"/>
      <sheetName val="RPI RP underpin"/>
      <sheetName val="UE 1"/>
      <sheetName val="UE 2"/>
      <sheetName val="UE 3"/>
      <sheetName val="UE 4"/>
      <sheetName val="UE 5"/>
      <sheetName val="AEcurrent"/>
      <sheetName val="AE 1"/>
      <sheetName val="AE 2"/>
      <sheetName val="AE 3"/>
      <sheetName val="AE 4"/>
      <sheetName val="RPI (uprating) 1"/>
      <sheetName val="RPI (uprating) 2"/>
      <sheetName val="RPI (uprating) 3"/>
      <sheetName val="RPI (uprating) 4"/>
      <sheetName val="RPI (rent) current"/>
      <sheetName val="RPI (rent) 1"/>
      <sheetName val="RPI (rent) 2"/>
      <sheetName val="RPI (rent) 3"/>
      <sheetName val="RPI (rent) 4"/>
      <sheetName val="ROSSI 1"/>
      <sheetName val="ROSSI 2"/>
      <sheetName val="ROSSI 3"/>
      <sheetName val="ROSSI 4"/>
      <sheetName val="Interest rates"/>
      <sheetName val="GDPcurrent"/>
      <sheetName val="GDP 1"/>
      <sheetName val="GDP 2"/>
      <sheetName val="GDP 3"/>
      <sheetName val="GDP 4"/>
      <sheetName val="CTB"/>
      <sheetName val="UE total"/>
      <sheetName val="AE total"/>
      <sheetName val="RPI total "/>
      <sheetName val="ROSSI total"/>
      <sheetName val="GDP total"/>
      <sheetName val="Neg UE on HB 1"/>
      <sheetName val="Neg UE on HB 2 "/>
      <sheetName val="Neg UE on HB 3"/>
      <sheetName val="Neg UE on HB 4"/>
      <sheetName val="Table 13 _ Earn Uprating_Pens"/>
      <sheetName val="Table14a (EEs)_HB_change"/>
      <sheetName val="Table14b(EEs)_HB_change"/>
      <sheetName val="Table14c(EEs)_HB_change"/>
      <sheetName val="Table14d(EEs)_HB_chan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accounts"/>
      <sheetName val="Consolidation adjusts"/>
      <sheetName val="VOA"/>
      <sheetName val="POLAR"/>
      <sheetName val="Core Dept"/>
      <sheetName val="Core Dept BALANCES 00-01"/>
      <sheetName val="Sheet1"/>
      <sheetName val="Contents"/>
      <sheetName val="Nominal Descriptions"/>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2005 Net Forecast"/>
      <sheetName val="MA Budget 2005 Amendment"/>
      <sheetName val="JSA Budget 2005 Amendment"/>
      <sheetName val="IDB Budget 2005 Correction"/>
      <sheetName val="65+ Payment Adjustment"/>
      <sheetName val="CPS Savings - Budget 2005 "/>
      <sheetName val="SDA, BB(B&amp;AP) &amp; JSA(IB) ofwhich"/>
      <sheetName val="Remove transfer to ODPM"/>
      <sheetName val="Remove Bud05 CSA Recoveries"/>
      <sheetName val="Remove Bud05 Compensation Recs"/>
      <sheetName val="Remove Bud05 OCS items"/>
      <sheetName val="Bdget05 Forecast+ Adjustments"/>
      <sheetName val="Re-forecast benefits"/>
      <sheetName val="CPS Savings - PBR 05"/>
      <sheetName val="Re-forecast + CPS Savings PBR05"/>
      <sheetName val="AYLs re-forecast benefits +CPS "/>
      <sheetName val="Linking (re-forecast benefits)"/>
      <sheetName val="Linking (other benefits)"/>
      <sheetName val="Linked Initial Forecast"/>
      <sheetName val="Initial TEAs - 2 August 2005"/>
      <sheetName val="CSA Recoveries"/>
      <sheetName val="Compensation Recoveries"/>
      <sheetName val="Operating Cost Items"/>
      <sheetName val="Initial Forecast - 19 Sept 2005"/>
      <sheetName val="Latest Forecast"/>
      <sheetName val="Variance to Budget 2005"/>
      <sheetName val="Blank Pro-forma"/>
      <sheetName val="RPI RP underpin"/>
      <sheetName val="HIS19FIN(A)"/>
      <sheetName val="Budget_2005_Net_Forecast6"/>
      <sheetName val="MA_Budget_2005_Amendment6"/>
      <sheetName val="JSA_Budget_2005_Amendment6"/>
      <sheetName val="IDB_Budget_2005_Correction6"/>
      <sheetName val="65+_Payment_Adjustment6"/>
      <sheetName val="CPS_Savings_-_Budget_2005_6"/>
      <sheetName val="SDA,_BB(B&amp;AP)_&amp;_JSA(IB)_ofwhic6"/>
      <sheetName val="Remove_transfer_to_ODPM6"/>
      <sheetName val="Remove_Bud05_CSA_Recoveries6"/>
      <sheetName val="Remove_Bud05_Compensation_Recs6"/>
      <sheetName val="Remove_Bud05_OCS_items6"/>
      <sheetName val="Bdget05_Forecast+_Adjustments6"/>
      <sheetName val="Re-forecast_benefits6"/>
      <sheetName val="CPS_Savings_-_PBR_056"/>
      <sheetName val="Re-forecast_+_CPS_Savings_PBR07"/>
      <sheetName val="AYLs_re-forecast_benefits_+CPS6"/>
      <sheetName val="Linking_(re-forecast_benefits)6"/>
      <sheetName val="Linking_(other_benefits)6"/>
      <sheetName val="Linked_Initial_Forecast6"/>
      <sheetName val="Initial_TEAs_-_2_August_20056"/>
      <sheetName val="CSA_Recoveries6"/>
      <sheetName val="Compensation_Recoveries6"/>
      <sheetName val="Operating_Cost_Items6"/>
      <sheetName val="Initial_Forecast_-_19_Sept_2007"/>
      <sheetName val="Latest_Forecast6"/>
      <sheetName val="Variance_to_Budget_20056"/>
      <sheetName val="Blank_Pro-forma6"/>
      <sheetName val="RPI_RP_underpin4"/>
      <sheetName val="Budget_2005_Net_Forecast1"/>
      <sheetName val="MA_Budget_2005_Amendment1"/>
      <sheetName val="JSA_Budget_2005_Amendment1"/>
      <sheetName val="IDB_Budget_2005_Correction1"/>
      <sheetName val="65+_Payment_Adjustment1"/>
      <sheetName val="CPS_Savings_-_Budget_2005_1"/>
      <sheetName val="SDA,_BB(B&amp;AP)_&amp;_JSA(IB)_ofwhic1"/>
      <sheetName val="Remove_transfer_to_ODPM1"/>
      <sheetName val="Remove_Bud05_CSA_Recoveries1"/>
      <sheetName val="Remove_Bud05_Compensation_Recs1"/>
      <sheetName val="Remove_Bud05_OCS_items1"/>
      <sheetName val="Bdget05_Forecast+_Adjustments1"/>
      <sheetName val="Re-forecast_benefits1"/>
      <sheetName val="CPS_Savings_-_PBR_051"/>
      <sheetName val="Re-forecast_+_CPS_Savings_PBR01"/>
      <sheetName val="AYLs_re-forecast_benefits_+CPS1"/>
      <sheetName val="Linking_(re-forecast_benefits)1"/>
      <sheetName val="Linking_(other_benefits)1"/>
      <sheetName val="Linked_Initial_Forecast1"/>
      <sheetName val="Initial_TEAs_-_2_August_20051"/>
      <sheetName val="CSA_Recoveries1"/>
      <sheetName val="Compensation_Recoveries1"/>
      <sheetName val="Operating_Cost_Items1"/>
      <sheetName val="Initial_Forecast_-_19_Sept_2001"/>
      <sheetName val="Latest_Forecast1"/>
      <sheetName val="Variance_to_Budget_20051"/>
      <sheetName val="Blank_Pro-forma1"/>
      <sheetName val="Budget_2005_Net_Forecast"/>
      <sheetName val="MA_Budget_2005_Amendment"/>
      <sheetName val="JSA_Budget_2005_Amendment"/>
      <sheetName val="IDB_Budget_2005_Correction"/>
      <sheetName val="65+_Payment_Adjustment"/>
      <sheetName val="CPS_Savings_-_Budget_2005_"/>
      <sheetName val="SDA,_BB(B&amp;AP)_&amp;_JSA(IB)_ofwhich"/>
      <sheetName val="Remove_transfer_to_ODPM"/>
      <sheetName val="Remove_Bud05_CSA_Recoveries"/>
      <sheetName val="Remove_Bud05_Compensation_Recs"/>
      <sheetName val="Remove_Bud05_OCS_items"/>
      <sheetName val="Bdget05_Forecast+_Adjustments"/>
      <sheetName val="Re-forecast_benefits"/>
      <sheetName val="CPS_Savings_-_PBR_05"/>
      <sheetName val="Re-forecast_+_CPS_Savings_PBR05"/>
      <sheetName val="AYLs_re-forecast_benefits_+CPS_"/>
      <sheetName val="Linking_(re-forecast_benefits)"/>
      <sheetName val="Linking_(other_benefits)"/>
      <sheetName val="Linked_Initial_Forecast"/>
      <sheetName val="Initial_TEAs_-_2_August_2005"/>
      <sheetName val="CSA_Recoveries"/>
      <sheetName val="Compensation_Recoveries"/>
      <sheetName val="Operating_Cost_Items"/>
      <sheetName val="Initial_Forecast_-_19_Sept_2005"/>
      <sheetName val="Latest_Forecast"/>
      <sheetName val="Variance_to_Budget_2005"/>
      <sheetName val="Blank_Pro-forma"/>
      <sheetName val="Budget_2005_Net_Forecast2"/>
      <sheetName val="MA_Budget_2005_Amendment2"/>
      <sheetName val="JSA_Budget_2005_Amendment2"/>
      <sheetName val="IDB_Budget_2005_Correction2"/>
      <sheetName val="65+_Payment_Adjustment2"/>
      <sheetName val="CPS_Savings_-_Budget_2005_2"/>
      <sheetName val="SDA,_BB(B&amp;AP)_&amp;_JSA(IB)_ofwhic2"/>
      <sheetName val="Remove_transfer_to_ODPM2"/>
      <sheetName val="Remove_Bud05_CSA_Recoveries2"/>
      <sheetName val="Remove_Bud05_Compensation_Recs2"/>
      <sheetName val="Remove_Bud05_OCS_items2"/>
      <sheetName val="Bdget05_Forecast+_Adjustments2"/>
      <sheetName val="Re-forecast_benefits2"/>
      <sheetName val="CPS_Savings_-_PBR_052"/>
      <sheetName val="Re-forecast_+_CPS_Savings_PBR02"/>
      <sheetName val="AYLs_re-forecast_benefits_+CPS2"/>
      <sheetName val="Linking_(re-forecast_benefits)2"/>
      <sheetName val="Linking_(other_benefits)2"/>
      <sheetName val="Linked_Initial_Forecast2"/>
      <sheetName val="Initial_TEAs_-_2_August_20052"/>
      <sheetName val="CSA_Recoveries2"/>
      <sheetName val="Compensation_Recoveries2"/>
      <sheetName val="Operating_Cost_Items2"/>
      <sheetName val="Initial_Forecast_-_19_Sept_2002"/>
      <sheetName val="Latest_Forecast2"/>
      <sheetName val="Variance_to_Budget_20052"/>
      <sheetName val="Blank_Pro-forma2"/>
      <sheetName val="RPI_RP_underpin1"/>
      <sheetName val="DFF_Account3"/>
      <sheetName val="Budget_2005_Net_Forecast5"/>
      <sheetName val="MA_Budget_2005_Amendment5"/>
      <sheetName val="JSA_Budget_2005_Amendment5"/>
      <sheetName val="IDB_Budget_2005_Correction5"/>
      <sheetName val="65+_Payment_Adjustment5"/>
      <sheetName val="CPS_Savings_-_Budget_2005_5"/>
      <sheetName val="SDA,_BB(B&amp;AP)_&amp;_JSA(IB)_ofwhic5"/>
      <sheetName val="Remove_transfer_to_ODPM5"/>
      <sheetName val="Remove_Bud05_CSA_Recoveries5"/>
      <sheetName val="Remove_Bud05_Compensation_Recs5"/>
      <sheetName val="Remove_Bud05_OCS_items5"/>
      <sheetName val="Bdget05_Forecast+_Adjustments5"/>
      <sheetName val="Re-forecast_benefits5"/>
      <sheetName val="CPS_Savings_-_PBR_055"/>
      <sheetName val="Re-forecast_+_CPS_Savings_PBR06"/>
      <sheetName val="AYLs_re-forecast_benefits_+CPS5"/>
      <sheetName val="Linking_(re-forecast_benefits)5"/>
      <sheetName val="Linking_(other_benefits)5"/>
      <sheetName val="Linked_Initial_Forecast5"/>
      <sheetName val="Initial_TEAs_-_2_August_20055"/>
      <sheetName val="CSA_Recoveries5"/>
      <sheetName val="Compensation_Recoveries5"/>
      <sheetName val="Operating_Cost_Items5"/>
      <sheetName val="Initial_Forecast_-_19_Sept_2006"/>
      <sheetName val="Latest_Forecast5"/>
      <sheetName val="Variance_to_Budget_20055"/>
      <sheetName val="Blank_Pro-forma5"/>
      <sheetName val="RPI_RP_underpin3"/>
      <sheetName val="DFF_Account2"/>
      <sheetName val="Budget_2005_Net_Forecast3"/>
      <sheetName val="MA_Budget_2005_Amendment3"/>
      <sheetName val="JSA_Budget_2005_Amendment3"/>
      <sheetName val="IDB_Budget_2005_Correction3"/>
      <sheetName val="65+_Payment_Adjustment3"/>
      <sheetName val="CPS_Savings_-_Budget_2005_3"/>
      <sheetName val="SDA,_BB(B&amp;AP)_&amp;_JSA(IB)_ofwhic3"/>
      <sheetName val="Remove_transfer_to_ODPM3"/>
      <sheetName val="Remove_Bud05_CSA_Recoveries3"/>
      <sheetName val="Remove_Bud05_Compensation_Recs3"/>
      <sheetName val="Remove_Bud05_OCS_items3"/>
      <sheetName val="Bdget05_Forecast+_Adjustments3"/>
      <sheetName val="Re-forecast_benefits3"/>
      <sheetName val="CPS_Savings_-_PBR_053"/>
      <sheetName val="Re-forecast_+_CPS_Savings_PBR03"/>
      <sheetName val="AYLs_re-forecast_benefits_+CPS3"/>
      <sheetName val="Linking_(re-forecast_benefits)3"/>
      <sheetName val="Linking_(other_benefits)3"/>
      <sheetName val="Linked_Initial_Forecast3"/>
      <sheetName val="Initial_TEAs_-_2_August_20053"/>
      <sheetName val="CSA_Recoveries3"/>
      <sheetName val="Compensation_Recoveries3"/>
      <sheetName val="Operating_Cost_Items3"/>
      <sheetName val="Initial_Forecast_-_19_Sept_2003"/>
      <sheetName val="Latest_Forecast3"/>
      <sheetName val="Variance_to_Budget_20053"/>
      <sheetName val="Blank_Pro-forma3"/>
      <sheetName val="RPI_RP_underpin"/>
      <sheetName val="DFF_Account"/>
      <sheetName val="Budget_2005_Net_Forecast4"/>
      <sheetName val="MA_Budget_2005_Amendment4"/>
      <sheetName val="JSA_Budget_2005_Amendment4"/>
      <sheetName val="IDB_Budget_2005_Correction4"/>
      <sheetName val="65+_Payment_Adjustment4"/>
      <sheetName val="CPS_Savings_-_Budget_2005_4"/>
      <sheetName val="SDA,_BB(B&amp;AP)_&amp;_JSA(IB)_ofwhic4"/>
      <sheetName val="Remove_transfer_to_ODPM4"/>
      <sheetName val="Remove_Bud05_CSA_Recoveries4"/>
      <sheetName val="Remove_Bud05_Compensation_Recs4"/>
      <sheetName val="Remove_Bud05_OCS_items4"/>
      <sheetName val="Bdget05_Forecast+_Adjustments4"/>
      <sheetName val="Re-forecast_benefits4"/>
      <sheetName val="CPS_Savings_-_PBR_054"/>
      <sheetName val="Re-forecast_+_CPS_Savings_PBR04"/>
      <sheetName val="AYLs_re-forecast_benefits_+CPS4"/>
      <sheetName val="Linking_(re-forecast_benefits)4"/>
      <sheetName val="Linking_(other_benefits)4"/>
      <sheetName val="Linked_Initial_Forecast4"/>
      <sheetName val="Initial_TEAs_-_2_August_20054"/>
      <sheetName val="CSA_Recoveries4"/>
      <sheetName val="Compensation_Recoveries4"/>
      <sheetName val="Operating_Cost_Items4"/>
      <sheetName val="Initial_Forecast_-_19_Sept_2004"/>
      <sheetName val="Latest_Forecast4"/>
      <sheetName val="Variance_to_Budget_20054"/>
      <sheetName val="Blank_Pro-forma4"/>
      <sheetName val="RPI_RP_underpin2"/>
      <sheetName val="DFF_Account1"/>
      <sheetName val="DFF Account"/>
      <sheetName val="Budget_2005_Net_Forecast7"/>
      <sheetName val="MA_Budget_2005_Amendment7"/>
      <sheetName val="JSA_Budget_2005_Amendment7"/>
      <sheetName val="IDB_Budget_2005_Correction7"/>
      <sheetName val="65+_Payment_Adjustment7"/>
      <sheetName val="CPS_Savings_-_Budget_2005_7"/>
      <sheetName val="SDA,_BB(B&amp;AP)_&amp;_JSA(IB)_ofwhic7"/>
      <sheetName val="Remove_transfer_to_ODPM7"/>
      <sheetName val="Remove_Bud05_CSA_Recoveries7"/>
      <sheetName val="Remove_Bud05_Compensation_Recs7"/>
      <sheetName val="Remove_Bud05_OCS_items7"/>
      <sheetName val="Bdget05_Forecast+_Adjustments7"/>
      <sheetName val="Re-forecast_benefits7"/>
      <sheetName val="CPS_Savings_-_PBR_057"/>
      <sheetName val="Re-forecast_+_CPS_Savings_PBR08"/>
      <sheetName val="AYLs_re-forecast_benefits_+CPS7"/>
      <sheetName val="Linking_(re-forecast_benefits)7"/>
      <sheetName val="Linking_(other_benefits)7"/>
      <sheetName val="Linked_Initial_Forecast7"/>
      <sheetName val="Initial_TEAs_-_2_August_20057"/>
      <sheetName val="CSA_Recoveries7"/>
      <sheetName val="Compensation_Recoveries7"/>
      <sheetName val="Operating_Cost_Items7"/>
      <sheetName val="Initial_Forecast_-_19_Sept_2008"/>
      <sheetName val="Latest_Forecast7"/>
      <sheetName val="Variance_to_Budget_20057"/>
      <sheetName val="Blank_Pro-forma7"/>
      <sheetName val="RPI_RP_underpin5"/>
      <sheetName val="DFF_Account4"/>
      <sheetName val="Budget_2005_Net_Forecast8"/>
      <sheetName val="MA_Budget_2005_Amendment8"/>
      <sheetName val="JSA_Budget_2005_Amendment8"/>
      <sheetName val="IDB_Budget_2005_Correction8"/>
      <sheetName val="65+_Payment_Adjustment8"/>
      <sheetName val="CPS_Savings_-_Budget_2005_8"/>
      <sheetName val="SDA,_BB(B&amp;AP)_&amp;_JSA(IB)_ofwhic8"/>
      <sheetName val="Remove_transfer_to_ODPM8"/>
      <sheetName val="Remove_Bud05_CSA_Recoveries8"/>
      <sheetName val="Remove_Bud05_Compensation_Recs8"/>
      <sheetName val="Remove_Bud05_OCS_items8"/>
      <sheetName val="Bdget05_Forecast+_Adjustments8"/>
      <sheetName val="Re-forecast_benefits8"/>
      <sheetName val="CPS_Savings_-_PBR_058"/>
      <sheetName val="Re-forecast_+_CPS_Savings_PBR09"/>
      <sheetName val="AYLs_re-forecast_benefits_+CPS8"/>
      <sheetName val="Linking_(re-forecast_benefits)8"/>
      <sheetName val="Linking_(other_benefits)8"/>
      <sheetName val="Linked_Initial_Forecast8"/>
      <sheetName val="Initial_TEAs_-_2_August_20058"/>
      <sheetName val="CSA_Recoveries8"/>
      <sheetName val="Compensation_Recoveries8"/>
      <sheetName val="Operating_Cost_Items8"/>
      <sheetName val="Initial_Forecast_-_19_Sept_2009"/>
      <sheetName val="Latest_Forecast8"/>
      <sheetName val="Variance_to_Budget_20058"/>
      <sheetName val="Blank_Pro-forma8"/>
      <sheetName val="RPI_RP_underpin6"/>
      <sheetName val="DFF_Account5"/>
      <sheetName val="Budget_2005_Net_Forecast9"/>
      <sheetName val="MA_Budget_2005_Amendment9"/>
      <sheetName val="JSA_Budget_2005_Amendment9"/>
      <sheetName val="IDB_Budget_2005_Correction9"/>
      <sheetName val="65+_Payment_Adjustment9"/>
      <sheetName val="CPS_Savings_-_Budget_2005_9"/>
      <sheetName val="SDA,_BB(B&amp;AP)_&amp;_JSA(IB)_ofwhic9"/>
      <sheetName val="Remove_transfer_to_ODPM9"/>
      <sheetName val="Remove_Bud05_CSA_Recoveries9"/>
      <sheetName val="Remove_Bud05_Compensation_Recs9"/>
      <sheetName val="Remove_Bud05_OCS_items9"/>
      <sheetName val="Bdget05_Forecast+_Adjustments9"/>
      <sheetName val="Re-forecast_benefits9"/>
      <sheetName val="CPS_Savings_-_PBR_059"/>
      <sheetName val="Re-forecast_+_CPS_Savings_PBR10"/>
      <sheetName val="AYLs_re-forecast_benefits_+CPS9"/>
      <sheetName val="Linking_(re-forecast_benefits)9"/>
      <sheetName val="Linking_(other_benefits)9"/>
      <sheetName val="Linked_Initial_Forecast9"/>
      <sheetName val="Initial_TEAs_-_2_August_20059"/>
      <sheetName val="CSA_Recoveries9"/>
      <sheetName val="Compensation_Recoveries9"/>
      <sheetName val="Operating_Cost_Items9"/>
      <sheetName val="Initial_Forecast_-_19_Sept_2010"/>
      <sheetName val="Latest_Forecast9"/>
      <sheetName val="Variance_to_Budget_20059"/>
      <sheetName val="Blank_Pro-forma9"/>
      <sheetName val="RPI_RP_underpin7"/>
      <sheetName val="DFF_Accoun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7">
          <cell r="B7" t="str">
            <v>Retirement Pension - Basic</v>
          </cell>
        </row>
        <row r="8">
          <cell r="B8" t="str">
            <v>Retirement Pension - AP</v>
          </cell>
        </row>
        <row r="9">
          <cell r="B9" t="str">
            <v>Non-contributory Retirement Pension</v>
          </cell>
        </row>
        <row r="13">
          <cell r="B13" t="str">
            <v>Winter Fuel Payments (including 80+ Payment)</v>
          </cell>
        </row>
        <row r="14">
          <cell r="B14" t="str">
            <v>65+ Payments</v>
          </cell>
        </row>
        <row r="15">
          <cell r="B15" t="str">
            <v>70+ Payments</v>
          </cell>
        </row>
        <row r="16">
          <cell r="B16" t="str">
            <v>Over 75 TV Licences [Note - this is forecast on a UK basis]</v>
          </cell>
        </row>
        <row r="17">
          <cell r="B17" t="str">
            <v>Christmas Bonus</v>
          </cell>
        </row>
        <row r="18">
          <cell r="B18" t="str">
            <v>Non-contributory Christmas Bonus</v>
          </cell>
        </row>
        <row r="19">
          <cell r="B19" t="str">
            <v>Pensions Compensation Board</v>
          </cell>
        </row>
        <row r="30">
          <cell r="B30" t="str">
            <v>Independent Living Funds</v>
          </cell>
        </row>
        <row r="31">
          <cell r="B31" t="str">
            <v>Specialised Vehicles Fund</v>
          </cell>
        </row>
        <row r="32">
          <cell r="B32" t="str">
            <v>Vaccine Damage Payments</v>
          </cell>
        </row>
        <row r="41">
          <cell r="B41" t="str">
            <v>Severe Disablement Allowance</v>
          </cell>
        </row>
        <row r="42">
          <cell r="B42" t="str">
            <v>of which pensioners</v>
          </cell>
        </row>
        <row r="43">
          <cell r="B43" t="str">
            <v xml:space="preserve">Industrial Injuries Disablement Benefit </v>
          </cell>
        </row>
        <row r="44">
          <cell r="B44" t="str">
            <v xml:space="preserve">Industrial Death Benefit </v>
          </cell>
        </row>
        <row r="45">
          <cell r="B45" t="str">
            <v xml:space="preserve">Other industrial injuries benefits </v>
          </cell>
        </row>
        <row r="46">
          <cell r="B46" t="str">
            <v>Statutory Sick Pay</v>
          </cell>
        </row>
        <row r="48">
          <cell r="B48" t="str">
            <v>Maternity Allowance</v>
          </cell>
        </row>
        <row r="49">
          <cell r="B49" t="str">
            <v>Bereavement Benefit - basic</v>
          </cell>
        </row>
        <row r="50">
          <cell r="B50" t="str">
            <v>of which pensioners</v>
          </cell>
        </row>
        <row r="51">
          <cell r="B51" t="str">
            <v>Bereavement Benefit - AP</v>
          </cell>
        </row>
        <row r="52">
          <cell r="B52" t="str">
            <v>of which pensioners</v>
          </cell>
        </row>
        <row r="63">
          <cell r="B63" t="str">
            <v>Jobseeker's Allowance - income-based</v>
          </cell>
        </row>
        <row r="64">
          <cell r="B64" t="str">
            <v>of which child elements</v>
          </cell>
        </row>
        <row r="65">
          <cell r="B65" t="str">
            <v>Jobseeker's Allowance - contribution-based</v>
          </cell>
        </row>
        <row r="73">
          <cell r="B73" t="str">
            <v>Job Grant</v>
          </cell>
        </row>
        <row r="74">
          <cell r="B74" t="str">
            <v>ND50+ employment credit</v>
          </cell>
        </row>
        <row r="75">
          <cell r="B75" t="str">
            <v>NDYP allowances</v>
          </cell>
        </row>
        <row r="76">
          <cell r="B76" t="str">
            <v>ND25+ allowances</v>
          </cell>
        </row>
        <row r="82">
          <cell r="B82" t="str">
            <v>Residual Spending or Income on redundant benefits</v>
          </cell>
        </row>
        <row r="99">
          <cell r="B99" t="str">
            <v>DWP AME to ODPM DEL - initiative to  tackle disadvantage</v>
          </cell>
        </row>
      </sheetData>
      <sheetData sheetId="13" refreshError="1"/>
      <sheetData sheetId="14" refreshError="1"/>
      <sheetData sheetId="15" refreshError="1">
        <row r="10">
          <cell r="D10">
            <v>4538.629470225872</v>
          </cell>
          <cell r="E10">
            <v>5110.9153730321696</v>
          </cell>
          <cell r="F10">
            <v>5355.927556468172</v>
          </cell>
          <cell r="G10">
            <v>5938.983203285421</v>
          </cell>
          <cell r="H10">
            <v>6640.8232443531824</v>
          </cell>
          <cell r="I10">
            <v>6807.5253114305269</v>
          </cell>
          <cell r="J10">
            <v>6866.6018480492812</v>
          </cell>
        </row>
        <row r="11">
          <cell r="D11">
            <v>0</v>
          </cell>
          <cell r="E11">
            <v>916.66600000000005</v>
          </cell>
          <cell r="F11">
            <v>1044.317</v>
          </cell>
          <cell r="G11">
            <v>1196.587</v>
          </cell>
          <cell r="H11">
            <v>1389.229</v>
          </cell>
          <cell r="I11">
            <v>1402.7809999999999</v>
          </cell>
          <cell r="J11">
            <v>1352.626</v>
          </cell>
        </row>
        <row r="23">
          <cell r="D23">
            <v>7609.5613634496913</v>
          </cell>
          <cell r="E23">
            <v>8146.2074058863791</v>
          </cell>
          <cell r="F23">
            <v>8694.4988637919232</v>
          </cell>
          <cell r="G23">
            <v>9202.3160438056129</v>
          </cell>
          <cell r="H23">
            <v>9727.4523039014366</v>
          </cell>
          <cell r="I23">
            <v>10216.018726899383</v>
          </cell>
          <cell r="J23">
            <v>10748.913730321698</v>
          </cell>
        </row>
        <row r="24">
          <cell r="D24">
            <v>796.42301437371668</v>
          </cell>
          <cell r="E24">
            <v>848.48484599589324</v>
          </cell>
          <cell r="F24">
            <v>893.44605065023961</v>
          </cell>
          <cell r="G24">
            <v>925.475112936345</v>
          </cell>
          <cell r="H24">
            <v>955.80261190965098</v>
          </cell>
          <cell r="I24">
            <v>980.56637919233413</v>
          </cell>
          <cell r="J24">
            <v>1008.8460095824778</v>
          </cell>
        </row>
        <row r="25">
          <cell r="D25">
            <v>4404.5296755646814</v>
          </cell>
          <cell r="E25">
            <v>4669.6895824777548</v>
          </cell>
          <cell r="F25">
            <v>4943.4051060917182</v>
          </cell>
          <cell r="G25">
            <v>5193.1120739219714</v>
          </cell>
          <cell r="H25">
            <v>5438.7139055441476</v>
          </cell>
          <cell r="I25">
            <v>5659.2438056125939</v>
          </cell>
          <cell r="J25">
            <v>5906.3575496235462</v>
          </cell>
        </row>
        <row r="26">
          <cell r="D26">
            <v>2408.6086735112935</v>
          </cell>
          <cell r="E26">
            <v>2628.0329774127313</v>
          </cell>
          <cell r="F26">
            <v>2857.6477070499659</v>
          </cell>
          <cell r="G26">
            <v>3083.7288569472962</v>
          </cell>
          <cell r="H26">
            <v>3332.9357864476387</v>
          </cell>
          <cell r="I26">
            <v>3576.2085420944559</v>
          </cell>
          <cell r="J26">
            <v>3833.7101711156738</v>
          </cell>
        </row>
        <row r="27">
          <cell r="D27">
            <v>3380.9341437371663</v>
          </cell>
          <cell r="E27">
            <v>3589.8801779603014</v>
          </cell>
          <cell r="F27">
            <v>3773.9021355236141</v>
          </cell>
          <cell r="G27">
            <v>3973.6992881587953</v>
          </cell>
          <cell r="H27">
            <v>4174.2588090349072</v>
          </cell>
          <cell r="I27">
            <v>4358.4237782340861</v>
          </cell>
          <cell r="J27">
            <v>4559.8967830253259</v>
          </cell>
        </row>
        <row r="28">
          <cell r="D28">
            <v>1043.5444106776181</v>
          </cell>
          <cell r="E28">
            <v>1092.0899931553729</v>
          </cell>
          <cell r="F28">
            <v>1160.3022724161533</v>
          </cell>
          <cell r="G28">
            <v>1222.5216563997262</v>
          </cell>
          <cell r="H28">
            <v>1290.2549650924025</v>
          </cell>
          <cell r="I28">
            <v>1357.6361122518824</v>
          </cell>
          <cell r="J28">
            <v>1433.2513210130048</v>
          </cell>
        </row>
        <row r="29">
          <cell r="D29">
            <v>54.525733059548251</v>
          </cell>
          <cell r="E29">
            <v>60.292703627652294</v>
          </cell>
          <cell r="F29">
            <v>63.947200547570155</v>
          </cell>
          <cell r="G29">
            <v>67.756591375770014</v>
          </cell>
          <cell r="H29">
            <v>71.815162217659136</v>
          </cell>
          <cell r="I29">
            <v>75.812073921971262</v>
          </cell>
          <cell r="J29">
            <v>80.233045859000683</v>
          </cell>
        </row>
        <row r="36">
          <cell r="D36">
            <v>266.84180698151954</v>
          </cell>
          <cell r="E36">
            <v>256.11857631759068</v>
          </cell>
          <cell r="F36">
            <v>258.11820670773443</v>
          </cell>
          <cell r="G36">
            <v>260.35367556468174</v>
          </cell>
          <cell r="H36">
            <v>258.09889117043122</v>
          </cell>
          <cell r="I36">
            <v>252.63496235455167</v>
          </cell>
          <cell r="J36">
            <v>251.55670088980153</v>
          </cell>
        </row>
        <row r="37">
          <cell r="D37">
            <v>297.53670636550311</v>
          </cell>
          <cell r="E37">
            <v>280.79067761806982</v>
          </cell>
          <cell r="F37">
            <v>282.53348391512662</v>
          </cell>
          <cell r="G37">
            <v>292.6005886379192</v>
          </cell>
          <cell r="H37">
            <v>295.68791786447639</v>
          </cell>
          <cell r="I37">
            <v>297.01356605065024</v>
          </cell>
          <cell r="J37">
            <v>300.11943874058863</v>
          </cell>
        </row>
        <row r="38">
          <cell r="D38">
            <v>5549.8636714579052</v>
          </cell>
          <cell r="E38">
            <v>5553.5192197125261</v>
          </cell>
          <cell r="F38">
            <v>5631.8735523613959</v>
          </cell>
          <cell r="G38">
            <v>5674.6442573579743</v>
          </cell>
          <cell r="H38">
            <v>5711.8947022587263</v>
          </cell>
          <cell r="I38">
            <v>5744.5893497604384</v>
          </cell>
          <cell r="J38">
            <v>5815.6097056810404</v>
          </cell>
        </row>
        <row r="40">
          <cell r="D40">
            <v>401.34142094455854</v>
          </cell>
          <cell r="E40">
            <v>346.88340862422996</v>
          </cell>
          <cell r="F40">
            <v>302.53178644763858</v>
          </cell>
          <cell r="G40">
            <v>264.22202600958252</v>
          </cell>
          <cell r="H40">
            <v>230.69373305954826</v>
          </cell>
          <cell r="I40">
            <v>199.7721697467488</v>
          </cell>
          <cell r="J40">
            <v>173.30929500342231</v>
          </cell>
        </row>
        <row r="47">
          <cell r="D47">
            <v>1046.5039999999999</v>
          </cell>
          <cell r="E47">
            <v>1193.146</v>
          </cell>
          <cell r="F47">
            <v>1244.9880000000001</v>
          </cell>
          <cell r="G47">
            <v>1296.752</v>
          </cell>
          <cell r="H47">
            <v>1593.136</v>
          </cell>
          <cell r="I47">
            <v>1672.9690000000001</v>
          </cell>
          <cell r="J47">
            <v>1760.6420000000001</v>
          </cell>
        </row>
        <row r="53">
          <cell r="D53">
            <v>4668.4875728952775</v>
          </cell>
          <cell r="E53">
            <v>4803.1631622176592</v>
          </cell>
          <cell r="F53">
            <v>4673.3540725530465</v>
          </cell>
          <cell r="G53">
            <v>4486.0393702943193</v>
          </cell>
          <cell r="H53">
            <v>4231.4750554414786</v>
          </cell>
          <cell r="I53">
            <v>4313.2447227926077</v>
          </cell>
          <cell r="J53">
            <v>4408.6633675564681</v>
          </cell>
        </row>
        <row r="54">
          <cell r="D54">
            <v>868.64701437371662</v>
          </cell>
          <cell r="E54">
            <v>838.93838466803561</v>
          </cell>
          <cell r="F54">
            <v>621.35541409993152</v>
          </cell>
          <cell r="G54">
            <v>359.60169746748807</v>
          </cell>
          <cell r="H54">
            <v>0</v>
          </cell>
          <cell r="I54">
            <v>0</v>
          </cell>
          <cell r="J54">
            <v>0</v>
          </cell>
        </row>
        <row r="55">
          <cell r="D55">
            <v>4961.9469240246408</v>
          </cell>
          <cell r="E55">
            <v>4589.7633264887063</v>
          </cell>
          <cell r="F55">
            <v>3767.0158521560575</v>
          </cell>
          <cell r="G55">
            <v>2868.6941409993156</v>
          </cell>
          <cell r="H55">
            <v>2020.7919671457905</v>
          </cell>
          <cell r="I55">
            <v>1967.1546338124572</v>
          </cell>
          <cell r="J55">
            <v>1928.2083093771391</v>
          </cell>
        </row>
        <row r="56">
          <cell r="D56">
            <v>2697.7561889117042</v>
          </cell>
          <cell r="E56">
            <v>2381.9405338809038</v>
          </cell>
          <cell r="F56">
            <v>1635.2139904175224</v>
          </cell>
          <cell r="G56">
            <v>858.82876112251881</v>
          </cell>
          <cell r="H56">
            <v>0</v>
          </cell>
          <cell r="I56">
            <v>0</v>
          </cell>
          <cell r="J56">
            <v>0</v>
          </cell>
        </row>
        <row r="57">
          <cell r="D57">
            <v>447.54409856262834</v>
          </cell>
          <cell r="E57">
            <v>419.13192334017793</v>
          </cell>
          <cell r="F57">
            <v>345.73519507186859</v>
          </cell>
          <cell r="G57">
            <v>334.98855578370978</v>
          </cell>
          <cell r="H57">
            <v>336.26506776180702</v>
          </cell>
          <cell r="I57">
            <v>342.16863791923345</v>
          </cell>
          <cell r="J57">
            <v>349.51560574948667</v>
          </cell>
        </row>
        <row r="58">
          <cell r="D58">
            <v>55.870488706365499</v>
          </cell>
          <cell r="E58">
            <v>32.979411362080768</v>
          </cell>
          <cell r="F58">
            <v>3.4216563997262148</v>
          </cell>
          <cell r="G58">
            <v>0.18487337440109514</v>
          </cell>
          <cell r="H58">
            <v>0</v>
          </cell>
          <cell r="I58">
            <v>0</v>
          </cell>
          <cell r="J58">
            <v>0</v>
          </cell>
        </row>
        <row r="59">
          <cell r="D59">
            <v>346.28059137577003</v>
          </cell>
          <cell r="E59">
            <v>394.59572895277205</v>
          </cell>
          <cell r="F59">
            <v>334.9915537303217</v>
          </cell>
          <cell r="G59">
            <v>277.34703627652289</v>
          </cell>
          <cell r="H59">
            <v>283.26145379876795</v>
          </cell>
          <cell r="I59">
            <v>291.22153319644082</v>
          </cell>
          <cell r="J59">
            <v>300.45920602327175</v>
          </cell>
        </row>
        <row r="60">
          <cell r="D60">
            <v>93.870357289527718</v>
          </cell>
          <cell r="E60">
            <v>82.276646132785757</v>
          </cell>
          <cell r="F60">
            <v>49.711950718685834</v>
          </cell>
          <cell r="G60">
            <v>3.3696919917864476</v>
          </cell>
          <cell r="H60">
            <v>0</v>
          </cell>
          <cell r="I60">
            <v>0</v>
          </cell>
          <cell r="J60">
            <v>0</v>
          </cell>
        </row>
        <row r="66">
          <cell r="D66">
            <v>117.5</v>
          </cell>
          <cell r="E66">
            <v>127.1</v>
          </cell>
          <cell r="F66">
            <v>139</v>
          </cell>
          <cell r="G66">
            <v>139.5</v>
          </cell>
          <cell r="H66">
            <v>139.5</v>
          </cell>
          <cell r="I66">
            <v>139.5</v>
          </cell>
          <cell r="J66">
            <v>139.5</v>
          </cell>
        </row>
        <row r="67">
          <cell r="D67">
            <v>18.812000000000001</v>
          </cell>
          <cell r="E67">
            <v>20.312999999999999</v>
          </cell>
          <cell r="F67">
            <v>24.1</v>
          </cell>
          <cell r="G67">
            <v>143.6</v>
          </cell>
          <cell r="H67">
            <v>72.900000000000006</v>
          </cell>
          <cell r="I67">
            <v>62.6</v>
          </cell>
          <cell r="J67">
            <v>23.7</v>
          </cell>
        </row>
        <row r="68">
          <cell r="D68">
            <v>19.271000000000001</v>
          </cell>
          <cell r="E68">
            <v>14.872</v>
          </cell>
          <cell r="F68">
            <v>14.6</v>
          </cell>
          <cell r="G68">
            <v>14.5</v>
          </cell>
          <cell r="H68">
            <v>14.7</v>
          </cell>
          <cell r="I68">
            <v>15</v>
          </cell>
          <cell r="J68">
            <v>15</v>
          </cell>
        </row>
        <row r="69">
          <cell r="D69">
            <v>120.366</v>
          </cell>
          <cell r="E69">
            <v>118.715</v>
          </cell>
          <cell r="F69">
            <v>113.33</v>
          </cell>
          <cell r="G69">
            <v>110.206</v>
          </cell>
          <cell r="H69">
            <v>108.515</v>
          </cell>
          <cell r="I69">
            <v>106.65600000000001</v>
          </cell>
          <cell r="J69">
            <v>105.125</v>
          </cell>
        </row>
        <row r="70">
          <cell r="D70">
            <v>46.027000000000001</v>
          </cell>
          <cell r="E70">
            <v>44.63</v>
          </cell>
          <cell r="F70">
            <v>45.14</v>
          </cell>
          <cell r="G70">
            <v>46.838999999999999</v>
          </cell>
          <cell r="H70">
            <v>49.637</v>
          </cell>
          <cell r="I70">
            <v>52.207000000000001</v>
          </cell>
          <cell r="J70">
            <v>54.295000000000002</v>
          </cell>
        </row>
        <row r="71">
          <cell r="D71">
            <v>3.9</v>
          </cell>
          <cell r="E71">
            <v>1.8</v>
          </cell>
          <cell r="F71">
            <v>8</v>
          </cell>
          <cell r="G71">
            <v>8</v>
          </cell>
          <cell r="H71">
            <v>8</v>
          </cell>
          <cell r="I71">
            <v>8</v>
          </cell>
          <cell r="J71">
            <v>8</v>
          </cell>
        </row>
        <row r="77">
          <cell r="D77">
            <v>6764.5249999999996</v>
          </cell>
          <cell r="E77">
            <v>7782.8360000000002</v>
          </cell>
          <cell r="F77">
            <v>8372.9570000000003</v>
          </cell>
          <cell r="G77">
            <v>8942.3510000000006</v>
          </cell>
          <cell r="H77">
            <v>9599.5110000000004</v>
          </cell>
          <cell r="I77">
            <v>10111.876</v>
          </cell>
          <cell r="J77">
            <v>10513.482</v>
          </cell>
        </row>
        <row r="78">
          <cell r="D78">
            <v>775.45</v>
          </cell>
          <cell r="E78">
            <v>4977.2049999999999</v>
          </cell>
          <cell r="F78">
            <v>5082.5559999999996</v>
          </cell>
          <cell r="G78">
            <v>5053.91</v>
          </cell>
          <cell r="H78">
            <v>5029.7759999999998</v>
          </cell>
          <cell r="I78">
            <v>5121.6080000000002</v>
          </cell>
          <cell r="J78">
            <v>5251.424</v>
          </cell>
        </row>
        <row r="79">
          <cell r="D79">
            <v>20</v>
          </cell>
          <cell r="E79">
            <v>20</v>
          </cell>
          <cell r="F79">
            <v>20</v>
          </cell>
          <cell r="G79">
            <v>20</v>
          </cell>
          <cell r="H79">
            <v>20</v>
          </cell>
          <cell r="I79">
            <v>20</v>
          </cell>
          <cell r="J79">
            <v>20</v>
          </cell>
        </row>
        <row r="80">
          <cell r="D80">
            <v>2959.739</v>
          </cell>
          <cell r="E80">
            <v>3442.5909999999999</v>
          </cell>
          <cell r="F80">
            <v>3655.866</v>
          </cell>
          <cell r="G80">
            <v>3962.8330000000001</v>
          </cell>
          <cell r="H80">
            <v>4301.8519999999999</v>
          </cell>
          <cell r="I80">
            <v>4660.9539999999997</v>
          </cell>
          <cell r="J80">
            <v>5021.6710000000003</v>
          </cell>
        </row>
        <row r="85">
          <cell r="D85">
            <v>4128.7569999999996</v>
          </cell>
          <cell r="E85">
            <v>167.30699999999999</v>
          </cell>
          <cell r="F85">
            <v>168.851</v>
          </cell>
          <cell r="G85">
            <v>168.517</v>
          </cell>
          <cell r="H85">
            <v>167.19499999999999</v>
          </cell>
          <cell r="I85">
            <v>169.70699999999999</v>
          </cell>
          <cell r="J85">
            <v>173.87</v>
          </cell>
        </row>
        <row r="86">
          <cell r="D86">
            <v>656.399</v>
          </cell>
          <cell r="E86">
            <v>204.50399999999999</v>
          </cell>
          <cell r="F86">
            <v>231.85400000000001</v>
          </cell>
          <cell r="G86">
            <v>244.46899999999999</v>
          </cell>
          <cell r="H86">
            <v>252.35400000000001</v>
          </cell>
          <cell r="I86">
            <v>270.24599999999998</v>
          </cell>
          <cell r="J86">
            <v>282.33499999999998</v>
          </cell>
        </row>
        <row r="87">
          <cell r="D87">
            <v>266.21499999999997</v>
          </cell>
          <cell r="E87">
            <v>112.614</v>
          </cell>
          <cell r="F87">
            <v>127.553</v>
          </cell>
          <cell r="G87">
            <v>137.14400000000001</v>
          </cell>
          <cell r="H87">
            <v>147.29300000000001</v>
          </cell>
          <cell r="I87">
            <v>158.44900000000001</v>
          </cell>
          <cell r="J87">
            <v>170.108</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7">
          <cell r="B7" t="str">
            <v>Retirement Pension - Basic</v>
          </cell>
        </row>
      </sheetData>
      <sheetData sheetId="70"/>
      <sheetData sheetId="71"/>
      <sheetData sheetId="72">
        <row r="10">
          <cell r="D10">
            <v>4538.629470225872</v>
          </cell>
        </row>
      </sheetData>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7">
          <cell r="B7" t="str">
            <v>Retirement Pension - Basic</v>
          </cell>
        </row>
      </sheetData>
      <sheetData sheetId="97"/>
      <sheetData sheetId="98"/>
      <sheetData sheetId="99">
        <row r="10">
          <cell r="D10">
            <v>4538.629470225872</v>
          </cell>
        </row>
      </sheetData>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ow r="7">
          <cell r="B7" t="str">
            <v>Retirement Pension - Basic</v>
          </cell>
        </row>
      </sheetData>
      <sheetData sheetId="299"/>
      <sheetData sheetId="300"/>
      <sheetData sheetId="301">
        <row r="10">
          <cell r="D10">
            <v>4538.629470225872</v>
          </cell>
        </row>
      </sheetData>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Don't delete"/>
      <sheetName val="C.ES"/>
      <sheetName val="Blank"/>
      <sheetName val="C.March PSNBs"/>
      <sheetName val="T.PSNBSummary"/>
      <sheetName val="C.InfPubFin"/>
      <sheetName val="T.ReceiptsSumm"/>
      <sheetName val="T.ITandNICs"/>
      <sheetName val="T.VAT"/>
      <sheetName val="T.onsCT"/>
      <sheetName val="C.CTgrowth"/>
      <sheetName val="C.CTdrivers"/>
      <sheetName val="C.measuresimpact"/>
      <sheetName val="T.capital"/>
      <sheetName val="C.Fuelclearances"/>
      <sheetName val="T.fuel"/>
      <sheetName val="T.SpendSum"/>
      <sheetName val="T.DELs"/>
      <sheetName val="T.LASFE"/>
      <sheetName val="T.Welfare"/>
      <sheetName val="T.DI"/>
      <sheetName val="T.EU"/>
      <sheetName val="T3.14"/>
      <sheetName val="C.2yrErrors"/>
      <sheetName val="Redundant CATs-&gt;"/>
      <sheetName val="T.ReceiptsSumm(old)"/>
      <sheetName val="C.TaxesReceiptsGDP"/>
      <sheetName val="C.PSCRsince8687"/>
      <sheetName val="C.PSNB"/>
      <sheetName val="T.March 2017 PSNB (alt)"/>
      <sheetName val="T.LASFE 2"/>
      <sheetName val="T.March 2017 PSNB"/>
      <sheetName val="CA.1"/>
      <sheetName val="T3.16"/>
      <sheetName val="T3.1"/>
      <sheetName val="Waterfall (GDP)"/>
      <sheetName val="Waterfall (Cash)"/>
      <sheetName val="June10"/>
      <sheetName val="T.33"/>
      <sheetName val="PSCR"/>
      <sheetName val="C3.2B"/>
      <sheetName val="C3.2"/>
      <sheetName val="C3.4"/>
      <sheetName val="C3.5"/>
      <sheetName val="C3.6"/>
      <sheetName val="C3.2B (2)"/>
      <sheetName val="T3.6"/>
      <sheetName val="Briefing paper"/>
      <sheetName val="Receipts Chart"/>
      <sheetName val="Spending chart"/>
      <sheetName val="Not us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3"/>
      <sheetName val="Sheet5"/>
      <sheetName val="Sheet1"/>
    </sheetNames>
    <sheetDataSet>
      <sheetData sheetId="0"/>
      <sheetData sheetId="1" refreshError="1"/>
      <sheetData sheetId="2" refreshError="1"/>
      <sheetData sheetId="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 val="Determinants"/>
      <sheetName val="AYLs re-forecast benefits +CPS "/>
      <sheetName val="Re-forecast benefits"/>
      <sheetName val="4.6 ten year bonds"/>
      <sheetName val="RESULT_09"/>
      <sheetName val="Latest_check"/>
      <sheetName val="Nom__Input"/>
      <sheetName val="Social_sec_&amp;_TC"/>
      <sheetName val="Pub_sec_pensions"/>
      <sheetName val="RESULT_10"/>
      <sheetName val="AYLs_re-forecast_benefits_+CPS_"/>
      <sheetName val="Re-forecast_benefits"/>
      <sheetName val="4_6_ten_year_bonds"/>
      <sheetName val="CASHFLOW Gen Income"/>
      <sheetName val="RESULT_091"/>
      <sheetName val="Latest_check1"/>
      <sheetName val="Nom__Input1"/>
      <sheetName val="Social_sec_&amp;_TC1"/>
      <sheetName val="Pub_sec_pensions1"/>
      <sheetName val="RESULT_101"/>
      <sheetName val="AYLs_re-forecast_benefits_+CPS1"/>
      <sheetName val="Re-forecast_benefits1"/>
      <sheetName val="4_6_ten_year_bonds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refreshError="1"/>
      <sheetData sheetId="32"/>
      <sheetData sheetId="33"/>
      <sheetData sheetId="34"/>
      <sheetData sheetId="35"/>
      <sheetData sheetId="36"/>
      <sheetData sheetId="37"/>
      <sheetData sheetId="38"/>
      <sheetData sheetId="39"/>
      <sheetData sheetId="40"/>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P 2017-18"/>
      <sheetName val="non-SD output (sorted)"/>
      <sheetName val="Summary"/>
      <sheetName val="pressure v reserves (thirds)"/>
      <sheetName val="pasted vals of summary"/>
      <sheetName val="Calc"/>
      <sheetName val="bottom third"/>
      <sheetName val="Pressure"/>
      <sheetName val="iBCF"/>
      <sheetName val="RNF"/>
      <sheetName val="sett1602"/>
      <sheetName val="Sources and parameters"/>
      <sheetName val="Formluae for sorting"/>
      <sheetName val="tse1415"/>
      <sheetName val="reserves1516"/>
      <sheetName val="reserves1415"/>
      <sheetName val="reserves"/>
      <sheetName val="tse"/>
      <sheetName val="Chart1"/>
      <sheetName val="Stacked bars"/>
      <sheetName val="pasc pc met"/>
      <sheetName val="pressure v reserves"/>
      <sheetName val="slides 4 and 5"/>
      <sheetName val="slides 6 and 7"/>
      <sheetName val="slides 8 and 9"/>
      <sheetName val="extra slide for gavin"/>
      <sheetName val="ptot pc met"/>
      <sheetName val="Funding Gaps"/>
      <sheetName val="LA Collated Resul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FrontPage"/>
      <sheetName val="PartsAtoD"/>
      <sheetName val="PartsEandF"/>
      <sheetName val="PartG"/>
      <sheetName val="Validations"/>
      <sheetName val="Notes"/>
      <sheetName val="ValidationData"/>
      <sheetName val="Transfer"/>
      <sheetName val="AuthDetails"/>
    </sheetNames>
    <sheetDataSet>
      <sheetData sheetId="0"/>
      <sheetData sheetId="1"/>
      <sheetData sheetId="2"/>
      <sheetData sheetId="3"/>
      <sheetData sheetId="4"/>
      <sheetData sheetId="5"/>
      <sheetData sheetId="6"/>
      <sheetData sheetId="7"/>
      <sheetData sheetId="8"/>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t Notes"/>
      <sheetName val="Employee n Pub Duties "/>
      <sheetName val=" Outreach"/>
      <sheetName val="Prince's Trust"/>
      <sheetName val="Data Cal 0910"/>
      <sheetName val="Data Cal 1011"/>
      <sheetName val="Data Cal 1112"/>
      <sheetName val="Data Cal 1213"/>
      <sheetName val="Data"/>
      <sheetName val="QA"/>
      <sheetName val="Sum Dir HB"/>
      <sheetName val="ROM"/>
    </sheetNames>
    <sheetDataSet>
      <sheetData sheetId="0"/>
      <sheetData sheetId="1"/>
      <sheetData sheetId="2"/>
      <sheetData sheetId="3"/>
      <sheetData sheetId="4"/>
      <sheetData sheetId="5"/>
      <sheetData sheetId="6"/>
      <sheetData sheetId="7" refreshError="1"/>
      <sheetData sheetId="8"/>
      <sheetData sheetId="9"/>
      <sheetData sheetId="10"/>
      <sheetData sheetId="1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gdpoutpt"/>
    </sheetNames>
    <definedNames>
      <definedName name="Printtab"/>
    </definedNames>
    <sheetDataSet>
      <sheetData sheetId="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1intrate"/>
    </sheetNames>
    <definedNames>
      <definedName name="Printtab10"/>
    </definedNames>
    <sheetDataSet>
      <sheetData sheetId="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exchrate"/>
    </sheetNames>
    <definedNames>
      <definedName name="Printtab11"/>
    </definedNames>
    <sheetDataSet>
      <sheetData sheetId="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CONSEXP"/>
    </sheetNames>
    <definedNames>
      <definedName name="Printtab2"/>
    </definedNames>
    <sheetDataSet>
      <sheetData sheetId="0"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othergdp"/>
    </sheetNames>
    <definedNames>
      <definedName name="Printtab3"/>
    </definedNames>
    <sheetDataSet>
      <sheetData sheetId="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employmt"/>
    </sheetNames>
    <definedNames>
      <definedName name="Printtab4"/>
    </definedNames>
    <sheetDataSet>
      <sheetData sheetId="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PRICES"/>
    </sheetNames>
    <definedNames>
      <definedName name="Printtab5"/>
    </definedNames>
    <sheetDataSet>
      <sheetData sheetId="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worldcon"/>
    </sheetNames>
    <definedNames>
      <definedName name="Printtab6"/>
    </definedNames>
    <sheetDataSet>
      <sheetData sheetId="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9SECTBAL"/>
    </sheetNames>
    <definedNames>
      <definedName name="printtab7"/>
    </definedNames>
    <sheetDataSet>
      <sheetData sheetId="0"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psexpinc"/>
    </sheetNames>
    <definedNames>
      <definedName name="Printtab8"/>
    </definedNames>
    <sheetDataSet>
      <sheetData sheetId="0"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Cover"/>
      <sheetName val="IDs"/>
      <sheetName val="ANT"/>
      <sheetName val="PSF"/>
      <sheetName val="PSAT"/>
      <sheetName val="ND"/>
      <sheetName val="NA"/>
      <sheetName val="TES"/>
      <sheetName val="Adm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Menu"/>
      <sheetName val="CCG Risk National"/>
      <sheetName val="CCG Risk By Region"/>
      <sheetName val="CCG Risk By Area Team"/>
      <sheetName val="Risk By CCG"/>
      <sheetName val="CCG 2% National"/>
      <sheetName val="CCG 2% By Region"/>
      <sheetName val="CCG 2% By Area Team"/>
      <sheetName val="2% By CCG"/>
      <sheetName val="CCG QIPP - National"/>
      <sheetName val="CCG QIPP - By Region"/>
      <sheetName val="CCG QIPP - By Area Team"/>
      <sheetName val="Qlty_Premium-By_CCG"/>
      <sheetName val="SQL_Qty_Premium"/>
      <sheetName val="SQL_QIPP"/>
      <sheetName val="SQL_2%"/>
      <sheetName val="SQL_QIPP_Profile"/>
      <sheetName val="SQL_RISKS"/>
      <sheetName val="SQL_Underlying"/>
      <sheetName val="SQL_Commentary"/>
      <sheetName val="SQL_Validation"/>
      <sheetName val="Con-QIPP CCG"/>
      <sheetName val="Con-Risks CCGs"/>
      <sheetName val="Con-2%CCGs"/>
      <sheetName val="Con-Underlying CCG"/>
      <sheetName val="CCG Map"/>
      <sheetName val="AT Map"/>
      <sheetName val="Validation_Errors"/>
      <sheetName val="Zero_Balances"/>
      <sheetName val="CCG Data Refresh"/>
      <sheetName val="CCG Risk Detail"/>
      <sheetName val="CCG Mitigation Detail"/>
      <sheetName val="CCG RISK Summary"/>
      <sheetName val="Slide8"/>
      <sheetName val="Slide13"/>
      <sheetName val="Slide31"/>
      <sheetName val="CCG checks"/>
      <sheetName val="DC Allocations for Calc"/>
      <sheetName val="Slide25 - Delete"/>
      <sheetName val="Slide9 - Delete"/>
      <sheetName val="Data extract to Mth 5 Template"/>
      <sheetName val="CCG QIPP"/>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fo"/>
      <sheetName val="Control"/>
      <sheetName val="QA"/>
      <sheetName val="Graph Data"/>
      <sheetName val="Data"/>
      <sheetName val="Qtrly Data"/>
      <sheetName val="MTS Data"/>
      <sheetName val="RAW DATA"/>
    </sheetNames>
    <sheetDataSet>
      <sheetData sheetId="0"/>
      <sheetData sheetId="1"/>
      <sheetData sheetId="2"/>
      <sheetData sheetId="3"/>
      <sheetData sheetId="4"/>
      <sheetData sheetId="5" refreshError="1"/>
      <sheetData sheetId="6"/>
      <sheetData sheetId="7"/>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A LA Data 2017-18"/>
    </sheetNames>
    <sheetDataSet>
      <sheetData sheetId="0"/>
      <sheetData sheetId="1"/>
      <sheetData sheetId="2"/>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inary Elective"/>
      <sheetName val="Elective Daycase"/>
      <sheetName val="Total Elective"/>
      <sheetName val="GP Referrals"/>
      <sheetName val="Other Referrals"/>
      <sheetName val="Total Referrals"/>
      <sheetName val="Non-Elective Admissions"/>
      <sheetName val="All 1st OP"/>
      <sheetName val="1st OP Following Referral"/>
      <sheetName val="Subsequent OP"/>
      <sheetName val="CCG Status"/>
      <sheetName val="Area Team Status"/>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Formula Control"/>
      <sheetName val="Pg 1"/>
      <sheetName val="Pg 2"/>
      <sheetName val="Air Pg 1"/>
      <sheetName val="Air Pg 2"/>
      <sheetName val="Air Pg 3"/>
      <sheetName val="PT Pg 1"/>
      <sheetName val="PT Pg 2"/>
      <sheetName val="E&amp;C Pg 1"/>
      <sheetName val="E&amp;C Pg 2"/>
      <sheetName val="BT Pg 1"/>
      <sheetName val="BT Pg 2"/>
      <sheetName val="B&amp;C Pg 1"/>
      <sheetName val="B&amp;C Pg 2"/>
      <sheetName val="CFO Pg 1 "/>
      <sheetName val="CFO Pg 2"/>
      <sheetName val="CIO Pg 1"/>
      <sheetName val="CIO Pg 2"/>
      <sheetName val="CPO Pg 1"/>
      <sheetName val="CPO Pg 2"/>
      <sheetName val="Legal Pg 1"/>
      <sheetName val="Legal Pg 2"/>
      <sheetName val="PST Pg 1"/>
      <sheetName val="PST Pg 2"/>
      <sheetName val="Data"/>
      <sheetName val="Directorate Data"/>
      <sheetName val="Graph Data"/>
      <sheetName val="DashboardData"/>
      <sheetName val="MT Data"/>
      <sheetName val="201011 CC Range"/>
      <sheetName val="201112 CC Range"/>
      <sheetName val="ConvFact"/>
      <sheetName val="Apr10"/>
      <sheetName val="May10"/>
      <sheetName val="Jun10"/>
      <sheetName val="Jul10"/>
      <sheetName val="Aug10"/>
      <sheetName val="Sep10"/>
      <sheetName val="Oct10"/>
      <sheetName val="Nov10"/>
      <sheetName val="Dec10"/>
      <sheetName val="Jan11"/>
      <sheetName val="Feb11"/>
      <sheetName val="Mar11"/>
      <sheetName val="Apr11"/>
      <sheetName val="May11"/>
      <sheetName val="Jun11"/>
      <sheetName val="Jul11"/>
      <sheetName val="Aug11"/>
      <sheetName val="Sep11"/>
      <sheetName val="Oct11"/>
      <sheetName val="Nov11"/>
      <sheetName val="Dec11"/>
      <sheetName val="Jan12"/>
      <sheetName val="Feb1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K99"/>
      <sheetName val="PSF"/>
      <sheetName val="QsYs"/>
      <sheetName val="Dis master"/>
      <sheetName val="Ranges"/>
      <sheetName val="Dis_master1"/>
      <sheetName val="Population"/>
      <sheetName val="A2_Log"/>
      <sheetName val="headroom"/>
      <sheetName val="Price x Volume Calcs"/>
      <sheetName val="C_TOC Capex"/>
      <sheetName val="C_Working Cap"/>
      <sheetName val="C_Funding"/>
      <sheetName val="I_Calcs"/>
      <sheetName val="Financial Calcs"/>
      <sheetName val="Indices &amp; Rates"/>
      <sheetName val="D8_Lockup_calc"/>
      <sheetName val="A5_User Manual &amp; Ass"/>
      <sheetName val="Template Control"/>
      <sheetName val="B3 _Ass Yr-Yr"/>
      <sheetName val="Price &amp; Volume Tables"/>
      <sheetName val="CASHFLOW Gen Income"/>
      <sheetName val="Dis_master"/>
      <sheetName val="Price_x_Volume_Calcs"/>
      <sheetName val="C_TOC_Capex"/>
      <sheetName val="C_Working_Cap"/>
      <sheetName val="Financial_Calcs"/>
      <sheetName val="Indices_&amp;_Rates"/>
      <sheetName val="A5_User_Manual_&amp;_Ass"/>
      <sheetName val="Template_Control"/>
      <sheetName val="B3__Ass_Yr-Yr"/>
      <sheetName val="Price_&amp;_Volume_Tables"/>
      <sheetName val="List Values"/>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RO308 LA drop-down"/>
      <sheetName val="Col refs"/>
      <sheetName val="RO3 LA Data 2008-09"/>
    </sheetNames>
    <sheetDataSet>
      <sheetData sheetId="0" refreshError="1"/>
      <sheetData sheetId="1"/>
      <sheetData sheetId="2" refreshError="1"/>
      <sheetData sheetId="3"/>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or hub"/>
      <sheetName val="Nos of forms"/>
      <sheetName val="RawData"/>
      <sheetName val="RawData - old forms"/>
    </sheetNames>
    <sheetDataSet>
      <sheetData sheetId="0"/>
      <sheetData sheetId="1"/>
      <sheetData sheetId="2"/>
      <sheetData sheetId="3"/>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blication tables"/>
      <sheetName val="Front end tables"/>
      <sheetName val="Input for Fisc Tables"/>
      <sheetName val="SFPCs"/>
      <sheetName val="Oth AME Prog Exp"/>
      <sheetName val="Main AME sheet"/>
      <sheetName val="Consumpt"/>
      <sheetName val="PSAT"/>
      <sheetName val="NAAJeff"/>
      <sheetName val="ECNAA"/>
      <sheetName val="DEL TAB (DBadj) "/>
      <sheetName val="Plans-TAL"/>
      <sheetName val="DELdown"/>
      <sheetName val="UK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
      <sheetName val="Nov EFO Fiscal Tables ---&gt;"/>
      <sheetName val="Chap4"/>
      <sheetName val="4.1"/>
      <sheetName val="4.2"/>
      <sheetName val="c4.1"/>
      <sheetName val="4.3"/>
      <sheetName val="4.4"/>
      <sheetName val="B4.1t"/>
      <sheetName val="4.5"/>
      <sheetName val="4.6"/>
      <sheetName val="4.7"/>
      <sheetName val="4.8"/>
      <sheetName val="4.9"/>
      <sheetName val="4.10"/>
      <sheetName val="4.11"/>
      <sheetName val="4.12"/>
      <sheetName val="4.13"/>
      <sheetName val="4.14"/>
      <sheetName val="4.15"/>
      <sheetName val="C4.2"/>
      <sheetName val="4.16"/>
      <sheetName val="4.17"/>
      <sheetName val="4.18"/>
      <sheetName val="4.19"/>
      <sheetName val="4.20"/>
      <sheetName val="4.21"/>
      <sheetName val="4.22"/>
      <sheetName val="4.23"/>
      <sheetName val="4.24"/>
      <sheetName val="4.25"/>
      <sheetName val="4.26"/>
      <sheetName val="4.27"/>
      <sheetName val="4.28"/>
      <sheetName val="C4.3"/>
      <sheetName val="4.29"/>
      <sheetName val="4.30"/>
      <sheetName val="4.31"/>
      <sheetName val="4.32"/>
      <sheetName val="B4.4a"/>
      <sheetName val="B4.4b"/>
      <sheetName val="Chap5"/>
      <sheetName val="5.1"/>
      <sheetName val="c5.1"/>
      <sheetName val="c5.2"/>
      <sheetName val="5.2"/>
      <sheetName val="5.3"/>
      <sheetName val="5.4"/>
      <sheetName val="c5.3"/>
      <sheetName val="c5.4"/>
      <sheetName val="c5.5"/>
      <sheetName val="5.5"/>
      <sheetName val="Old C+T not in EFO ---&gt;"/>
      <sheetName val="4.2o"/>
      <sheetName val="4.x7"/>
      <sheetName val="C4.x"/>
      <sheetName val="4.x6"/>
      <sheetName val="4.x5"/>
      <sheetName val="4.x4"/>
      <sheetName val="4.x3"/>
      <sheetName val="4.x2"/>
      <sheetName val="c4.5"/>
      <sheetName val="4.x"/>
      <sheetName val="C4.3 (previous version)"/>
      <sheetName val="New Tables Date ------&gt;"/>
      <sheetName val="sdHist"/>
      <sheetName val="noteLRChanges"/>
      <sheetName val="sd c4.6"/>
      <sheetName val="sd c4.5"/>
      <sheetName val="DATA---&gt;"/>
      <sheetName val="4.20old"/>
      <sheetName val="oldTME"/>
      <sheetName val="oldTMEChanges"/>
      <sheetName val="Qt2"/>
      <sheetName val="Qc4.1d"/>
      <sheetName val="psnbChanges"/>
      <sheetName val="psnbFanchart"/>
      <sheetName val="histChartData"/>
      <sheetName val="oldLasfe"/>
      <sheetName val="Conversion TME table, Nov EFO"/>
      <sheetName val="New TME table, Nov EFO"/>
      <sheetName val="sdTmeConversion Nov11"/>
      <sheetName val="sdTmeConvDiff"/>
      <sheetName val="sdTmeConversion Mar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Assumptions"/>
      <sheetName val="Summary - 15-16"/>
      <sheetName val="Summary LA - 15-16"/>
      <sheetName val="SP per Dwelling"/>
      <sheetName val="ESG Calculations"/>
      <sheetName val="Coastal authorities"/>
      <sheetName val="ESG only LAs"/>
      <sheetName val="SoS summary"/>
      <sheetName val="Ad hoc results"/>
      <sheetName val="ESSSA"/>
      <sheetName val="CTR 14-15"/>
      <sheetName val="SUFA"/>
      <sheetName val="SFA Adjust"/>
      <sheetName val="ESG"/>
      <sheetName val="Parish CTSG"/>
      <sheetName val="Commons"/>
      <sheetName val="IFCA"/>
      <sheetName val="LLFA"/>
      <sheetName val="ERtFT"/>
      <sheetName val="CommRightToChall"/>
      <sheetName val="CommRightToBid"/>
      <sheetName val="Fire"/>
      <sheetName val="NHB"/>
      <sheetName val="NHB surplus"/>
      <sheetName val="CTSNB"/>
      <sheetName val="LA Social Housing Fraud"/>
      <sheetName val="Local Welfare Provision"/>
      <sheetName val="CT freeze 13-14"/>
      <sheetName val="CT freeze 14-15"/>
      <sheetName val="CT freeze 15-16"/>
      <sheetName val="LR and CV DH"/>
      <sheetName val="Public Health Grant"/>
      <sheetName val="NHS allocations"/>
      <sheetName val="ADSC New Burdens"/>
      <sheetName val="Better Care Fund"/>
      <sheetName val="LA Lookup"/>
      <sheetName val="Exc grants"/>
      <sheetName val="TC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act"/>
      <sheetName val="Table1 CRL England"/>
      <sheetName val="Table2 CRL Wales"/>
      <sheetName val="Table3 LRL"/>
      <sheetName val="Table4 LRL"/>
      <sheetName val="Table5.1 LRL North East"/>
      <sheetName val="Table5.2 LRL North West"/>
      <sheetName val="Table5.3 LRL Yorks &amp; The Humber"/>
      <sheetName val="Table5.4 LRL East Midlands"/>
      <sheetName val="Table5.5 LRL East"/>
      <sheetName val="Table5.6 LRL West Midlands"/>
      <sheetName val="Table5.7 LRL London"/>
      <sheetName val="Table5.8 LRL South East"/>
      <sheetName val="Table5.9 LRL South W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Tax Measures"/>
      <sheetName val="Tax Summary"/>
      <sheetName val="Spending Measures"/>
      <sheetName val="Spending Summary"/>
      <sheetName val="Borrowing Summary"/>
      <sheetName val="Categories &amp; GDP"/>
      <sheetName val="Policy_measures_database_March_"/>
    </sheetNames>
    <sheetDataSet>
      <sheetData sheetId="0"/>
      <sheetData sheetId="1"/>
      <sheetData sheetId="2"/>
      <sheetData sheetId="3"/>
      <sheetData sheetId="4"/>
      <sheetData sheetId="5"/>
      <sheetData sheetId="6"/>
      <sheetData sheetId="7"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B1"/>
      <sheetName val="Tables 1 &amp; 2"/>
      <sheetName val="TableB"/>
      <sheetName val="Sept"/>
      <sheetName val="Wk 24-42"/>
    </sheetNames>
    <sheetDataSet>
      <sheetData sheetId="0" refreshError="1"/>
      <sheetData sheetId="1" refreshError="1"/>
      <sheetData sheetId="2" refreshError="1"/>
      <sheetData sheetId="3" refreshError="1"/>
      <sheetData sheetId="4"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
      <sheetName val="Billing Table"/>
      <sheetName val="Local Flump"/>
      <sheetName val="The Local Story"/>
      <sheetName val="0809"/>
      <sheetName val="Billing_Table"/>
      <sheetName val="Local_Flump"/>
      <sheetName val="The_Local_Story"/>
      <sheetName val="Billing_Table1"/>
      <sheetName val="Local_Flump1"/>
      <sheetName val="The_Local_Story1"/>
      <sheetName val="Billing_Table2"/>
      <sheetName val="Local_Flump2"/>
      <sheetName val="The_Local_Story2"/>
      <sheetName val="Billing_Table3"/>
      <sheetName val="Local_Flump3"/>
      <sheetName val="The_Local_Story3"/>
      <sheetName val="Billing_Table4"/>
      <sheetName val="Local_Flump4"/>
      <sheetName val="The_Local_Story4"/>
      <sheetName val="Billing_Table6"/>
      <sheetName val="Local_Flump6"/>
      <sheetName val="The_Local_Story6"/>
      <sheetName val="Billing_Table5"/>
      <sheetName val="Local_Flump5"/>
      <sheetName val="The_Local_Story5"/>
      <sheetName val="Billing_Table7"/>
      <sheetName val="Local_Flump7"/>
      <sheetName val="The_Local_Story7"/>
      <sheetName val="Billing_Table8"/>
      <sheetName val="Local_Flump8"/>
      <sheetName val="The_Local_Story8"/>
      <sheetName val="Billing_Table10"/>
      <sheetName val="Local_Flump10"/>
      <sheetName val="The_Local_Story10"/>
      <sheetName val="Billing_Table9"/>
      <sheetName val="Local_Flump9"/>
      <sheetName val="The_Local_Story9"/>
      <sheetName val="Billing_Table11"/>
      <sheetName val="Local_Flump11"/>
      <sheetName val="The_Local_Story11"/>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Guidance"/>
      <sheetName val="QIPP profile"/>
      <sheetName val="Commentary"/>
      <sheetName val="Risks CCGs"/>
      <sheetName val="2.5% CCGs"/>
      <sheetName val="QIPP CCGs"/>
      <sheetName val="QIPP_Data"/>
      <sheetName val="DataSheet"/>
      <sheetName val="2.5% Data"/>
      <sheetName val="Risk_Data"/>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am Report"/>
      <sheetName val="Hub chart"/>
      <sheetName val="Team scores"/>
      <sheetName val="All KAI"/>
      <sheetName val="All KAI_stat"/>
      <sheetName val="E&amp;C"/>
      <sheetName val="E&amp;C_stat"/>
      <sheetName val="DBT"/>
      <sheetName val="DBT_stat"/>
      <sheetName val="DPC"/>
      <sheetName val="TGI"/>
      <sheetName val="P&amp;P"/>
      <sheetName val="B&amp;C"/>
      <sheetName val="PG"/>
      <sheetName val="PT"/>
      <sheetName val="Q9 - encourage PBW"/>
      <sheetName val="Q10 - anything else"/>
      <sheetName val="Blank"/>
      <sheetName val="Dumm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Guidance"/>
      <sheetName val="Commentary"/>
      <sheetName val="Risks CCGs"/>
      <sheetName val="2.5% CCGs"/>
      <sheetName val="QIPP CCGs"/>
      <sheetName val="Quality Premium"/>
      <sheetName val="Underlying Position"/>
      <sheetName val="QIPP profile"/>
      <sheetName val="2.5% Data"/>
      <sheetName val="Risk_Data"/>
      <sheetName val="QIPP_Data"/>
      <sheetName val="DataSheet"/>
      <sheetName val="Bridge"/>
      <sheetName val="Plan info"/>
      <sheetName val="QP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SUMMARY_TABLE"/>
      <sheetName val="ET_TABLE"/>
      <sheetName val="Annex B T37 Providers"/>
      <sheetName val="UK99"/>
      <sheetName val="SUMMARY_TABLE1"/>
      <sheetName val="ET_TABLE1"/>
      <sheetName val="SUMMARY_TABLE2"/>
      <sheetName val="ET_TABLE2"/>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ow r="17">
          <cell r="Q17">
            <v>1266</v>
          </cell>
        </row>
      </sheetData>
      <sheetData sheetId="4"/>
      <sheetData sheetId="5" refreshError="1"/>
      <sheetData sheetId="6" refreshError="1"/>
      <sheetData sheetId="7"/>
      <sheetData sheetId="8"/>
      <sheetData sheetId="9"/>
      <sheetData sheetId="10"/>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PC1"/>
      <sheetName val="PC2"/>
      <sheetName val="PC3"/>
      <sheetName val="PC4"/>
      <sheetName val="PC5"/>
      <sheetName val="PC6"/>
      <sheetName val="XXPC7"/>
      <sheetName val="PC8"/>
      <sheetName val="PC9"/>
      <sheetName val="PC10"/>
      <sheetName val="PC11"/>
      <sheetName val="PC12"/>
      <sheetName val="PC13"/>
      <sheetName val="PC14"/>
      <sheetName val="PC15"/>
      <sheetName val="PC16"/>
      <sheetName val="PC17"/>
      <sheetName val="PC18"/>
      <sheetName val="PC19"/>
      <sheetName val="PC20"/>
      <sheetName val="XXPC21"/>
      <sheetName val="PC22"/>
      <sheetName val="PC23"/>
      <sheetName val="PC24"/>
      <sheetName val="PC25"/>
      <sheetName val="PC26"/>
      <sheetName val="PC27"/>
      <sheetName val="PC28"/>
      <sheetName val="PC29"/>
      <sheetName val="PC30"/>
      <sheetName val="XXPC31"/>
      <sheetName val="XXPC32"/>
      <sheetName val="PC33"/>
      <sheetName val="XXPC34"/>
      <sheetName val="XXPC35"/>
      <sheetName val="PC36"/>
      <sheetName val="XXPC37"/>
      <sheetName val="XXPC38"/>
      <sheetName val="PC39"/>
      <sheetName val="PC40"/>
      <sheetName val="PC41"/>
      <sheetName val="OUTTURNS"/>
      <sheetName val="OT"/>
      <sheetName val="Cal Yr PBR07"/>
      <sheetName val="Cal Yr T PBR07"/>
      <sheetName val="Q PBR07"/>
      <sheetName val="Q T PBR07"/>
      <sheetName val="Cal Yr BUD08"/>
      <sheetName val="Cal Yr T BUD08"/>
      <sheetName val="Q BUD08"/>
      <sheetName val="Q T BUD0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RS08 LA drop-down"/>
      <sheetName val="Net current expenditure (col 1)"/>
      <sheetName val="Capital charges (col 2)"/>
      <sheetName val="Net total cost (col 3)"/>
      <sheetName val="Col refs"/>
    </sheetNames>
    <sheetDataSet>
      <sheetData sheetId="0" refreshError="1"/>
      <sheetData sheetId="1" refreshError="1"/>
      <sheetData sheetId="2"/>
      <sheetData sheetId="3"/>
      <sheetData sheetId="4"/>
      <sheetData sheetId="5"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itle sheet"/>
      <sheetName val="Summary stats"/>
      <sheetName val="Budget analysis"/>
      <sheetName val="Increase in NICs"/>
      <sheetName val="Notes for Budget"/>
      <sheetName val="Update to trends in nurses pay"/>
      <sheetName val="Instructions"/>
      <sheetName val="Data sources"/>
      <sheetName val="Publication time"/>
      <sheetName val="Info_one off payments and PRB"/>
      <sheetName val="Analysis"/>
      <sheetName val="Analysis_ All non-medical staff"/>
      <sheetName val="Analysis_All_medical"/>
      <sheetName val="Analysis_ All HCHS staff"/>
      <sheetName val="Analysis_ Nurses"/>
      <sheetName val="Public, private sector earnings"/>
      <sheetName val="ONS AWE_latest"/>
      <sheetName val="Public and private sector"/>
      <sheetName val="Inflation data"/>
      <sheetName val="OBR forecast October2024"/>
      <sheetName val="OBR forecast_March2024"/>
      <sheetName val="ONS CPIH_latest"/>
      <sheetName val="Raw data"/>
      <sheetName val="Look-up"/>
      <sheetName val="Table 1_latest"/>
      <sheetName val="Table 2a_latest"/>
      <sheetName val="Table 2a_All Non-Medical"/>
      <sheetName val="Archive &gt;&gt;"/>
      <sheetName val="ONS AWE_old"/>
      <sheetName val="Table 1_toMarch2023"/>
      <sheetName val="Table 1_toJune2023"/>
      <sheetName val="Table1_toSep2023"/>
      <sheetName val="OBR forecast_Nov23"/>
    </sheetNames>
    <sheetDataSet>
      <sheetData sheetId="0"/>
      <sheetData sheetId="1"/>
      <sheetData sheetId="2"/>
      <sheetData sheetId="3"/>
      <sheetData sheetId="4">
        <row r="13">
          <cell r="C13"/>
          <cell r="D13"/>
          <cell r="E13"/>
          <cell r="F13"/>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ge-adjust"/>
      <sheetName val="age profile"/>
      <sheetName val="finer age adjustment"/>
      <sheetName val="Relative to different bases"/>
    </sheetNames>
    <sheetDataSet>
      <sheetData sheetId="0" refreshError="1">
        <row r="33">
          <cell r="D33" t="str">
            <v>All</v>
          </cell>
        </row>
        <row r="34">
          <cell r="A34" t="str">
            <v xml:space="preserve">Total </v>
          </cell>
          <cell r="C34" t="str">
            <v>YEAR</v>
          </cell>
          <cell r="D34">
            <v>0</v>
          </cell>
          <cell r="E34">
            <v>1</v>
          </cell>
          <cell r="F34">
            <v>2</v>
          </cell>
          <cell r="G34">
            <v>3</v>
          </cell>
          <cell r="H34">
            <v>4</v>
          </cell>
          <cell r="I34">
            <v>5</v>
          </cell>
          <cell r="J34">
            <v>6</v>
          </cell>
          <cell r="K34">
            <v>7</v>
          </cell>
          <cell r="L34">
            <v>8</v>
          </cell>
          <cell r="M34">
            <v>9</v>
          </cell>
          <cell r="N34">
            <v>10</v>
          </cell>
          <cell r="O34">
            <v>11</v>
          </cell>
          <cell r="P34">
            <v>12</v>
          </cell>
          <cell r="Q34">
            <v>13</v>
          </cell>
          <cell r="R34">
            <v>14</v>
          </cell>
          <cell r="S34">
            <v>15</v>
          </cell>
          <cell r="T34">
            <v>16</v>
          </cell>
          <cell r="U34">
            <v>17</v>
          </cell>
          <cell r="V34">
            <v>18</v>
          </cell>
          <cell r="W34">
            <v>19</v>
          </cell>
          <cell r="X34">
            <v>20</v>
          </cell>
          <cell r="Y34">
            <v>21</v>
          </cell>
          <cell r="Z34">
            <v>22</v>
          </cell>
          <cell r="AA34">
            <v>23</v>
          </cell>
          <cell r="AB34">
            <v>24</v>
          </cell>
          <cell r="AC34">
            <v>25</v>
          </cell>
          <cell r="AD34">
            <v>26</v>
          </cell>
          <cell r="AE34">
            <v>27</v>
          </cell>
          <cell r="AF34">
            <v>28</v>
          </cell>
          <cell r="AG34">
            <v>29</v>
          </cell>
          <cell r="AH34">
            <v>30</v>
          </cell>
          <cell r="AI34">
            <v>31</v>
          </cell>
          <cell r="AJ34">
            <v>32</v>
          </cell>
          <cell r="AK34">
            <v>33</v>
          </cell>
          <cell r="AL34">
            <v>34</v>
          </cell>
          <cell r="AM34">
            <v>35</v>
          </cell>
          <cell r="AN34">
            <v>36</v>
          </cell>
          <cell r="AO34">
            <v>37</v>
          </cell>
          <cell r="AP34">
            <v>38</v>
          </cell>
          <cell r="AQ34">
            <v>39</v>
          </cell>
          <cell r="AR34">
            <v>40</v>
          </cell>
          <cell r="AS34">
            <v>41</v>
          </cell>
          <cell r="AT34">
            <v>42</v>
          </cell>
          <cell r="AU34">
            <v>43</v>
          </cell>
          <cell r="AV34">
            <v>44</v>
          </cell>
          <cell r="AW34">
            <v>45</v>
          </cell>
          <cell r="AX34">
            <v>46</v>
          </cell>
          <cell r="AY34">
            <v>47</v>
          </cell>
          <cell r="AZ34">
            <v>48</v>
          </cell>
          <cell r="BA34">
            <v>49</v>
          </cell>
          <cell r="BB34">
            <v>50</v>
          </cell>
          <cell r="BC34">
            <v>51</v>
          </cell>
          <cell r="BD34">
            <v>52</v>
          </cell>
          <cell r="BE34">
            <v>53</v>
          </cell>
          <cell r="BF34">
            <v>54</v>
          </cell>
          <cell r="BG34">
            <v>55</v>
          </cell>
          <cell r="BH34">
            <v>56</v>
          </cell>
          <cell r="BI34">
            <v>57</v>
          </cell>
          <cell r="BJ34">
            <v>58</v>
          </cell>
          <cell r="BK34">
            <v>59</v>
          </cell>
          <cell r="BL34">
            <v>60</v>
          </cell>
          <cell r="BM34">
            <v>61</v>
          </cell>
          <cell r="BN34">
            <v>62</v>
          </cell>
          <cell r="BO34">
            <v>63</v>
          </cell>
          <cell r="BP34">
            <v>64</v>
          </cell>
          <cell r="BQ34">
            <v>65</v>
          </cell>
          <cell r="BR34">
            <v>66</v>
          </cell>
          <cell r="BS34">
            <v>67</v>
          </cell>
          <cell r="BT34">
            <v>68</v>
          </cell>
          <cell r="BU34">
            <v>69</v>
          </cell>
          <cell r="BV34">
            <v>70</v>
          </cell>
          <cell r="BW34">
            <v>71</v>
          </cell>
          <cell r="BX34">
            <v>72</v>
          </cell>
          <cell r="BY34">
            <v>73</v>
          </cell>
          <cell r="BZ34">
            <v>74</v>
          </cell>
          <cell r="CA34">
            <v>75</v>
          </cell>
          <cell r="CB34">
            <v>76</v>
          </cell>
          <cell r="CC34">
            <v>77</v>
          </cell>
          <cell r="CD34">
            <v>78</v>
          </cell>
          <cell r="CE34">
            <v>79</v>
          </cell>
          <cell r="CF34">
            <v>80</v>
          </cell>
          <cell r="CG34">
            <v>81</v>
          </cell>
          <cell r="CH34">
            <v>82</v>
          </cell>
          <cell r="CI34">
            <v>83</v>
          </cell>
          <cell r="CJ34">
            <v>84</v>
          </cell>
          <cell r="CK34">
            <v>85</v>
          </cell>
          <cell r="CL34">
            <v>86</v>
          </cell>
          <cell r="CM34">
            <v>87</v>
          </cell>
          <cell r="CN34">
            <v>88</v>
          </cell>
          <cell r="CO34">
            <v>89</v>
          </cell>
          <cell r="CP34" t="str">
            <v>90+</v>
          </cell>
        </row>
        <row r="35">
          <cell r="C35">
            <v>2009</v>
          </cell>
        </row>
        <row r="36">
          <cell r="C36">
            <v>2010</v>
          </cell>
        </row>
        <row r="37">
          <cell r="C37">
            <v>2011</v>
          </cell>
        </row>
        <row r="38">
          <cell r="C38">
            <v>2012</v>
          </cell>
        </row>
        <row r="39">
          <cell r="C39">
            <v>2013</v>
          </cell>
        </row>
        <row r="40">
          <cell r="C40">
            <v>2014</v>
          </cell>
        </row>
        <row r="41">
          <cell r="C41">
            <v>2015</v>
          </cell>
        </row>
        <row r="42">
          <cell r="C42">
            <v>2016</v>
          </cell>
        </row>
        <row r="43">
          <cell r="C43">
            <v>2017</v>
          </cell>
        </row>
        <row r="44">
          <cell r="C44">
            <v>2018</v>
          </cell>
        </row>
        <row r="45">
          <cell r="C45">
            <v>2019</v>
          </cell>
        </row>
      </sheetData>
      <sheetData sheetId="1" refreshError="1"/>
      <sheetData sheetId="2" refreshError="1"/>
      <sheetData sheetId="3" refreshError="1"/>
      <sheetData sheetId="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
      <sheetName val="Notes and definitions"/>
      <sheetName val="Table 1"/>
      <sheetName val="Table 2"/>
      <sheetName val="Table 3"/>
      <sheetName val="Table 4"/>
    </sheetNames>
    <sheetDataSet>
      <sheetData sheetId="0"/>
      <sheetData sheetId="1"/>
      <sheetData sheetId="2">
        <row r="3">
          <cell r="B3" t="str">
            <v>England</v>
          </cell>
          <cell r="C3" t="str">
            <v>COVID</v>
          </cell>
        </row>
        <row r="4">
          <cell r="A4" t="str">
            <v>April 2009</v>
          </cell>
          <cell r="B4">
            <v>3.97</v>
          </cell>
          <cell r="C4">
            <v>3.19</v>
          </cell>
        </row>
        <row r="5">
          <cell r="A5" t="str">
            <v>May 2009</v>
          </cell>
          <cell r="B5">
            <v>4.04</v>
          </cell>
          <cell r="C5">
            <v>3.31</v>
          </cell>
        </row>
        <row r="6">
          <cell r="A6" t="str">
            <v>June 2009</v>
          </cell>
          <cell r="B6">
            <v>4.13</v>
          </cell>
          <cell r="C6">
            <v>3.51</v>
          </cell>
        </row>
        <row r="7">
          <cell r="A7" t="str">
            <v>July 2009</v>
          </cell>
          <cell r="B7">
            <v>4.66</v>
          </cell>
          <cell r="C7">
            <v>3.96</v>
          </cell>
        </row>
        <row r="8">
          <cell r="A8" t="str">
            <v>August 2009</v>
          </cell>
          <cell r="B8">
            <v>4.28</v>
          </cell>
          <cell r="C8">
            <v>3.45</v>
          </cell>
        </row>
        <row r="9">
          <cell r="A9" t="str">
            <v>September 2009</v>
          </cell>
          <cell r="B9">
            <v>4.21</v>
          </cell>
          <cell r="C9">
            <v>3.47</v>
          </cell>
        </row>
        <row r="10">
          <cell r="A10" t="str">
            <v>October 2009</v>
          </cell>
          <cell r="B10">
            <v>4.6900000000000004</v>
          </cell>
          <cell r="C10">
            <v>3.82</v>
          </cell>
        </row>
        <row r="11">
          <cell r="A11" t="str">
            <v>November 2009</v>
          </cell>
          <cell r="B11">
            <v>4.75</v>
          </cell>
          <cell r="C11">
            <v>3.89</v>
          </cell>
        </row>
        <row r="12">
          <cell r="A12" t="str">
            <v>December 2009</v>
          </cell>
          <cell r="B12">
            <v>4.66</v>
          </cell>
          <cell r="C12">
            <v>3.71</v>
          </cell>
        </row>
        <row r="13">
          <cell r="A13" t="str">
            <v>January 2010</v>
          </cell>
          <cell r="B13">
            <v>4.8099999999999996</v>
          </cell>
          <cell r="C13">
            <v>3.86</v>
          </cell>
        </row>
        <row r="14">
          <cell r="A14" t="str">
            <v>February 2010</v>
          </cell>
          <cell r="B14">
            <v>4.42</v>
          </cell>
          <cell r="C14">
            <v>3.61</v>
          </cell>
        </row>
        <row r="15">
          <cell r="A15" t="str">
            <v>March 2010</v>
          </cell>
          <cell r="B15">
            <v>4.21</v>
          </cell>
          <cell r="C15">
            <v>3.48</v>
          </cell>
        </row>
        <row r="16">
          <cell r="A16" t="str">
            <v>April 2010</v>
          </cell>
          <cell r="B16">
            <v>3.91</v>
          </cell>
          <cell r="C16">
            <v>3.17</v>
          </cell>
        </row>
        <row r="17">
          <cell r="A17" t="str">
            <v>May 2010</v>
          </cell>
          <cell r="B17">
            <v>3.9</v>
          </cell>
          <cell r="C17">
            <v>3.21</v>
          </cell>
        </row>
        <row r="18">
          <cell r="A18" t="str">
            <v>June 2010</v>
          </cell>
          <cell r="B18">
            <v>3.91</v>
          </cell>
          <cell r="C18">
            <v>3.29</v>
          </cell>
        </row>
        <row r="19">
          <cell r="A19" t="str">
            <v>July 2010</v>
          </cell>
          <cell r="B19">
            <v>3.96</v>
          </cell>
          <cell r="C19">
            <v>3.33</v>
          </cell>
        </row>
        <row r="20">
          <cell r="A20" t="str">
            <v>August 2010</v>
          </cell>
          <cell r="B20">
            <v>3.83</v>
          </cell>
          <cell r="C20">
            <v>3.29</v>
          </cell>
        </row>
        <row r="21">
          <cell r="A21" t="str">
            <v>September 2010</v>
          </cell>
          <cell r="B21">
            <v>4.07</v>
          </cell>
          <cell r="C21">
            <v>3.49</v>
          </cell>
        </row>
        <row r="22">
          <cell r="A22" t="str">
            <v>October 2010</v>
          </cell>
          <cell r="B22">
            <v>4.28</v>
          </cell>
          <cell r="C22">
            <v>3.59</v>
          </cell>
        </row>
        <row r="23">
          <cell r="A23" t="str">
            <v>November 2010</v>
          </cell>
          <cell r="B23">
            <v>4.32</v>
          </cell>
          <cell r="C23">
            <v>3.58</v>
          </cell>
        </row>
        <row r="24">
          <cell r="A24" t="str">
            <v>December 2010</v>
          </cell>
          <cell r="B24">
            <v>4.95</v>
          </cell>
          <cell r="C24">
            <v>4.12</v>
          </cell>
        </row>
        <row r="25">
          <cell r="A25" t="str">
            <v>January 2011</v>
          </cell>
          <cell r="B25">
            <v>4.6399999999999997</v>
          </cell>
          <cell r="C25">
            <v>3.72</v>
          </cell>
        </row>
        <row r="26">
          <cell r="A26" t="str">
            <v>February  2011</v>
          </cell>
          <cell r="B26">
            <v>4.07</v>
          </cell>
          <cell r="C26">
            <v>3.38</v>
          </cell>
        </row>
        <row r="27">
          <cell r="A27" t="str">
            <v>March  2011</v>
          </cell>
          <cell r="B27">
            <v>3.93</v>
          </cell>
          <cell r="C27">
            <v>3.31</v>
          </cell>
        </row>
        <row r="28">
          <cell r="A28" t="str">
            <v>April 2011</v>
          </cell>
          <cell r="B28">
            <v>3.73</v>
          </cell>
          <cell r="C28">
            <v>3.09</v>
          </cell>
        </row>
        <row r="29">
          <cell r="A29" t="str">
            <v>May 2011</v>
          </cell>
          <cell r="B29">
            <v>3.69</v>
          </cell>
          <cell r="C29">
            <v>3.15</v>
          </cell>
        </row>
        <row r="30">
          <cell r="A30" t="str">
            <v>June 2011</v>
          </cell>
          <cell r="B30">
            <v>3.9</v>
          </cell>
          <cell r="C30">
            <v>3.43</v>
          </cell>
        </row>
        <row r="31">
          <cell r="A31" t="str">
            <v>July 2011</v>
          </cell>
          <cell r="B31">
            <v>3.97</v>
          </cell>
          <cell r="C31">
            <v>3.5</v>
          </cell>
        </row>
        <row r="32">
          <cell r="A32" t="str">
            <v>August 2011</v>
          </cell>
          <cell r="B32">
            <v>3.92</v>
          </cell>
          <cell r="C32">
            <v>3.44</v>
          </cell>
        </row>
        <row r="33">
          <cell r="A33" t="str">
            <v>September 2011</v>
          </cell>
          <cell r="B33">
            <v>4.03</v>
          </cell>
          <cell r="C33">
            <v>3.47</v>
          </cell>
        </row>
        <row r="34">
          <cell r="A34" t="str">
            <v>October 2011</v>
          </cell>
          <cell r="B34">
            <v>4.2699999999999996</v>
          </cell>
          <cell r="C34">
            <v>3.61</v>
          </cell>
        </row>
        <row r="35">
          <cell r="A35" t="str">
            <v>November 2011</v>
          </cell>
          <cell r="B35">
            <v>4.43</v>
          </cell>
          <cell r="C35">
            <v>3.7</v>
          </cell>
        </row>
        <row r="36">
          <cell r="A36" t="str">
            <v>December 2011</v>
          </cell>
          <cell r="B36">
            <v>4.41</v>
          </cell>
          <cell r="C36">
            <v>3.69</v>
          </cell>
        </row>
        <row r="37">
          <cell r="A37" t="str">
            <v>January 2012</v>
          </cell>
          <cell r="B37">
            <v>4.49</v>
          </cell>
          <cell r="C37">
            <v>3.77</v>
          </cell>
        </row>
        <row r="38">
          <cell r="A38" t="str">
            <v>February 2012</v>
          </cell>
          <cell r="B38">
            <v>4.51</v>
          </cell>
          <cell r="C38">
            <v>3.83</v>
          </cell>
        </row>
        <row r="39">
          <cell r="A39" t="str">
            <v>March 2012</v>
          </cell>
          <cell r="B39">
            <v>4.2</v>
          </cell>
          <cell r="C39">
            <v>3.49</v>
          </cell>
        </row>
        <row r="40">
          <cell r="A40" t="str">
            <v>April 2012</v>
          </cell>
          <cell r="B40">
            <v>4.03</v>
          </cell>
          <cell r="C40">
            <v>3.3</v>
          </cell>
        </row>
        <row r="41">
          <cell r="A41" t="str">
            <v>May 2012</v>
          </cell>
          <cell r="B41">
            <v>4.1500000000000004</v>
          </cell>
          <cell r="C41">
            <v>3.44</v>
          </cell>
        </row>
        <row r="42">
          <cell r="A42" t="str">
            <v>June 2012</v>
          </cell>
          <cell r="B42">
            <v>3.97</v>
          </cell>
          <cell r="C42">
            <v>3.32</v>
          </cell>
        </row>
        <row r="43">
          <cell r="A43" t="str">
            <v>July 2012</v>
          </cell>
          <cell r="B43">
            <v>4.1900000000000004</v>
          </cell>
          <cell r="C43">
            <v>3.51</v>
          </cell>
        </row>
        <row r="44">
          <cell r="A44" t="str">
            <v>August 2012</v>
          </cell>
          <cell r="B44">
            <v>4.04</v>
          </cell>
          <cell r="C44">
            <v>3.36</v>
          </cell>
        </row>
        <row r="45">
          <cell r="A45" t="str">
            <v>September 2012</v>
          </cell>
          <cell r="B45">
            <v>4.07</v>
          </cell>
          <cell r="C45">
            <v>3.41</v>
          </cell>
        </row>
        <row r="46">
          <cell r="A46" t="str">
            <v>October 2012</v>
          </cell>
          <cell r="B46">
            <v>4.4400000000000004</v>
          </cell>
          <cell r="C46">
            <v>3.72</v>
          </cell>
        </row>
        <row r="47">
          <cell r="A47" t="str">
            <v>November 2012</v>
          </cell>
          <cell r="B47">
            <v>4.53</v>
          </cell>
          <cell r="C47">
            <v>3.78</v>
          </cell>
        </row>
        <row r="48">
          <cell r="A48" t="str">
            <v>December 2012</v>
          </cell>
          <cell r="B48">
            <v>4.6500000000000004</v>
          </cell>
          <cell r="C48">
            <v>3.81</v>
          </cell>
        </row>
        <row r="49">
          <cell r="A49" t="str">
            <v>January 2013</v>
          </cell>
          <cell r="B49">
            <v>4.7699999999999996</v>
          </cell>
          <cell r="C49">
            <v>3.93</v>
          </cell>
        </row>
        <row r="50">
          <cell r="A50" t="str">
            <v>February 2013</v>
          </cell>
          <cell r="B50">
            <v>4.3600000000000003</v>
          </cell>
          <cell r="C50">
            <v>3.68</v>
          </cell>
        </row>
        <row r="51">
          <cell r="A51" t="str">
            <v>March 2013</v>
          </cell>
          <cell r="B51">
            <v>4.13</v>
          </cell>
          <cell r="C51">
            <v>3.35</v>
          </cell>
        </row>
        <row r="52">
          <cell r="A52" t="str">
            <v>April 2013</v>
          </cell>
          <cell r="B52">
            <v>3.98</v>
          </cell>
          <cell r="C52">
            <v>3.29</v>
          </cell>
        </row>
        <row r="53">
          <cell r="A53" t="str">
            <v>May 2013</v>
          </cell>
          <cell r="B53">
            <v>3.78</v>
          </cell>
          <cell r="C53">
            <v>3.24</v>
          </cell>
        </row>
        <row r="54">
          <cell r="A54" t="str">
            <v>June 2013</v>
          </cell>
          <cell r="B54">
            <v>3.8</v>
          </cell>
          <cell r="C54">
            <v>3.32</v>
          </cell>
        </row>
        <row r="55">
          <cell r="A55" t="str">
            <v>July 2013</v>
          </cell>
          <cell r="B55">
            <v>3.87</v>
          </cell>
          <cell r="C55">
            <v>3.36</v>
          </cell>
        </row>
        <row r="56">
          <cell r="A56" t="str">
            <v>August 2013</v>
          </cell>
          <cell r="B56">
            <v>3.8</v>
          </cell>
          <cell r="C56">
            <v>3.26</v>
          </cell>
        </row>
        <row r="57">
          <cell r="A57" t="str">
            <v>September 2013</v>
          </cell>
          <cell r="B57">
            <v>3.94</v>
          </cell>
          <cell r="C57">
            <v>3.47</v>
          </cell>
        </row>
        <row r="58">
          <cell r="A58" t="str">
            <v>October 2013</v>
          </cell>
          <cell r="B58">
            <v>4.17</v>
          </cell>
          <cell r="C58">
            <v>3.69</v>
          </cell>
        </row>
        <row r="59">
          <cell r="A59" t="str">
            <v>November 2013</v>
          </cell>
          <cell r="B59">
            <v>4.2300000000000004</v>
          </cell>
          <cell r="C59">
            <v>3.66</v>
          </cell>
        </row>
        <row r="60">
          <cell r="A60" t="str">
            <v>December 2013</v>
          </cell>
          <cell r="B60">
            <v>4.34</v>
          </cell>
          <cell r="C60">
            <v>3.63</v>
          </cell>
        </row>
        <row r="61">
          <cell r="A61" t="str">
            <v>January 2014</v>
          </cell>
          <cell r="B61">
            <v>4.4400000000000004</v>
          </cell>
          <cell r="C61">
            <v>3.66</v>
          </cell>
        </row>
        <row r="62">
          <cell r="A62" t="str">
            <v>February 2014</v>
          </cell>
          <cell r="B62">
            <v>4.3</v>
          </cell>
          <cell r="C62">
            <v>3.63</v>
          </cell>
        </row>
        <row r="63">
          <cell r="A63" t="str">
            <v>March 2014</v>
          </cell>
          <cell r="B63">
            <v>4.04</v>
          </cell>
          <cell r="C63">
            <v>3.37</v>
          </cell>
        </row>
        <row r="64">
          <cell r="A64" t="str">
            <v>April 2014</v>
          </cell>
          <cell r="B64">
            <v>3.95</v>
          </cell>
          <cell r="C64">
            <v>3.29</v>
          </cell>
        </row>
        <row r="65">
          <cell r="A65" t="str">
            <v>May 2014</v>
          </cell>
          <cell r="B65">
            <v>3.85</v>
          </cell>
          <cell r="C65">
            <v>3.25</v>
          </cell>
        </row>
        <row r="66">
          <cell r="A66" t="str">
            <v>June 2014</v>
          </cell>
          <cell r="B66">
            <v>3.95</v>
          </cell>
          <cell r="C66">
            <v>3.33</v>
          </cell>
        </row>
        <row r="67">
          <cell r="A67" t="str">
            <v>July 2014</v>
          </cell>
          <cell r="B67">
            <v>4.08</v>
          </cell>
          <cell r="C67">
            <v>3.43</v>
          </cell>
        </row>
        <row r="68">
          <cell r="A68" t="str">
            <v>August 2014</v>
          </cell>
          <cell r="B68">
            <v>3.98</v>
          </cell>
          <cell r="C68">
            <v>3.38</v>
          </cell>
        </row>
        <row r="69">
          <cell r="A69" t="str">
            <v>September 2014</v>
          </cell>
          <cell r="B69">
            <v>4.1500000000000004</v>
          </cell>
          <cell r="C69">
            <v>3.52</v>
          </cell>
        </row>
        <row r="70">
          <cell r="A70" t="str">
            <v>October 2014</v>
          </cell>
          <cell r="B70">
            <v>4.42</v>
          </cell>
          <cell r="C70">
            <v>3.71</v>
          </cell>
        </row>
        <row r="71">
          <cell r="A71" t="str">
            <v>November 2014</v>
          </cell>
          <cell r="B71">
            <v>4.47</v>
          </cell>
          <cell r="C71">
            <v>3.7</v>
          </cell>
        </row>
        <row r="72">
          <cell r="A72" t="str">
            <v>December 2014</v>
          </cell>
          <cell r="B72">
            <v>4.78</v>
          </cell>
          <cell r="C72">
            <v>3.95</v>
          </cell>
        </row>
        <row r="73">
          <cell r="A73" t="str">
            <v>January 2015</v>
          </cell>
          <cell r="B73">
            <v>4.72</v>
          </cell>
          <cell r="C73">
            <v>3.79</v>
          </cell>
        </row>
        <row r="74">
          <cell r="A74" t="str">
            <v>February 2015</v>
          </cell>
          <cell r="B74">
            <v>4.42</v>
          </cell>
          <cell r="C74">
            <v>3.64</v>
          </cell>
        </row>
        <row r="75">
          <cell r="A75" t="str">
            <v>March 2015</v>
          </cell>
          <cell r="B75">
            <v>4.18</v>
          </cell>
          <cell r="C75">
            <v>3.48</v>
          </cell>
        </row>
        <row r="76">
          <cell r="A76" t="str">
            <v>April 2015</v>
          </cell>
          <cell r="B76">
            <v>3.99</v>
          </cell>
          <cell r="C76">
            <v>3.3</v>
          </cell>
        </row>
        <row r="77">
          <cell r="A77" t="str">
            <v>May 2015</v>
          </cell>
          <cell r="B77">
            <v>3.9</v>
          </cell>
          <cell r="C77">
            <v>3.19</v>
          </cell>
        </row>
        <row r="78">
          <cell r="A78" t="str">
            <v>June 2015</v>
          </cell>
          <cell r="B78">
            <v>3.93</v>
          </cell>
          <cell r="C78">
            <v>3.31</v>
          </cell>
        </row>
        <row r="79">
          <cell r="A79" t="str">
            <v>July 2015</v>
          </cell>
          <cell r="B79">
            <v>3.98</v>
          </cell>
          <cell r="C79">
            <v>3.37</v>
          </cell>
        </row>
        <row r="80">
          <cell r="A80" t="str">
            <v>August 2015</v>
          </cell>
          <cell r="B80">
            <v>3.92</v>
          </cell>
          <cell r="C80">
            <v>3.29</v>
          </cell>
        </row>
        <row r="81">
          <cell r="A81" t="str">
            <v>September 2015</v>
          </cell>
          <cell r="B81">
            <v>4</v>
          </cell>
          <cell r="C81">
            <v>3.43</v>
          </cell>
        </row>
        <row r="82">
          <cell r="A82" t="str">
            <v>October 2015</v>
          </cell>
          <cell r="B82">
            <v>4.24</v>
          </cell>
          <cell r="C82">
            <v>3.52</v>
          </cell>
        </row>
        <row r="83">
          <cell r="A83" t="str">
            <v>November 2015</v>
          </cell>
          <cell r="B83">
            <v>4.29</v>
          </cell>
          <cell r="C83">
            <v>3.5</v>
          </cell>
        </row>
        <row r="84">
          <cell r="A84" t="str">
            <v>December 2015</v>
          </cell>
          <cell r="B84">
            <v>4.3899999999999997</v>
          </cell>
          <cell r="C84">
            <v>3.53</v>
          </cell>
        </row>
        <row r="85">
          <cell r="A85" t="str">
            <v>January 2016</v>
          </cell>
          <cell r="B85">
            <v>4.49</v>
          </cell>
          <cell r="C85">
            <v>3.61</v>
          </cell>
        </row>
        <row r="86">
          <cell r="A86" t="str">
            <v>February 2016</v>
          </cell>
          <cell r="B86">
            <v>4.42</v>
          </cell>
          <cell r="C86">
            <v>3.61</v>
          </cell>
        </row>
        <row r="87">
          <cell r="A87" t="str">
            <v>March 2016</v>
          </cell>
          <cell r="B87">
            <v>4.21</v>
          </cell>
          <cell r="C87">
            <v>3.39</v>
          </cell>
        </row>
        <row r="88">
          <cell r="A88" t="str">
            <v>April 2016</v>
          </cell>
          <cell r="B88">
            <v>4.01</v>
          </cell>
          <cell r="C88">
            <v>3.26</v>
          </cell>
        </row>
        <row r="89">
          <cell r="A89" t="str">
            <v>May 2016</v>
          </cell>
          <cell r="B89">
            <v>3.84</v>
          </cell>
          <cell r="C89">
            <v>3.11</v>
          </cell>
        </row>
        <row r="90">
          <cell r="A90" t="str">
            <v>June 2016</v>
          </cell>
          <cell r="B90">
            <v>3.94</v>
          </cell>
          <cell r="C90">
            <v>3.26</v>
          </cell>
        </row>
        <row r="91">
          <cell r="A91" t="str">
            <v>July 2016</v>
          </cell>
          <cell r="B91">
            <v>4.04</v>
          </cell>
          <cell r="C91">
            <v>3.26</v>
          </cell>
        </row>
        <row r="92">
          <cell r="A92" t="str">
            <v>August 2016</v>
          </cell>
          <cell r="B92">
            <v>3.92</v>
          </cell>
          <cell r="C92">
            <v>3.18</v>
          </cell>
        </row>
        <row r="93">
          <cell r="A93" t="str">
            <v>September 2016</v>
          </cell>
          <cell r="B93">
            <v>3.99</v>
          </cell>
          <cell r="C93">
            <v>3.22</v>
          </cell>
        </row>
        <row r="94">
          <cell r="A94" t="str">
            <v>October 2016</v>
          </cell>
          <cell r="B94">
            <v>4.3</v>
          </cell>
          <cell r="C94">
            <v>3.51</v>
          </cell>
        </row>
        <row r="95">
          <cell r="A95" t="str">
            <v>November 2016</v>
          </cell>
          <cell r="B95">
            <v>4.46</v>
          </cell>
          <cell r="C95">
            <v>3.66</v>
          </cell>
        </row>
        <row r="96">
          <cell r="A96" t="str">
            <v>December 2016</v>
          </cell>
          <cell r="B96">
            <v>4.55</v>
          </cell>
          <cell r="C96">
            <v>3.64</v>
          </cell>
        </row>
        <row r="97">
          <cell r="A97" t="str">
            <v>January 2017</v>
          </cell>
          <cell r="B97">
            <v>4.66</v>
          </cell>
          <cell r="C97">
            <v>3.83</v>
          </cell>
        </row>
        <row r="98">
          <cell r="A98" t="str">
            <v>February 2017</v>
          </cell>
          <cell r="B98">
            <v>4.29</v>
          </cell>
          <cell r="C98">
            <v>3.54</v>
          </cell>
        </row>
        <row r="99">
          <cell r="A99" t="str">
            <v>March 2017</v>
          </cell>
          <cell r="B99">
            <v>3.93</v>
          </cell>
          <cell r="C99">
            <v>3.15</v>
          </cell>
        </row>
        <row r="100">
          <cell r="A100" t="str">
            <v>April 2017</v>
          </cell>
          <cell r="B100">
            <v>3.69</v>
          </cell>
          <cell r="C100">
            <v>2.96</v>
          </cell>
        </row>
        <row r="101">
          <cell r="A101" t="str">
            <v>May 2017</v>
          </cell>
          <cell r="B101">
            <v>3.84</v>
          </cell>
          <cell r="C101">
            <v>3.13</v>
          </cell>
        </row>
        <row r="102">
          <cell r="A102" t="str">
            <v>June 2017</v>
          </cell>
          <cell r="B102">
            <v>3.85</v>
          </cell>
          <cell r="C102">
            <v>3.13</v>
          </cell>
        </row>
        <row r="103">
          <cell r="A103" t="str">
            <v>July 2017</v>
          </cell>
          <cell r="B103">
            <v>4.0199999999999996</v>
          </cell>
          <cell r="C103">
            <v>3.29</v>
          </cell>
        </row>
        <row r="104">
          <cell r="A104" t="str">
            <v>August 2017</v>
          </cell>
          <cell r="B104">
            <v>4</v>
          </cell>
          <cell r="C104">
            <v>3.33</v>
          </cell>
        </row>
        <row r="105">
          <cell r="A105" t="str">
            <v>September 2017</v>
          </cell>
          <cell r="B105">
            <v>3.99</v>
          </cell>
          <cell r="C105">
            <v>3.38</v>
          </cell>
        </row>
        <row r="106">
          <cell r="A106" t="str">
            <v>October 2017</v>
          </cell>
          <cell r="B106">
            <v>4.25</v>
          </cell>
          <cell r="C106">
            <v>3.54</v>
          </cell>
        </row>
        <row r="107">
          <cell r="A107" t="str">
            <v>November 2017</v>
          </cell>
          <cell r="B107">
            <v>4.43</v>
          </cell>
          <cell r="C107">
            <v>3.66</v>
          </cell>
        </row>
        <row r="108">
          <cell r="A108" t="str">
            <v>December 2017</v>
          </cell>
          <cell r="B108">
            <v>4.6100000000000003</v>
          </cell>
          <cell r="C108">
            <v>3.73</v>
          </cell>
        </row>
        <row r="109">
          <cell r="A109" t="str">
            <v>January 2018</v>
          </cell>
          <cell r="B109">
            <v>5.03</v>
          </cell>
          <cell r="C109">
            <v>4.03</v>
          </cell>
        </row>
        <row r="110">
          <cell r="A110" t="str">
            <v>February 2018</v>
          </cell>
          <cell r="B110">
            <v>4.45</v>
          </cell>
          <cell r="C110">
            <v>3.73</v>
          </cell>
        </row>
        <row r="111">
          <cell r="A111" t="str">
            <v>March 2018</v>
          </cell>
          <cell r="B111">
            <v>4.05</v>
          </cell>
          <cell r="C111">
            <v>3.36</v>
          </cell>
        </row>
        <row r="112">
          <cell r="A112" t="str">
            <v>April 2018</v>
          </cell>
          <cell r="B112">
            <v>3.83</v>
          </cell>
          <cell r="C112">
            <v>3.23</v>
          </cell>
        </row>
        <row r="113">
          <cell r="A113" t="str">
            <v>May 2018</v>
          </cell>
          <cell r="B113">
            <v>3.79</v>
          </cell>
          <cell r="C113">
            <v>3.19</v>
          </cell>
        </row>
        <row r="114">
          <cell r="A114" t="str">
            <v>June 2018</v>
          </cell>
          <cell r="B114">
            <v>3.9</v>
          </cell>
          <cell r="C114">
            <v>3.33</v>
          </cell>
        </row>
        <row r="115">
          <cell r="A115" t="str">
            <v>July 2018</v>
          </cell>
          <cell r="B115">
            <v>4.09</v>
          </cell>
          <cell r="C115">
            <v>3.48</v>
          </cell>
        </row>
        <row r="116">
          <cell r="A116" t="str">
            <v>August 2018</v>
          </cell>
          <cell r="B116">
            <v>4.05</v>
          </cell>
          <cell r="C116">
            <v>3.44</v>
          </cell>
        </row>
        <row r="117">
          <cell r="A117" t="str">
            <v>September 2018</v>
          </cell>
          <cell r="B117">
            <v>4.12</v>
          </cell>
          <cell r="C117">
            <v>3.5</v>
          </cell>
        </row>
        <row r="118">
          <cell r="A118" t="str">
            <v>October 2018</v>
          </cell>
          <cell r="B118">
            <v>4.34</v>
          </cell>
          <cell r="C118">
            <v>3.67</v>
          </cell>
        </row>
        <row r="119">
          <cell r="A119" t="str">
            <v>November 2018</v>
          </cell>
          <cell r="B119">
            <v>4.46</v>
          </cell>
          <cell r="C119">
            <v>3.8</v>
          </cell>
        </row>
        <row r="120">
          <cell r="A120" t="str">
            <v>December 2018</v>
          </cell>
          <cell r="B120">
            <v>4.51</v>
          </cell>
          <cell r="C120">
            <v>3.73</v>
          </cell>
        </row>
        <row r="121">
          <cell r="A121" t="str">
            <v>January 2019</v>
          </cell>
          <cell r="B121">
            <v>4.7699999999999996</v>
          </cell>
          <cell r="C121">
            <v>3.9</v>
          </cell>
        </row>
        <row r="122">
          <cell r="A122" t="str">
            <v>February 2019</v>
          </cell>
          <cell r="B122">
            <v>4.51</v>
          </cell>
          <cell r="C122">
            <v>3.73</v>
          </cell>
        </row>
        <row r="123">
          <cell r="A123" t="str">
            <v>March 2019</v>
          </cell>
          <cell r="B123">
            <v>4.08</v>
          </cell>
          <cell r="C123">
            <v>3.4</v>
          </cell>
        </row>
        <row r="124">
          <cell r="A124" t="str">
            <v>April 2019</v>
          </cell>
          <cell r="B124">
            <v>4.0599999999999996</v>
          </cell>
          <cell r="C124">
            <v>3.35</v>
          </cell>
        </row>
        <row r="125">
          <cell r="A125" t="str">
            <v>May 2019</v>
          </cell>
          <cell r="B125">
            <v>4.01</v>
          </cell>
          <cell r="C125">
            <v>3.31</v>
          </cell>
        </row>
        <row r="126">
          <cell r="A126" t="str">
            <v>June 2019</v>
          </cell>
          <cell r="B126">
            <v>4.12</v>
          </cell>
          <cell r="C126">
            <v>3.47</v>
          </cell>
        </row>
        <row r="127">
          <cell r="A127" t="str">
            <v>July 2019</v>
          </cell>
          <cell r="B127">
            <v>4.2300000000000004</v>
          </cell>
          <cell r="C127">
            <v>3.56</v>
          </cell>
        </row>
        <row r="128">
          <cell r="A128" t="str">
            <v>August 2019</v>
          </cell>
          <cell r="B128">
            <v>4.1399999999999997</v>
          </cell>
          <cell r="C128">
            <v>3.52</v>
          </cell>
        </row>
        <row r="129">
          <cell r="A129" t="str">
            <v>September 2019</v>
          </cell>
          <cell r="B129">
            <v>4.25</v>
          </cell>
          <cell r="C129">
            <v>3.61</v>
          </cell>
        </row>
        <row r="130">
          <cell r="A130" t="str">
            <v>October 2019</v>
          </cell>
          <cell r="B130">
            <v>4.5999999999999996</v>
          </cell>
          <cell r="C130">
            <v>3.91</v>
          </cell>
        </row>
        <row r="131">
          <cell r="A131" t="str">
            <v>November 2019</v>
          </cell>
          <cell r="B131">
            <v>4.7300000000000004</v>
          </cell>
          <cell r="C131">
            <v>4</v>
          </cell>
        </row>
        <row r="132">
          <cell r="A132" t="str">
            <v>December 2019</v>
          </cell>
          <cell r="B132">
            <v>4.8600000000000003</v>
          </cell>
          <cell r="C132">
            <v>4.0199999999999996</v>
          </cell>
        </row>
        <row r="133">
          <cell r="A133" t="str">
            <v>January 2020</v>
          </cell>
          <cell r="B133">
            <v>4.8099999999999996</v>
          </cell>
          <cell r="C133">
            <v>4.8099999999999996</v>
          </cell>
        </row>
        <row r="134">
          <cell r="A134" t="str">
            <v>February 2020</v>
          </cell>
          <cell r="B134">
            <v>4.51</v>
          </cell>
          <cell r="C134">
            <v>4.51</v>
          </cell>
        </row>
        <row r="135">
          <cell r="A135" t="str">
            <v>March 2020</v>
          </cell>
          <cell r="B135">
            <v>5.36</v>
          </cell>
          <cell r="C135">
            <v>5.36</v>
          </cell>
        </row>
        <row r="136">
          <cell r="A136" t="str">
            <v>April 2020</v>
          </cell>
          <cell r="B136">
            <v>6.2</v>
          </cell>
          <cell r="C136">
            <v>6.2</v>
          </cell>
        </row>
        <row r="137">
          <cell r="A137" t="str">
            <v>May 2020</v>
          </cell>
          <cell r="B137">
            <v>4.72</v>
          </cell>
          <cell r="C137">
            <v>4.72</v>
          </cell>
        </row>
        <row r="138">
          <cell r="A138" t="str">
            <v>June 2020</v>
          </cell>
          <cell r="B138">
            <v>4.04</v>
          </cell>
          <cell r="C138">
            <v>4.04</v>
          </cell>
        </row>
        <row r="139">
          <cell r="A139" t="str">
            <v>July 2020</v>
          </cell>
          <cell r="B139">
            <v>3.88</v>
          </cell>
          <cell r="C139">
            <v>3.88</v>
          </cell>
        </row>
        <row r="140">
          <cell r="A140" t="str">
            <v>August 2020</v>
          </cell>
          <cell r="B140">
            <v>3.9</v>
          </cell>
          <cell r="C140">
            <v>3.9</v>
          </cell>
        </row>
        <row r="141">
          <cell r="A141" t="str">
            <v>September 2020</v>
          </cell>
          <cell r="B141">
            <v>4.1900000000000004</v>
          </cell>
          <cell r="C141">
            <v>4.1900000000000004</v>
          </cell>
        </row>
        <row r="142">
          <cell r="A142" t="str">
            <v>October 2020</v>
          </cell>
          <cell r="B142">
            <v>4.5199999999999996</v>
          </cell>
          <cell r="C142">
            <v>4.5199999999999996</v>
          </cell>
        </row>
        <row r="143">
          <cell r="A143" t="str">
            <v>November 2020</v>
          </cell>
          <cell r="B143">
            <v>4.92</v>
          </cell>
          <cell r="C143">
            <v>4.92</v>
          </cell>
        </row>
        <row r="144">
          <cell r="A144" t="str">
            <v>December 2020</v>
          </cell>
          <cell r="B144">
            <v>5.09</v>
          </cell>
          <cell r="C144">
            <v>5.09</v>
          </cell>
        </row>
        <row r="145">
          <cell r="A145" t="str">
            <v>January 2021</v>
          </cell>
          <cell r="B145">
            <v>5.75</v>
          </cell>
          <cell r="C145">
            <v>5.75</v>
          </cell>
        </row>
        <row r="146">
          <cell r="A146" t="str">
            <v>February 2021</v>
          </cell>
          <cell r="B146">
            <v>4.6500000000000004</v>
          </cell>
          <cell r="C146">
            <v>4.6500000000000004</v>
          </cell>
        </row>
        <row r="147">
          <cell r="A147" t="str">
            <v>March 2021</v>
          </cell>
          <cell r="B147">
            <v>3.99</v>
          </cell>
          <cell r="C147">
            <v>3.99</v>
          </cell>
        </row>
        <row r="148">
          <cell r="A148" t="str">
            <v>April 2021</v>
          </cell>
          <cell r="B148">
            <v>4.0599999999999996</v>
          </cell>
          <cell r="C148">
            <v>4.0599999999999996</v>
          </cell>
        </row>
        <row r="149">
          <cell r="A149" t="str">
            <v>May 2021</v>
          </cell>
          <cell r="B149">
            <v>4.34</v>
          </cell>
          <cell r="C149">
            <v>4.34</v>
          </cell>
        </row>
        <row r="150">
          <cell r="A150" t="str">
            <v>June 2021</v>
          </cell>
          <cell r="B150">
            <v>4.63</v>
          </cell>
          <cell r="C150">
            <v>4.63</v>
          </cell>
        </row>
        <row r="151">
          <cell r="A151" t="str">
            <v>July 2021</v>
          </cell>
          <cell r="B151">
            <v>5.07</v>
          </cell>
          <cell r="C151">
            <v>5.07</v>
          </cell>
        </row>
        <row r="152">
          <cell r="A152" t="str">
            <v>August 2021</v>
          </cell>
          <cell r="B152">
            <v>5.14</v>
          </cell>
          <cell r="C152">
            <v>5.14</v>
          </cell>
        </row>
        <row r="153">
          <cell r="A153" t="str">
            <v>September 2021</v>
          </cell>
          <cell r="B153">
            <v>5.38</v>
          </cell>
          <cell r="C153">
            <v>5.38</v>
          </cell>
        </row>
        <row r="154">
          <cell r="A154" t="str">
            <v>October 2021</v>
          </cell>
          <cell r="B154">
            <v>5.66</v>
          </cell>
          <cell r="C154">
            <v>5.66</v>
          </cell>
        </row>
        <row r="155">
          <cell r="A155" t="str">
            <v>November 2021</v>
          </cell>
          <cell r="B155">
            <v>5.59</v>
          </cell>
          <cell r="C155">
            <v>5.59</v>
          </cell>
        </row>
        <row r="156">
          <cell r="A156" t="str">
            <v>December 2021</v>
          </cell>
          <cell r="B156">
            <v>6.17</v>
          </cell>
          <cell r="C156">
            <v>6.17</v>
          </cell>
        </row>
        <row r="157">
          <cell r="A157" t="str">
            <v>January 2022</v>
          </cell>
          <cell r="B157">
            <v>6.69</v>
          </cell>
          <cell r="C157">
            <v>6.69</v>
          </cell>
        </row>
        <row r="158">
          <cell r="A158" t="str">
            <v>February 2022</v>
          </cell>
          <cell r="B158">
            <v>5.61</v>
          </cell>
          <cell r="C158">
            <v>5.61</v>
          </cell>
        </row>
        <row r="159">
          <cell r="A159" t="str">
            <v>March 2022</v>
          </cell>
          <cell r="B159">
            <v>6.02</v>
          </cell>
          <cell r="C159">
            <v>6.02</v>
          </cell>
        </row>
        <row r="160">
          <cell r="A160" t="str">
            <v>April 2022</v>
          </cell>
          <cell r="B160">
            <v>5.77</v>
          </cell>
          <cell r="C160">
            <v>5.77</v>
          </cell>
        </row>
        <row r="161">
          <cell r="A161" t="str">
            <v>May 2022</v>
          </cell>
          <cell r="B161">
            <v>4.9000000000000004</v>
          </cell>
          <cell r="C161">
            <v>4.9000000000000004</v>
          </cell>
        </row>
        <row r="162">
          <cell r="A162" t="str">
            <v>June 2022</v>
          </cell>
          <cell r="B162">
            <v>5.22</v>
          </cell>
          <cell r="C162">
            <v>5.22</v>
          </cell>
        </row>
        <row r="163">
          <cell r="A163" t="str">
            <v>July 2022</v>
          </cell>
          <cell r="B163">
            <v>6.05</v>
          </cell>
          <cell r="C163">
            <v>6.05</v>
          </cell>
        </row>
        <row r="164">
          <cell r="A164" t="str">
            <v>August 2022</v>
          </cell>
          <cell r="B164">
            <v>5.01</v>
          </cell>
          <cell r="C164">
            <v>5.01</v>
          </cell>
        </row>
        <row r="165">
          <cell r="A165" t="str">
            <v>September 2022</v>
          </cell>
          <cell r="B165">
            <v>5.01</v>
          </cell>
          <cell r="C165">
            <v>5.01</v>
          </cell>
        </row>
        <row r="166">
          <cell r="A166" t="str">
            <v>October 2022</v>
          </cell>
          <cell r="B166">
            <v>5.6</v>
          </cell>
          <cell r="C166">
            <v>5.6</v>
          </cell>
        </row>
        <row r="167">
          <cell r="A167" t="str">
            <v>November 2022</v>
          </cell>
          <cell r="B167">
            <v>5.44</v>
          </cell>
          <cell r="C167">
            <v>5.44</v>
          </cell>
        </row>
        <row r="168">
          <cell r="A168" t="str">
            <v>December 2022</v>
          </cell>
          <cell r="B168">
            <v>6.28</v>
          </cell>
          <cell r="C168">
            <v>6.28</v>
          </cell>
        </row>
        <row r="169">
          <cell r="A169" t="str">
            <v>January 2023</v>
          </cell>
          <cell r="B169">
            <v>5.32</v>
          </cell>
          <cell r="C169">
            <v>5.32</v>
          </cell>
        </row>
        <row r="170">
          <cell r="A170" t="str">
            <v>February 2023</v>
          </cell>
          <cell r="B170">
            <v>5</v>
          </cell>
          <cell r="C170">
            <v>5</v>
          </cell>
        </row>
        <row r="171">
          <cell r="A171" t="str">
            <v>March 2023</v>
          </cell>
          <cell r="B171">
            <v>4.9400000000000004</v>
          </cell>
          <cell r="C171">
            <v>4.9400000000000004</v>
          </cell>
        </row>
        <row r="172">
          <cell r="A172" t="str">
            <v>April 2023</v>
          </cell>
          <cell r="B172">
            <v>4.51</v>
          </cell>
          <cell r="C172">
            <v>4.51</v>
          </cell>
        </row>
        <row r="173">
          <cell r="A173" t="str">
            <v>May 2023</v>
          </cell>
          <cell r="B173">
            <v>4.46</v>
          </cell>
          <cell r="C173">
            <v>4.46</v>
          </cell>
        </row>
      </sheetData>
      <sheetData sheetId="3"/>
      <sheetData sheetId="4"/>
      <sheetData sheetId="5"/>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0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0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0,'640'0,"-620"0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0"/>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68,'0'-1,"0"0,1 0,-1 0,1 0,0 0,-1 0,1 0,0 0,-1 1,1-1,0 0,0 0,0 1,0-1,-1 1,1-1,0 1,0-1,0 1,0-1,1 1,-1 0,0 0,0 0,0-1,2 1,35-3,-34 2,254 2,23-3,-187-9,28-1,-53 1,-19 2,-33 7</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1"/>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1,'802'0,"-783"0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2"/>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1,'665'0,"-632"1,49 10,-48-6,48 2,242 8,-168-10,-96-5,66 9,-9 2,136-6,92 8,-223 2,312 25,-320-39,-55-2,0 3,67 10,-57-4,0-3,110-6,-57-2,144-11,-121 3,30-11,-111 12,69-3,-4 13,-65 1,0-3,76-11,-66 5,1 3,114 6,-58 2,237-5,400 5,-273 21,-360-14,64 2,191 6,24-10,-239-11,-18 5,169-5,-258-8,11-1,18 0,-87 10,13-2</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3"/>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47,'1031'-21,"1661"21,-2640 3,0 2,65 15,21 3,241-1,-102-9,278-6,-320-9,-192 2,-10 1,-1-1,0-1,0-2,1-1,44-12,-37 6,0 3,1 1,-1 2,1 1,71 6,-33-1,326-19,-310 10,161-21,-176 18,1 3,155 7,-96 3,43-5,192 5,-336 1,1 3,60 17,-21-4,43 8,245 47,-227-53,-119-21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4"/>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68,'55'-2,"1"-2,97-22,-93 17,1 4,0 2,80 6,-20-1,22 11,-3-1,1158-13,-1103 11,-18 1,550-10,-348-3,-290-8,-6 0,91 9,157-12,-235 5,130 7,14 0,-124-10,58-2,551 14,-584 11,-15-1,100 1,75 1,-247-14,0-1,0 3,0 2,0 2,54 13,41 7,-27-6,-117-18,59 14,1-3,1-4,86 2,-5-12,-128 2</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5"/>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0 74,'119'0,"128"18,-65 1,-127-11,0-3,90-4,37 2,188 7,-94-6,-148 7,54 1,-143-12,8 0,1-2,67-11,-56 5,-1 3,0 3,73 5,-13 0,13-5,136 5,-178 7,-36-3,55-1,-61-6,0 3,46 7,-13-1,0-4,111-7,-55-1,664 3,-773-1,50-9,21-2,-55 8,77-14,-75 9,68-4,24 1,39 0,120-5,23-39,-281 48,13 1,0 2,0 2,74 7,-15-2,1205-2,-1290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6"/>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0 3,'191'-3,"203"6,-288 6,73 3,156 1,-18 1,-201-13,139 19,-116-6,231-6,-242-9,-98 3,50 8,22 2,479-13,-409-11,4 0,688 13,-658 11,11 0,-107-14,136 4,-168 9,-52-6,53 3,1268-9,-1312-1,0-2,61-14,-57 9,71-5,-61 12,-22 2,0-1,0-1,48-11,56-11,-18 4,-78 14,45-3,-21 3,-31 2</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7"/>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0 1,'794'0,"-780"0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8"/>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0 92,'146'-12,"-96"6,53 0,-66 5,0-3,0-1,0-1,-1-2,52-19,-69 22,0 1,0 1,1 0,-1 2,22 0,-21 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19"/>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0 27,'51'-1,"-1"-2,61-11,-70 9,1 2,69 4,-37 1,-54-2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20"/>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1 0,'1617'0,"-1479"11,3 0,673-12,-672 13,-5 0,-116-12,50 0,95 13,-69-3,1-5,99-8,-42 0,1150 3,-1282-1,0-1,27-6,39-4,543 10,-307 4,-301-2</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21"/>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0 1,'27'1,"50"10,19 1,497-11,-287-3,-287 3,0 1,30 7,35 3,108-14,82 4,-182 9,-42-5,54 1,1-9,113 3,-125 10,52 2,7-16,120 6,-174 6,110 5,-91-14,426 12,-151-6,-42-3,-259 8,-60-6,55 2,779-8,-835-1,0-1,54-12,27-5,-22 19,-65 2,0-1,-1-1,1-2,35-7,-44 6</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1-19T17:32:56.922"/>
    </inkml:context>
    <inkml:brush xml:id="br0">
      <inkml:brushProperty name="width" value="0.2" units="cm"/>
      <inkml:brushProperty name="height" value="0.4" units="cm"/>
      <inkml:brushProperty name="color" value="#FFFC00"/>
      <inkml:brushProperty name="tip" value="rectangle"/>
      <inkml:brushProperty name="rasterOp" value="maskPen"/>
      <inkml:brushProperty name="ignorePressure" value="1"/>
    </inkml:brush>
  </inkml:definitions>
  <inkml:trace contextRef="#ctx0" brushRef="#br0">0 0,'49'3,"0"1,53 13,42 4,-52-9,-54-6,56 2,138-9,-212 1</inkml:trace>
</inkml:ink>
</file>

<file path=xl/persons/person.xml><?xml version="1.0" encoding="utf-8"?>
<personList xmlns="http://schemas.microsoft.com/office/spreadsheetml/2018/threadedcomments" xmlns:x="http://schemas.openxmlformats.org/spreadsheetml/2006/main">
  <person displayName="Katie Fozzard" id="{186A1D36-D2DC-4C30-85E6-A36544B52D87}" userId="S::Katie.Fozzard@health.org.uk::cbcbf309-2110-40a6-b864-7610d07fbde7" providerId="AD"/>
  <person displayName="Stephen Rocks" id="{C12F91EE-78C6-4566-B49A-5271331DAB95}" userId="S::Stephen.Rocks@health.org.uk::cdb095ff-4da8-48d7-a709-2fb79b14e856" providerId="AD"/>
  <person displayName="Giulia Boccarini" id="{863C4FBF-DEB6-44DD-BA2E-E9920030F54C}" userId="S::Giulia.Boccarini@health.org.uk::ce910e94-6895-4a20-af24-405e5e526baa" providerId="AD"/>
  <person displayName="Giulia Boccarini" id="{C33FF437-0AA1-44B4-9998-962B66B9F058}" userId="S::giulia.boccarini@health.org.uk::ce910e94-6895-4a20-af24-405e5e526baa" providerId="AD"/>
  <person displayName="Laurie Rachet-Jacquet" id="{17D98409-4505-4B9D-897C-70E4FC6509B2}" userId="S::Laurie.RachetJacquet@health.org.uk::db57cdd7-2e5c-47c8-8eaa-49d08d4523f3"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yad Issa" refreshedDate="45596.44339108796" createdVersion="8" refreshedVersion="8" minRefreshableVersion="3" recordCount="9" xr:uid="{B7DBDBE8-6B0A-45E0-9311-1C51F1B344E1}">
  <cacheSource type="worksheet">
    <worksheetSource ref="A1:I10" sheet="Planned v Outtrun"/>
  </cacheSource>
  <cacheFields count="9">
    <cacheField name="period" numFmtId="0">
      <sharedItems count="9">
        <s v="2016-17"/>
        <s v="2017-18"/>
        <s v="2018-19"/>
        <s v="2019-20"/>
        <s v="2020-21"/>
        <s v="2021-22"/>
        <s v="2022-23"/>
        <s v="2023-24"/>
        <s v="2024-25"/>
      </sharedItems>
    </cacheField>
    <cacheField name="measure" numFmtId="0">
      <sharedItems/>
    </cacheField>
    <cacheField name="Outrun" numFmtId="0">
      <sharedItems containsMixedTypes="1" containsNumber="1" minValue="116004" maxValue="179156.25"/>
    </cacheField>
    <cacheField name="Planned" numFmtId="0">
      <sharedItems containsSemiMixedTypes="0" containsString="0" containsNumber="1" minValue="114801" maxValue="178960.66666666701"/>
    </cacheField>
    <cacheField name="deflator" numFmtId="0">
      <sharedItems containsSemiMixedTypes="0" containsString="0" containsNumber="1" minValue="1.1781502172563625" maxValue="1.51814448949645"/>
    </cacheField>
    <cacheField name="real_outrun" numFmtId="165">
      <sharedItems containsSemiMixedTypes="0" containsString="0" containsNumber="1" minValue="190.2" maxValue="173799.8342932114"/>
    </cacheField>
    <cacheField name="real_planned" numFmtId="165">
      <sharedItems containsSemiMixedTypes="0" containsString="0" containsNumber="1" minValue="179.6" maxValue="169405.19236430145"/>
    </cacheField>
    <cacheField name="Real Percentage difference of outrun / planned" numFmtId="9">
      <sharedItems containsSemiMixedTypes="0" containsString="0" containsNumber="1" minValue="1.0479002796142778E-2" maxValue="0.24523885649148913"/>
    </cacheField>
    <cacheField name="Real difference in outrun to plan (£bn)" numFmtId="43">
      <sharedItems containsSemiMixedTypes="0" containsString="0" containsNumber="1" minValue="0.93358354304569369" maxValue="30.641812189729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s v="RDEL"/>
    <n v="116004"/>
    <n v="114801"/>
    <n v="1.1781502172563625"/>
    <n v="90024.459956337145"/>
    <n v="89090.876413291451"/>
    <n v="1.0479002796142778E-2"/>
    <n v="0.93358354304569369"/>
  </r>
  <r>
    <x v="1"/>
    <s v="RDEL"/>
    <n v="119917.6"/>
    <n v="117778"/>
    <n v="1.1964618249534449"/>
    <n v="94508.020503125328"/>
    <n v="92821.784615578494"/>
    <n v="1.8166380818149364E-2"/>
    <n v="1.6862358875468344"/>
  </r>
  <r>
    <x v="2"/>
    <s v="RDEL"/>
    <n v="123978.2"/>
    <n v="120901.66666666701"/>
    <n v="1.2216014897579144"/>
    <n v="99761.224880340233"/>
    <n v="97285.638577921782"/>
    <n v="2.5446575040319219E-2"/>
    <n v="2.475586302418451"/>
  </r>
  <r>
    <x v="3"/>
    <s v="RDEL"/>
    <n v="132658.79999999999"/>
    <n v="125679.25"/>
    <n v="1.2504655493482308"/>
    <n v="109268.42627008393"/>
    <n v="103519.50916414478"/>
    <n v="5.5534624848572633E-2"/>
    <n v="5.7489171059391522"/>
  </r>
  <r>
    <x v="4"/>
    <s v="RDEL"/>
    <n v="179156.25"/>
    <n v="143873"/>
    <n v="1.3184357541899439"/>
    <n v="155588.61967409885"/>
    <n v="124946.80748436978"/>
    <n v="0.24523885649148913"/>
    <n v="30.64181218972907"/>
  </r>
  <r>
    <x v="5"/>
    <s v="RDEL"/>
    <n v="179011"/>
    <n v="176516"/>
    <n v="1.30788330229671"/>
    <n v="154218.19164596969"/>
    <n v="152068.74614733167"/>
    <n v="1.4134696004894698E-2"/>
    <n v="2.1494454986380296"/>
  </r>
  <r>
    <x v="6"/>
    <s v="RDEL"/>
    <n v="172040"/>
    <n v="168207"/>
    <n v="1.3960273122284295"/>
    <n v="158201.37046075324"/>
    <n v="154676.69100843943"/>
    <n v="2.2787398859738239E-2"/>
    <n v="3.5246794523138085"/>
  </r>
  <r>
    <x v="7"/>
    <s v="RDEL"/>
    <n v="177927"/>
    <n v="173428"/>
    <n v="1.4829298572315333"/>
    <n v="173799.8342932114"/>
    <n v="169405.19236430145"/>
    <n v="2.5941601125539338E-2"/>
    <n v="4.3946419289099579"/>
  </r>
  <r>
    <x v="8"/>
    <s v="RDEL"/>
    <s v="NA"/>
    <n v="178960.66666666701"/>
    <n v="1.51814448949645"/>
    <n v="190.2"/>
    <n v="179.6"/>
    <n v="5.9020044543429906E-2"/>
    <n v="10.59999999999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10B861-9266-48D0-9F87-E1926A4C28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1:M11" firstHeaderRow="0" firstDataRow="1" firstDataCol="1"/>
  <pivotFields count="9">
    <pivotField axis="axisRow" showAll="0">
      <items count="10">
        <item x="0"/>
        <item x="1"/>
        <item x="2"/>
        <item x="3"/>
        <item x="4"/>
        <item x="5"/>
        <item x="6"/>
        <item x="7"/>
        <item x="8"/>
        <item t="default"/>
      </items>
    </pivotField>
    <pivotField showAll="0"/>
    <pivotField showAll="0"/>
    <pivotField showAll="0"/>
    <pivotField showAll="0"/>
    <pivotField numFmtId="165" showAll="0"/>
    <pivotField numFmtId="165" showAll="0"/>
    <pivotField dataField="1" numFmtId="9" showAll="0"/>
    <pivotField dataField="1" numFmtId="43"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Real Percentage difference of outrun / planned" fld="7" baseField="0" baseItem="0"/>
    <dataField name="Sum of Real difference in outrun to plan (£bn)" fld="8" baseField="0" baseItem="0"/>
  </dataField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T59" dT="2024-10-31T16:30:43.44" personId="{186A1D36-D2DC-4C30-85E6-A36544B52D87}" id="{C6E0BD54-02FA-4F63-BDB1-7A2F39AEAB6A}">
    <text>Additional pensions adjustment removed</text>
  </threadedComment>
  <threadedComment ref="T62" dT="2024-10-31T16:52:37.61" personId="{186A1D36-D2DC-4C30-85E6-A36544B52D87}" id="{834C4256-EF69-4380-9282-23CDD1269F8A}">
    <text>Historic spend and growth is using different deflator series (though shouldn't make a difference to growth rates)</text>
  </threadedComment>
  <threadedComment ref="T62" dT="2024-11-04T16:03:28.45" personId="{186A1D36-D2DC-4C30-85E6-A36544B52D87}" id="{C766611F-6DFB-4929-9054-518D15F455B0}" parentId="{834C4256-EF69-4380-9282-23CDD1269F8A}">
    <text>Different deflator base year used for 'historic spend growth' tab compared to 'Autumn 24' tab. This is not an issue as will not impact growth rates.</text>
  </threadedComment>
  <threadedComment ref="T65" dT="2024-10-31T17:01:17.12" personId="{186A1D36-D2DC-4C30-85E6-A36544B52D87}" id="{EA9713AA-A9DE-429E-8384-8B2F4B1C257E}">
    <text>Check which dates we want to consider for Starmer govt (e.g. only 24/25 - 25/26?)</text>
  </threadedComment>
  <threadedComment ref="T65" dT="2024-11-01T09:59:14.30" personId="{186A1D36-D2DC-4C30-85E6-A36544B52D87}" id="{CE776B51-751A-4211-9D5D-28CFA611A1A6}" parentId="{EA9713AA-A9DE-429E-8384-8B2F4B1C257E}">
    <text>I can see the argument for this but the others all have overlapping years (e.g. one gov ends in 2018/19, the next starts in 2018/19) where this one doesn't</text>
  </threadedComment>
  <threadedComment ref="T65" dT="2024-11-04T14:41:51.74" personId="{186A1D36-D2DC-4C30-85E6-A36544B52D87}" id="{9D700F23-785F-4019-8B8B-209BCFB5F313}" parentId="{EA9713AA-A9DE-429E-8384-8B2F4B1C257E}">
    <text>Corrected by Toby to 2023/24 to 2025/26</text>
  </threadedComment>
</ThreadedComments>
</file>

<file path=xl/threadedComments/threadedComment2.xml><?xml version="1.0" encoding="utf-8"?>
<ThreadedComments xmlns="http://schemas.microsoft.com/office/spreadsheetml/2018/threadedcomments" xmlns:x="http://schemas.openxmlformats.org/spreadsheetml/2006/main">
  <threadedComment ref="S12" dT="2023-11-29T13:55:30.38" personId="{C12F91EE-78C6-4566-B49A-5271331DAB95}" id="{0F87B04C-0345-4AA8-BF15-10A5D296417F}">
    <text>https://www.gov.uk/government/publications/2024-to-2025-financial-directions-to-nhs-england/2024-to-2025-financial-directions-to-nhs-england</text>
    <extLst>
      <x:ext xmlns:xltc2="http://schemas.microsoft.com/office/spreadsheetml/2020/threadedcomments2" uri="{F7C98A9C-CBB3-438F-8F68-D28B6AF4A901}">
        <xltc2:checksum>528552939</xltc2:checksum>
        <xltc2:hyperlink startIndex="0" length="140" url="https://www.gov.uk/government/publications/2024-to-2025-financial-directions-to-nhs-england/2024-to-2025-financial-directions-to-nhs-england"/>
      </x:ext>
    </extLst>
  </threadedComment>
  <threadedComment ref="K63" dT="2023-11-29T11:55:08.11" personId="{C12F91EE-78C6-4566-B49A-5271331DAB95}" id="{A59143EF-F855-41BB-B2D5-1FE99EBC137F}">
    <text>Actual numbers from 2018/19 excl provider depreciation</text>
  </threadedComment>
</ThreadedComments>
</file>

<file path=xl/threadedComments/threadedComment3.xml><?xml version="1.0" encoding="utf-8"?>
<ThreadedComments xmlns="http://schemas.microsoft.com/office/spreadsheetml/2018/threadedcomments" xmlns:x="http://schemas.openxmlformats.org/spreadsheetml/2006/main">
  <threadedComment ref="N10" dT="2023-11-29T13:55:30.38" personId="{C12F91EE-78C6-4566-B49A-5271331DAB95}" id="{20CA3212-569D-4496-8B8F-C29B80F99705}">
    <text>https://statics.teams.cdn.office.net/evergreen-assets/safelinks/1/atp-safelinks.html</text>
  </threadedComment>
  <threadedComment ref="N18" dT="2023-11-29T13:55:51.44" personId="{C12F91EE-78C6-4566-B49A-5271331DAB95}" id="{3E0A5A7D-78A2-4231-BE76-24B36432C841}">
    <text>https://obr.uk/efo/economic-and-fiscal-outlook-march-2024/</text>
    <extLst>
      <x:ext xmlns:xltc2="http://schemas.microsoft.com/office/spreadsheetml/2020/threadedcomments2" uri="{F7C98A9C-CBB3-438F-8F68-D28B6AF4A901}">
        <xltc2:checksum>2772415921</xltc2:checksum>
        <xltc2:hyperlink startIndex="0" length="58" url="https://obr.uk/efo/economic-and-fiscal-outlook-march-2024/"/>
      </x:ext>
    </extLst>
  </threadedComment>
  <threadedComment ref="G42" dT="2023-11-29T11:55:08.11" personId="{C12F91EE-78C6-4566-B49A-5271331DAB95}" id="{F99BC174-FB6A-48C5-B3DE-D68B835B8E7E}">
    <text>Actual numbers from 2018/19 excl provider depreciation</text>
  </threadedComment>
</ThreadedComments>
</file>

<file path=xl/threadedComments/threadedComment4.xml><?xml version="1.0" encoding="utf-8"?>
<ThreadedComments xmlns="http://schemas.microsoft.com/office/spreadsheetml/2018/threadedcomments" xmlns:x="http://schemas.openxmlformats.org/spreadsheetml/2006/main">
  <threadedComment ref="N10" dT="2023-11-29T13:55:30.38" personId="{C12F91EE-78C6-4566-B49A-5271331DAB95}" id="{1E29344D-9973-4C93-A58A-0EFCD2ED6348}">
    <text>https://www.gov.uk/government/publications/2024-to-2025-financial-directions-to-nhs-england/2024-to-2025-financial-directions-to-nhs-england</text>
    <extLst>
      <x:ext xmlns:xltc2="http://schemas.microsoft.com/office/spreadsheetml/2020/threadedcomments2" uri="{F7C98A9C-CBB3-438F-8F68-D28B6AF4A901}">
        <xltc2:checksum>528552939</xltc2:checksum>
        <xltc2:hyperlink startIndex="0" length="140" url="https://www.gov.uk/government/publications/2024-to-2025-financial-directions-to-nhs-england/2024-to-2025-financial-directions-to-nhs-england"/>
      </x:ext>
    </extLst>
  </threadedComment>
  <threadedComment ref="G50" dT="2023-11-29T11:55:08.11" personId="{C12F91EE-78C6-4566-B49A-5271331DAB95}" id="{BAB4160D-83AC-4085-A6E6-DA43C9BB1FCF}">
    <text>Actual numbers from 2018/19 excl provider depreciation</text>
  </threadedComment>
</ThreadedComments>
</file>

<file path=xl/threadedComments/threadedComment5.xml><?xml version="1.0" encoding="utf-8"?>
<ThreadedComments xmlns="http://schemas.microsoft.com/office/spreadsheetml/2018/threadedcomments" xmlns:x="http://schemas.openxmlformats.org/spreadsheetml/2006/main">
  <threadedComment ref="N10" dT="2023-11-29T13:55:30.38" personId="{C12F91EE-78C6-4566-B49A-5271331DAB95}" id="{BDB5022F-1DF5-44FE-B358-C694A92EE187}">
    <text>https://www.gov.uk/government/publications/2024-to-2025-financial-directions-to-nhs-england/2024-to-2025-financial-directions-to-nhs-england</text>
    <extLst>
      <x:ext xmlns:xltc2="http://schemas.microsoft.com/office/spreadsheetml/2020/threadedcomments2" uri="{F7C98A9C-CBB3-438F-8F68-D28B6AF4A901}">
        <xltc2:checksum>528552939</xltc2:checksum>
        <xltc2:hyperlink startIndex="0" length="140" url="https://www.gov.uk/government/publications/2024-to-2025-financial-directions-to-nhs-england/2024-to-2025-financial-directions-to-nhs-england"/>
      </x:ext>
    </extLst>
  </threadedComment>
  <threadedComment ref="G50" dT="2023-11-29T11:55:08.11" personId="{C12F91EE-78C6-4566-B49A-5271331DAB95}" id="{8C1FA196-5C4A-4386-AB98-3FF7C4BE326E}">
    <text>Actual numbers from 2018/19 excl provider depreciation</text>
  </threadedComment>
</ThreadedComments>
</file>

<file path=xl/threadedComments/threadedComment6.xml><?xml version="1.0" encoding="utf-8"?>
<ThreadedComments xmlns="http://schemas.microsoft.com/office/spreadsheetml/2018/threadedcomments" xmlns:x="http://schemas.openxmlformats.org/spreadsheetml/2006/main">
  <threadedComment ref="N10" dT="2023-11-29T13:55:30.38" personId="{C12F91EE-78C6-4566-B49A-5271331DAB95}" id="{0CD29567-C496-4B78-81B5-4663B9E4DD1F}">
    <text>https://statics.teams.cdn.office.net/evergreen-assets/safelinks/1/atp-safelinks.html</text>
  </threadedComment>
  <threadedComment ref="N18" dT="2023-11-29T13:55:51.44" personId="{C12F91EE-78C6-4566-B49A-5271331DAB95}" id="{10F6EE8C-1D1E-41FF-B2E9-B3CD021C96A2}">
    <text>https://obr.uk/efo/economic-and-fiscal-outlook-march-2024/</text>
    <extLst>
      <x:ext xmlns:xltc2="http://schemas.microsoft.com/office/spreadsheetml/2020/threadedcomments2" uri="{F7C98A9C-CBB3-438F-8F68-D28B6AF4A901}">
        <xltc2:checksum>2772415921</xltc2:checksum>
        <xltc2:hyperlink startIndex="0" length="58" url="https://obr.uk/efo/economic-and-fiscal-outlook-march-2024/"/>
      </x:ext>
    </extLst>
  </threadedComment>
  <threadedComment ref="G42" dT="2023-11-29T11:55:08.11" personId="{C12F91EE-78C6-4566-B49A-5271331DAB95}" id="{1E5C07C2-DAF7-426A-9210-B9DC05A11903}">
    <text>Actual numbers from 2018/19 excl provider depreciation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N10" dT="2023-11-29T13:55:30.38" personId="{C12F91EE-78C6-4566-B49A-5271331DAB95}" id="{00421BB3-3B99-4B8D-BA00-BE674BD0C3E4}">
    <text>https://statics.teams.cdn.office.net/evergreen-assets/safelinks/1/atp-safelinks.html</text>
  </threadedComment>
  <threadedComment ref="N18" dT="2023-11-29T13:55:51.44" personId="{C12F91EE-78C6-4566-B49A-5271331DAB95}" id="{750EE01C-3D65-40C5-A836-8129D2200065}">
    <text>https://obr.uk/download/november-2023-economic-and-fiscal-outlook-supplementary-economy-tables/?tmstv=1701265964</text>
    <extLst>
      <x:ext xmlns:xltc2="http://schemas.microsoft.com/office/spreadsheetml/2020/threadedcomments2" uri="{F7C98A9C-CBB3-438F-8F68-D28B6AF4A901}">
        <xltc2:checksum>18062236</xltc2:checksum>
        <xltc2:hyperlink startIndex="0" length="112" url="https://obr.uk/download/november-2023-economic-and-fiscal-outlook-supplementary-economy-tables/?tmstv=1701265964"/>
      </x:ext>
    </extLst>
  </threadedComment>
  <threadedComment ref="G42" dT="2023-11-29T11:55:08.11" personId="{C12F91EE-78C6-4566-B49A-5271331DAB95}" id="{46E4A5F0-03B7-4685-B5BD-E69F3F23C06B}">
    <text>Actual numbers from 2018/19 excl provider depreciation</text>
  </threadedComment>
</ThreadedComments>
</file>

<file path=xl/threadedComments/threadedComment8.xml><?xml version="1.0" encoding="utf-8"?>
<ThreadedComments xmlns="http://schemas.microsoft.com/office/spreadsheetml/2018/threadedcomments" xmlns:x="http://schemas.openxmlformats.org/spreadsheetml/2006/main">
  <threadedComment ref="K6" dT="2024-06-04T14:07:23.13" personId="{186A1D36-D2DC-4C30-85E6-A36544B52D87}" id="{3C042713-8567-4DFD-BA2E-568537194FE4}">
    <text>Makes a very minor difference but this is the population figure for mid-1980, which is outside of this financial year. Is it worth using the previous year?</text>
  </threadedComment>
  <threadedComment ref="C48" dT="2022-11-17T18:32:21.85" personId="{C33FF437-0AA1-44B4-9998-962B66B9F058}" id="{BB309E25-BA06-49ED-BB03-CF81FCF12F50}">
    <text>summing up RDEL 144.1 and CDEL 133.7 from SB</text>
  </threadedComment>
  <threadedComment ref="F48" dT="2023-03-17T16:23:40.70" personId="{17D98409-4505-4B9D-897C-70E4FC6509B2}" id="{2D5D29A8-827E-4C45-B3E0-CFBE642CAB63}">
    <text>I don't recognise these numbers?</text>
  </threadedComment>
  <threadedComment ref="F52" dT="2024-10-31T16:38:59.24" personId="{186A1D36-D2DC-4C30-85E6-A36544B52D87}" id="{938D11BC-86FB-45A2-B49F-D85C84461612}">
    <text>Shouldn't make a difference to growth rates but this is pulling from column E, should it be column D (HMT deflator)?</text>
  </threadedComment>
  <threadedComment ref="C62" dT="2024-10-31T16:54:51.35" personId="{186A1D36-D2DC-4C30-85E6-A36544B52D87}" id="{599BF2EE-2BFB-4B2A-983F-2AC4DE76EA91}">
    <text>Are both years technically still planned? Should we highlight in the flourish?</text>
  </threadedComment>
</ThreadedComments>
</file>

<file path=xl/threadedComments/threadedComment9.xml><?xml version="1.0" encoding="utf-8"?>
<ThreadedComments xmlns="http://schemas.microsoft.com/office/spreadsheetml/2018/threadedcomments" xmlns:x="http://schemas.openxmlformats.org/spreadsheetml/2006/main">
  <threadedComment ref="C15" dT="2024-10-30T18:15:22.76" personId="{186A1D36-D2DC-4C30-85E6-A36544B52D87}" id="{3448DA06-623E-446B-B274-4BC971496BFB}">
    <text>Note that this is 3.8% in flourish chart as this was the official published figure</text>
  </threadedComment>
</ThreadedComments>
</file>

<file path=xl/threadedComments/threadedComment10.xml><?xml version="1.0" encoding="utf-8"?>
<ThreadedComments xmlns="http://schemas.microsoft.com/office/spreadsheetml/2018/threadedcomments" xmlns:x="http://schemas.openxmlformats.org/spreadsheetml/2006/main">
  <threadedComment ref="M17" dT="2023-03-17T13:30:29.82" personId="{C33FF437-0AA1-44B4-9998-962B66B9F058}" id="{97C97CCB-59D9-4A5B-8C4D-B577D6E79956}">
    <text>from memoranda doc https://committees.parliament.uk/committee/81/health-and-social-care-committee/publications/10/estimate-memoranda/ Feb 2023</text>
    <extLst>
      <x:ext xmlns:xltc2="http://schemas.microsoft.com/office/spreadsheetml/2020/threadedcomments2" uri="{F7C98A9C-CBB3-438F-8F68-D28B6AF4A901}">
        <xltc2:checksum>128157018</xltc2:checksum>
        <xltc2:hyperlink startIndex="19" length="114" url="https://committees.parliament.uk/committee/81/health-and-social-care-committee/publications/10/estimate-memoranda/"/>
      </x:ext>
    </extLst>
  </threadedComment>
  <threadedComment ref="N17" dT="2023-03-27T13:17:07.44" personId="{C33FF437-0AA1-44B4-9998-962B66B9F058}" id="{6B5C1006-8917-40B9-B60D-0A8580D483B5}">
    <text>from memoranda doc https://committees.parliament.uk/committee/81/health-and-social-care-committee/publications/10/estimate-memoranda/ Feb 2023</text>
    <extLst>
      <x:ext xmlns:xltc2="http://schemas.microsoft.com/office/spreadsheetml/2020/threadedcomments2" uri="{F7C98A9C-CBB3-438F-8F68-D28B6AF4A901}">
        <xltc2:checksum>128157018</xltc2:checksum>
        <xltc2:hyperlink startIndex="19" length="114" url="https://committees.parliament.uk/committee/81/health-and-social-care-committee/publications/10/estimate-memoranda/"/>
      </x:ext>
    </extLst>
  </threadedComment>
  <threadedComment ref="A21" dT="2023-10-17T13:39:51.09" personId="{C12F91EE-78C6-4566-B49A-5271331DAB95}" id="{E98D2FBC-6CF4-447E-A5F4-AA8F4CA4CD01}">
    <text>Resource DEL (exc depreciation)</text>
  </threadedComment>
  <threadedComment ref="F40" dT="2021-10-25T15:05:25.44" personId="{C33FF437-0AA1-44B4-9998-962B66B9F058}" id="{9DCE5BBA-A272-4966-ABBF-F735A137FDCB}">
    <text>figures up to 2019-20 included are from ARA. beyond that point, we are using the latest HEE business plan</text>
  </threadedComment>
  <threadedComment ref="L40" dT="2021-10-25T14:57:45.22" personId="{C33FF437-0AA1-44B4-9998-962B66B9F058}" id="{8A894A03-0DA8-4DA6-9BBD-17B0083A6F0A}">
    <text xml:space="preserve">ARA 2019-20
</text>
  </threadedComment>
  <threadedComment ref="N40" dT="2023-03-07T15:12:14.87" personId="{C33FF437-0AA1-44B4-9998-962B66B9F058}" id="{607507D2-7642-435E-86FE-52B367047B9B}">
    <text>https://www.hee.nhs.uk/sites/default/files/HEE%20Business%20Plan%202021-22.pdf</text>
  </threadedComment>
  <threadedComment ref="O40" dT="2023-03-07T15:13:14.76" personId="{C33FF437-0AA1-44B4-9998-962B66B9F058}" id="{D28F3F36-A13F-4FC9-BA93-EC13820D1C73}">
    <text>https://www.hee.nhs.uk/sites/default/files/HEE%20Business%20Plan%202022-23.pdf</text>
  </threadedComment>
  <threadedComment ref="P40" dT="2023-04-12T11:21:04.69" personId="{C33FF437-0AA1-44B4-9998-962B66B9F058}" id="{7050579B-9F8F-4771-948F-C77CF663AF36}">
    <text>https://assets.publishing.service.gov.uk/government/uploads/system/uploads/attachment_data/file/1147806/2023_to_2024_NHS_financial_directions.pdf</text>
  </threadedComment>
  <threadedComment ref="I41" dT="2021-10-25T14:48:11.63" personId="{C33FF437-0AA1-44B4-9998-962B66B9F058}" id="{2C4087FF-8AAF-42EA-BC8E-F42EEB8C938F}">
    <text>numbers in purple are from PESA</text>
  </threadedComment>
  <threadedComment ref="N41" dT="2021-10-25T14:42:17.64" personId="{C33FF437-0AA1-44B4-9998-962B66B9F058}" id="{35627FFE-7470-4637-916A-C63E77F20199}">
    <text>https://www.gov.uk/government/publications/public-health-grants-to-local-authorities-2021-to-2022/public-health-ring-fenced-grant-2021-to-2022-local-authority-circular#annexb</text>
  </threadedComment>
  <threadedComment ref="O41" dT="2022-02-21T11:58:46.85" personId="{863C4FBF-DEB6-44DD-BA2E-E9920030F54C}" id="{3AED5F1F-2F2D-4F1E-81E2-FAB077435EF0}">
    <text>https://www.gov.uk/government/publications/public-health-grants-to-local-authorities-2022-to-2023/public-health-ringfenced-grant-2022-to-2023-local-authority-circular</text>
  </threadedComment>
  <threadedComment ref="P41" dT="2023-04-12T11:21:24.06" personId="{C33FF437-0AA1-44B4-9998-962B66B9F058}" id="{B0BC70B0-B704-4262-ABDB-23EDD410CCF5}">
    <text>https://www.gov.uk/government/publications/public-health-grants-to-local-authorities-2023-to-2024</text>
  </threadedComment>
  <threadedComment ref="M47" dT="2021-10-25T11:17:45.83" personId="{863C4FBF-DEB6-44DD-BA2E-E9920030F54C}" id="{7A166C48-6930-4421-9BF6-D9CE4566B652}">
    <text>https://assets.publishing.service.gov.uk/government/uploads/system/uploads/attachment_data/file/1135637/dhsc-annual-report-and-accounts-2021-2022_web-accessible.pdf see table 59</text>
    <extLst>
      <x:ext xmlns:xltc2="http://schemas.microsoft.com/office/spreadsheetml/2020/threadedcomments2" uri="{F7C98A9C-CBB3-438F-8F68-D28B6AF4A901}">
        <xltc2:checksum>3895979595</xltc2:checksum>
        <xltc2:hyperlink startIndex="0" length="164" url="https://assets.publishing.service.gov.uk/government/uploads/system/uploads/attachment_data/file/1135637/dhsc-annual-report-and-accounts-2021-2022_web-accessible.pdf"/>
      </x:ext>
    </extLst>
  </threadedComment>
  <threadedComment ref="N47" dT="2022-03-21T15:05:25.48" personId="{C33FF437-0AA1-44B4-9998-962B66B9F058}" id="{CAADCBF9-014E-46C3-9D69-C1BC707C079A}">
    <text>https://assets.publishing.service.gov.uk/government/uploads/system/uploads/attachment_data/file/1135637/dhsc-annual-report-and-accounts-2021-2022_web-accessible.pdf see table 59</text>
    <extLst>
      <x:ext xmlns:xltc2="http://schemas.microsoft.com/office/spreadsheetml/2020/threadedcomments2" uri="{F7C98A9C-CBB3-438F-8F68-D28B6AF4A901}">
        <xltc2:checksum>3895979595</xltc2:checksum>
        <xltc2:hyperlink startIndex="0" length="164" url="https://assets.publishing.service.gov.uk/government/uploads/system/uploads/attachment_data/file/1135637/dhsc-annual-report-and-accounts-2021-2022_web-accessible.pdf"/>
      </x:ext>
    </extLst>
  </threadedComment>
  <threadedComment ref="M48" dT="2021-10-25T11:22:38.13" personId="{863C4FBF-DEB6-44DD-BA2E-E9920030F54C}" id="{F62E349F-0701-41B5-9C20-8A0A4E36E238}">
    <text>from memoranda doc https://committees.parliament.uk/committee/81/health-and-social-care-committee/publications/10/estimate-memoranda/ Feb 2023</text>
    <extLst>
      <x:ext xmlns:xltc2="http://schemas.microsoft.com/office/spreadsheetml/2020/threadedcomments2" uri="{F7C98A9C-CBB3-438F-8F68-D28B6AF4A901}">
        <xltc2:checksum>128157018</xltc2:checksum>
        <xltc2:hyperlink startIndex="19" length="114" url="https://committees.parliament.uk/committee/81/health-and-social-care-committee/publications/10/estimate-memoranda/"/>
      </x:ext>
    </extLst>
  </threadedComment>
  <threadedComment ref="N48" dT="2023-03-17T15:42:10.21" personId="{17D98409-4505-4B9D-897C-70E4FC6509B2}" id="{DCD2EC36-33BA-423E-8559-2F1EB0F4E14F}">
    <text>Indicate 9.0 in SP2023 (Table 2.2)</text>
  </threadedComment>
  <threadedComment ref="P82" dT="2023-03-15T11:02:22.11" personId="{C33FF437-0AA1-44B4-9998-962B66B9F058}" id="{015D19E9-07C5-43C0-9838-740BD1CF6887}">
    <text>https://www.gov.uk/government/publications/public-health-grants-to-local-authorities-2023-to-2024/public-health-ring-fenced-grant-2023-to-2024-local-authority-circular#:~:text=In%202023%20to%202024%2C%20the,coronavirus%20(COVID%2D19).</text>
  </threadedComment>
</ThreadedComments>
</file>

<file path=xl/threadedComments/threadedComment11.xml><?xml version="1.0" encoding="utf-8"?>
<ThreadedComments xmlns="http://schemas.microsoft.com/office/spreadsheetml/2018/threadedcomments" xmlns:x="http://schemas.openxmlformats.org/spreadsheetml/2006/main">
  <threadedComment ref="C90" dT="2022-11-22T11:35:56.99" personId="{C33FF437-0AA1-44B4-9998-962B66B9F058}" id="{4CBAE69D-85BC-4406-AB30-D1CE34413795}">
    <text>from autumn statement</text>
  </threadedComment>
</ThreadedComments>
</file>

<file path=xl/threadedComments/threadedComment12.xml><?xml version="1.0" encoding="utf-8"?>
<ThreadedComments xmlns="http://schemas.microsoft.com/office/spreadsheetml/2018/threadedcomments" xmlns:x="http://schemas.openxmlformats.org/spreadsheetml/2006/main">
  <threadedComment ref="T48" dT="2022-11-17T18:32:21.85" personId="{C33FF437-0AA1-44B4-9998-962B66B9F058}" id="{CAAAA881-2254-4D6A-A7F7-6814CF02830A}">
    <text>summing up RDEL 144.1 and CDEL 133.7 from SB</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3-11-29T13:55:30.38" personId="{C12F91EE-78C6-4566-B49A-5271331DAB95}" id="{0E7A0B84-B055-4A7F-BB11-362FA0E64CD1}">
    <text>https://statics.teams.cdn.office.net/evergreen-assets/safelinks/1/atp-safelinks.html</text>
  </threadedComment>
  <threadedComment ref="N18" dT="2023-11-29T13:55:51.44" personId="{C12F91EE-78C6-4566-B49A-5271331DAB95}" id="{F6B87BC7-F314-433E-ADFD-BBDA5FCBBAEF}">
    <text>https://obr.uk/download/november-2023-economic-and-fiscal-outlook-supplementary-economy-tables/?tmstv=1701265964</text>
    <extLst>
      <x:ext xmlns:xltc2="http://schemas.microsoft.com/office/spreadsheetml/2020/threadedcomments2" uri="{F7C98A9C-CBB3-438F-8F68-D28B6AF4A901}">
        <xltc2:checksum>18062236</xltc2:checksum>
        <xltc2:hyperlink startIndex="0" length="112" url="https://obr.uk/download/november-2023-economic-and-fiscal-outlook-supplementary-economy-tables/?tmstv=1701265964"/>
      </x:ext>
    </extLst>
  </threadedComment>
  <threadedComment ref="G42" dT="2023-11-29T11:55:08.11" personId="{C12F91EE-78C6-4566-B49A-5271331DAB95}" id="{19E859F6-F883-4A99-B01E-E77935D79243}">
    <text>Actual numbers from 2018/19 excl provider depreciation</text>
  </threadedComment>
</ThreadedComments>
</file>

<file path=xl/threadedComments/threadedComment14.xml><?xml version="1.0" encoding="utf-8"?>
<ThreadedComments xmlns="http://schemas.microsoft.com/office/spreadsheetml/2018/threadedcomments" xmlns:x="http://schemas.openxmlformats.org/spreadsheetml/2006/main">
  <threadedComment ref="N13" dT="2023-03-17T15:42:45.16" personId="{17D98409-4505-4B9D-897C-70E4FC6509B2}" id="{C5D6468D-2143-43AE-89B9-6BD7BCEE261A}">
    <text>Indicates 133.7 in Spring Budget 2023 (Table 2.1)</text>
  </threadedComment>
</ThreadedComments>
</file>

<file path=xl/threadedComments/threadedComment15.xml><?xml version="1.0" encoding="utf-8"?>
<ThreadedComments xmlns="http://schemas.microsoft.com/office/spreadsheetml/2018/threadedcomments" xmlns:x="http://schemas.openxmlformats.org/spreadsheetml/2006/main">
  <threadedComment ref="K27" dT="2021-02-01T18:25:37.60" personId="{C33FF437-0AA1-44B4-9998-962B66B9F058}" id="{2399C137-290A-4C26-B85F-3F95C9E1C9DE}">
    <text xml:space="preserve">Note that R&amp;D is included in Other </text>
  </threadedComment>
  <threadedComment ref="H37" dT="2021-02-01T19:08:54.81" personId="{C33FF437-0AA1-44B4-9998-962B66B9F058}" id="{5A404E3F-EA3B-47BB-BC1F-4DAD6FC3394A}">
    <text>this should absorb DH central programmes and ALB</text>
  </threadedComment>
  <threadedComment ref="H41" dT="2021-02-01T19:08:34.17" personId="{C33FF437-0AA1-44B4-9998-962B66B9F058}" id="{41FE8789-6552-47C1-B104-E01A829F84D8}">
    <text>probably depreciation?</text>
  </threadedComment>
</ThreadedComments>
</file>

<file path=xl/threadedComments/threadedComment16.xml><?xml version="1.0" encoding="utf-8"?>
<ThreadedComments xmlns="http://schemas.microsoft.com/office/spreadsheetml/2018/threadedcomments" xmlns:x="http://schemas.openxmlformats.org/spreadsheetml/2006/main">
  <threadedComment ref="H52" dT="2023-03-15T16:28:03.64" personId="{863C4FBF-DEB6-44DD-BA2E-E9920030F54C}" id="{A21CFDE7-18F6-4C8B-8929-D3BC134ECE17}">
    <text>compare with nuffield trust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thehealthfoundation98.sharepoint.com/sites/thf_project/projects_programmes/:w:/r/sites/thf_project/projects_programmes/00638/2020/20202311%20-%20JK%20Handover%20notes/Handover%20notes.docx?d=we9fd3b0d55a441fbb641f5f501289f1e&amp;csf=1&amp;web=1&amp;e=NffHHE"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gov.uk/government/publications/2024-to-2025-financial-directions-to-nhs-england/2024-to-2025-financial-directions-to-nhs-england" TargetMode="External"/><Relationship Id="rId7" Type="http://schemas.microsoft.com/office/2017/10/relationships/threadedComment" Target="../threadedComments/threadedComment1.xml"/><Relationship Id="rId2" Type="http://schemas.openxmlformats.org/officeDocument/2006/relationships/hyperlink" Target="https://thehealthfoundation98.sharepoint.com/sites/thf_project/projects_programmes/00638/default.aspx" TargetMode="External"/><Relationship Id="rId1" Type="http://schemas.openxmlformats.org/officeDocument/2006/relationships/hyperlink" Target="https://www.health.org.uk/publications/long-reads/health-care-funding"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8" Type="http://schemas.microsoft.com/office/2017/10/relationships/threadedComment" Target="../threadedComments/threadedComment2.xml"/><Relationship Id="rId3" Type="http://schemas.openxmlformats.org/officeDocument/2006/relationships/hyperlink" Target="https://assets.publishing.service.gov.uk/media/66a8dd93ab418ab055592fb9/E03149684_PESA_2024_Web_Accessible.pdf" TargetMode="External"/><Relationship Id="rId7" Type="http://schemas.openxmlformats.org/officeDocument/2006/relationships/comments" Target="../comments2.xml"/><Relationship Id="rId2" Type="http://schemas.openxmlformats.org/officeDocument/2006/relationships/hyperlink" Target="https://assets.publishing.service.gov.uk/media/65e8578eb559930011ade2cb/E03057752_HMT_Spring_Budget_Mar_24_Web_Accessible__2_.pdf" TargetMode="External"/><Relationship Id="rId1" Type="http://schemas.openxmlformats.org/officeDocument/2006/relationships/hyperlink" Target="https://www.gov.uk/government/publications/supplementary-estimates-2023-24" TargetMode="External"/><Relationship Id="rId6" Type="http://schemas.openxmlformats.org/officeDocument/2006/relationships/vmlDrawing" Target="../drawings/vmlDrawing2.vml"/><Relationship Id="rId5" Type="http://schemas.openxmlformats.org/officeDocument/2006/relationships/printerSettings" Target="../printerSettings/printerSettings3.bin"/><Relationship Id="rId4" Type="http://schemas.openxmlformats.org/officeDocument/2006/relationships/hyperlink" Target="https://obr.uk/download/october-2024-economic-and-fiscal-outlook-detailed-forecast-tables-economy/?tmstv=1730298074"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gov.uk/government/publications/supplementary-estimates-2023-24" TargetMode="External"/><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hyperlink" Target="https://obr.uk/download/october-2024-economic-and-fiscal-outlook-detailed-forecast-tables-economy/?tmstv=1730298074" TargetMode="External"/><Relationship Id="rId7" Type="http://schemas.microsoft.com/office/2017/10/relationships/threadedComment" Target="../threadedComments/threadedComment4.xml"/><Relationship Id="rId2" Type="http://schemas.openxmlformats.org/officeDocument/2006/relationships/hyperlink" Target="https://assets.publishing.service.gov.uk/media/65e8578eb559930011ade2cb/E03057752_HMT_Spring_Budget_Mar_24_Web_Accessible__2_.pdf" TargetMode="External"/><Relationship Id="rId1" Type="http://schemas.openxmlformats.org/officeDocument/2006/relationships/hyperlink" Target="https://www.gov.uk/government/publications/supplementary-estimates-2023-24"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hyperlink" Target="https://obr.uk/download/october-2024-economic-and-fiscal-outlook-detailed-forecast-tables-economy/?tmstv=1730298074" TargetMode="External"/><Relationship Id="rId7" Type="http://schemas.microsoft.com/office/2017/10/relationships/threadedComment" Target="../threadedComments/threadedComment5.xml"/><Relationship Id="rId2" Type="http://schemas.openxmlformats.org/officeDocument/2006/relationships/hyperlink" Target="https://assets.publishing.service.gov.uk/media/65e8578eb559930011ade2cb/E03057752_HMT_Spring_Budget_Mar_24_Web_Accessible__2_.pdf" TargetMode="External"/><Relationship Id="rId1" Type="http://schemas.openxmlformats.org/officeDocument/2006/relationships/hyperlink" Target="https://www.gov.uk/government/publications/supplementary-estimates-2023-24"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www.gov.uk/government/publications/supplementary-estimates-2023-24" TargetMode="External"/><Relationship Id="rId4" Type="http://schemas.microsoft.com/office/2017/10/relationships/threadedComment" Target="../threadedComments/threadedComment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7.bin"/><Relationship Id="rId1" Type="http://schemas.openxmlformats.org/officeDocument/2006/relationships/hyperlink" Target="https://www.gov.uk/government/publications/autumn-statement-2023" TargetMode="External"/><Relationship Id="rId5" Type="http://schemas.microsoft.com/office/2017/10/relationships/threadedComment" Target="../threadedComments/threadedComment7.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hyperlink" Target="https://obr.uk/download/october-2024-economic-and-fiscal-outlook-detailed-forecast-tables-economy/?tmstv=1730298074"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 Id="rId4" Type="http://schemas.microsoft.com/office/2017/10/relationships/threadedComment" Target="../threadedComments/threadedComment8.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ons.gov.uk/peoplepopulationandcommunity/populationandmigration/populationestimates/datasets/estimatesofthepopulationforenglandandwales" TargetMode="External"/><Relationship Id="rId1" Type="http://schemas.openxmlformats.org/officeDocument/2006/relationships/hyperlink" Target="https://www.ons.gov.uk/peoplepopulationandcommunity/populationandmigration/populationprojections/datasets/z3zippedpopulationprojectionsdatafilesengland"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ons.gov.uk/file?uri=/economy/grossdomesticproductgdp/datasets/uksecondestimateofgdpdatatables/quarter2aprtojune2024quarterlynationalaccounts/quarterlynationalaccountsdatatables.xlsx" TargetMode="External"/><Relationship Id="rId3" Type="http://schemas.openxmlformats.org/officeDocument/2006/relationships/hyperlink" Target="https://obr.uk/efo/economic-and-fiscal-outlook-march-2024/" TargetMode="External"/><Relationship Id="rId7" Type="http://schemas.openxmlformats.org/officeDocument/2006/relationships/hyperlink" Target="https://www.ons.gov.uk/file?uri=/economy/grossdomesticproductgdp/datasets/uksecondestimateofgdpdatatables/quarter2aprtojune2024quarterlynationalaccounts/quarterlynationalaccountsdatatables.xlsx" TargetMode="External"/><Relationship Id="rId2" Type="http://schemas.openxmlformats.org/officeDocument/2006/relationships/hyperlink" Target="https://www.gov.uk/government/publications/gross-domestic-product-gdp-deflators-user-guide" TargetMode="External"/><Relationship Id="rId1" Type="http://schemas.openxmlformats.org/officeDocument/2006/relationships/hyperlink" Target="https://www.gov.uk/government/publications/how-to-use-the-gdp-deflator-series-practical-examples" TargetMode="External"/><Relationship Id="rId6" Type="http://schemas.openxmlformats.org/officeDocument/2006/relationships/hyperlink" Target="https://www.ons.gov.uk/file?uri=/economy/grossdomesticproductgdp/datasets/uksecondestimateofgdpdatatables/quarter2aprtojune2024quarterlynationalaccounts/quarterlynationalaccountsdatatables.xlsx" TargetMode="External"/><Relationship Id="rId5" Type="http://schemas.openxmlformats.org/officeDocument/2006/relationships/hyperlink" Target="https://www.ons.gov.uk/file?uri=/economy/grossdomesticproductgdp/datasets/uksecondestimateofgdpdatatables/quarter2aprtojune2024quarterlynationalaccounts/quarterlynationalaccountsdatatables.xlsx" TargetMode="External"/><Relationship Id="rId4" Type="http://schemas.openxmlformats.org/officeDocument/2006/relationships/hyperlink" Target="https://obr.uk/efo/economic-and-fiscal-outlook-march-2024/" TargetMode="External"/><Relationship Id="rId9"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8" Type="http://schemas.openxmlformats.org/officeDocument/2006/relationships/hyperlink" Target="https://obr.uk/efo/economic-and-fiscal-outlook-march-2024/" TargetMode="External"/><Relationship Id="rId3" Type="http://schemas.openxmlformats.org/officeDocument/2006/relationships/hyperlink" Target="https://www.ons.gov.uk/file?uri=/economy/grossdomesticproductgdp/datasets/uksecondestimateofgdpdatatables/quarter4octtodec2023firstestimate/firstquarterlyestimateofgdpdatatables.xlsx" TargetMode="External"/><Relationship Id="rId7" Type="http://schemas.openxmlformats.org/officeDocument/2006/relationships/hyperlink" Target="https://obr.uk/efo/economic-and-fiscal-outlook-march-2024/" TargetMode="External"/><Relationship Id="rId2" Type="http://schemas.openxmlformats.org/officeDocument/2006/relationships/hyperlink" Target="https://www.gov.uk/government/publications/gross-domestic-product-gdp-deflators-user-guide" TargetMode="External"/><Relationship Id="rId1" Type="http://schemas.openxmlformats.org/officeDocument/2006/relationships/hyperlink" Target="https://www.gov.uk/government/publications/how-to-use-the-gdp-deflator-series-practical-examples" TargetMode="External"/><Relationship Id="rId6" Type="http://schemas.openxmlformats.org/officeDocument/2006/relationships/hyperlink" Target="https://www.ons.gov.uk/file?uri=/economy/grossdomesticproductgdp/datasets/uksecondestimateofgdpdatatables/quarter4octtodec2023firstestimate/firstquarterlyestimateofgdpdatatables.xlsx" TargetMode="External"/><Relationship Id="rId5" Type="http://schemas.openxmlformats.org/officeDocument/2006/relationships/hyperlink" Target="https://www.ons.gov.uk/file?uri=/economy/grossdomesticproductgdp/datasets/uksecondestimateofgdpdatatables/quarter4octtodec2023firstestimate/firstquarterlyestimateofgdpdatatables.xlsx" TargetMode="External"/><Relationship Id="rId4" Type="http://schemas.openxmlformats.org/officeDocument/2006/relationships/hyperlink" Target="https://www.ons.gov.uk/file?uri=/economy/grossdomesticproductgdp/datasets/uksecondestimateofgdpdatatables/quarter4octtodec2023firstestimate/firstquarterlyestimateofgdpdatatables.xlsx" TargetMode="External"/><Relationship Id="rId9"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public.flourish.studio/visualisation/13101325/"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public.flourish.studio/story/1851796/" TargetMode="Externa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5.bin"/><Relationship Id="rId1" Type="http://schemas.openxmlformats.org/officeDocument/2006/relationships/hyperlink" Target="https://public.flourish.studio/story/1860255/" TargetMode="External"/><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public.flourish.studio/visualisation/13018643/" TargetMode="External"/></Relationships>
</file>

<file path=xl/worksheets/_rels/sheet33.xml.rels><?xml version="1.0" encoding="UTF-8" standalone="yes"?>
<Relationships xmlns="http://schemas.openxmlformats.org/package/2006/relationships"><Relationship Id="rId8" Type="http://schemas.openxmlformats.org/officeDocument/2006/relationships/comments" Target="../comments11.xml"/><Relationship Id="rId3" Type="http://schemas.openxmlformats.org/officeDocument/2006/relationships/hyperlink" Target="https://www.hee.nhs.uk/sites/default/files/HEE%20Business%20Plan%202021-22.pdf" TargetMode="External"/><Relationship Id="rId7" Type="http://schemas.openxmlformats.org/officeDocument/2006/relationships/vmlDrawing" Target="../drawings/vmlDrawing11.vml"/><Relationship Id="rId2" Type="http://schemas.openxmlformats.org/officeDocument/2006/relationships/hyperlink" Target="https://www.gov.uk/government/publications/public-health-grants-to-local-authorities-2019-to-2020" TargetMode="External"/><Relationship Id="rId1" Type="http://schemas.openxmlformats.org/officeDocument/2006/relationships/hyperlink" Target="https://www.gov.uk/government/publications/spending-round-2019-document/spending-round-2019" TargetMode="External"/><Relationship Id="rId6" Type="http://schemas.openxmlformats.org/officeDocument/2006/relationships/printerSettings" Target="../printerSettings/printerSettings17.bin"/><Relationship Id="rId5" Type="http://schemas.openxmlformats.org/officeDocument/2006/relationships/hyperlink" Target="https://assets.publishing.service.gov.uk/government/uploads/system/uploads/attachment_data/file/1171658/E02929310_HMT_PESA_2023_Accessible.pdf" TargetMode="External"/><Relationship Id="rId4" Type="http://schemas.openxmlformats.org/officeDocument/2006/relationships/hyperlink" Target="https://committees.parliament.uk/committee/81/health-and-social-care-committee/publications/10/estimate-memoranda/" TargetMode="External"/><Relationship Id="rId9" Type="http://schemas.microsoft.com/office/2017/10/relationships/threadedComment" Target="../threadedComments/threadedComment1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4.xml"/><Relationship Id="rId1" Type="http://schemas.openxmlformats.org/officeDocument/2006/relationships/printerSettings" Target="../printerSettings/printerSettings18.bin"/><Relationship Id="rId5" Type="http://schemas.microsoft.com/office/2017/10/relationships/threadedComment" Target="../threadedComments/threadedComment11.xml"/><Relationship Id="rId4" Type="http://schemas.openxmlformats.org/officeDocument/2006/relationships/comments" Target="../comments1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printerSettings" Target="../printerSettings/printerSettings19.bin"/><Relationship Id="rId1" Type="http://schemas.openxmlformats.org/officeDocument/2006/relationships/hyperlink" Target="https://researchbriefings.files.parliament.uk/documents/SN00724/SN00724.pdf" TargetMode="External"/><Relationship Id="rId5" Type="http://schemas.microsoft.com/office/2017/10/relationships/threadedComment" Target="../threadedComments/threadedComment12.xml"/><Relationship Id="rId4" Type="http://schemas.openxmlformats.org/officeDocument/2006/relationships/comments" Target="../comments13.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gov.uk/government/publications/autumn-statement-2023" TargetMode="External"/><Relationship Id="rId5" Type="http://schemas.microsoft.com/office/2017/10/relationships/threadedComment" Target="../threadedComments/threadedComment13.xml"/><Relationship Id="rId4" Type="http://schemas.openxmlformats.org/officeDocument/2006/relationships/comments" Target="../comments1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1.bin"/><Relationship Id="rId4" Type="http://schemas.microsoft.com/office/2017/10/relationships/threadedComment" Target="../threadedComments/threadedComment14.xm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assets.publishing.service.gov.uk/government/uploads/system/uploads/attachment_data/file/901406/CCS207_CCS0620768248-001_PESA_ARA_Complete_E-Laying__002_.pdf"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3.bin"/><Relationship Id="rId7" Type="http://schemas.microsoft.com/office/2017/10/relationships/threadedComment" Target="../threadedComments/threadedComment15.xml"/><Relationship Id="rId2" Type="http://schemas.openxmlformats.org/officeDocument/2006/relationships/hyperlink" Target="https://assets.publishing.service.gov.uk/government/uploads/system/uploads/attachment_data/file/1135637/dhsc-annual-report-and-accounts-2021-2022_web-accessible.pdf" TargetMode="External"/><Relationship Id="rId1" Type="http://schemas.openxmlformats.org/officeDocument/2006/relationships/hyperlink" Target="https://assets.publishing.service.gov.uk/government/uploads/system/uploads/attachment_data/file/1135637/dhsc-annual-report-and-accounts-2021-2022_web-accessible.pdf" TargetMode="External"/><Relationship Id="rId6" Type="http://schemas.openxmlformats.org/officeDocument/2006/relationships/comments" Target="../comments16.xml"/><Relationship Id="rId5" Type="http://schemas.openxmlformats.org/officeDocument/2006/relationships/vmlDrawing" Target="../drawings/vmlDrawing16.vml"/><Relationship Id="rId4" Type="http://schemas.openxmlformats.org/officeDocument/2006/relationships/drawing" Target="../drawings/drawing5.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hyperlink" Target="https://assets.publishing.service.gov.uk/government/uploads/system/uploads/attachment_data/file/1135637/dhsc-annual-report-and-accounts-2021-2022_web-accessible.pdf"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assets.publishing.service.gov.uk/government/uploads/system/uploads/attachment_data/file/1135637/dhsc-annual-report-and-accounts-2021-2022_web-accessible.pdf" TargetMode="External"/></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england.nhs.uk/publication/nhs-mental-health-dashboard/" TargetMode="External"/></Relationships>
</file>

<file path=xl/worksheets/_rels/sheet5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6.bin"/><Relationship Id="rId4" Type="http://schemas.microsoft.com/office/2017/10/relationships/threadedComment" Target="../threadedComments/threadedComment16.xml"/></Relationships>
</file>

<file path=xl/worksheets/_rels/sheet51.xml.rels><?xml version="1.0" encoding="UTF-8" standalone="yes"?>
<Relationships xmlns="http://schemas.openxmlformats.org/package/2006/relationships"><Relationship Id="rId3" Type="http://schemas.openxmlformats.org/officeDocument/2006/relationships/hyperlink" Target="https://www.england.nhs.uk/allocations/" TargetMode="External"/><Relationship Id="rId7" Type="http://schemas.openxmlformats.org/officeDocument/2006/relationships/comments" Target="../comments18.xml"/><Relationship Id="rId2" Type="http://schemas.openxmlformats.org/officeDocument/2006/relationships/hyperlink" Target="https://assets.publishing.service.gov.uk/government/uploads/system/uploads/attachment_data/file/956804/Department_of_Health_and_Social_Care_Annual_Report_and_Accounts_2019-20.pdf" TargetMode="External"/><Relationship Id="rId1" Type="http://schemas.openxmlformats.org/officeDocument/2006/relationships/hyperlink" Target="https://assets.publishing.service.gov.uk/government/uploads/system/uploads/attachment_data/file/956804/Department_of_Health_and_Social_Care_Annual_Report_and_Accounts_2019-20.pdf" TargetMode="External"/><Relationship Id="rId6" Type="http://schemas.openxmlformats.org/officeDocument/2006/relationships/vmlDrawing" Target="../drawings/vmlDrawing18.vml"/><Relationship Id="rId5" Type="http://schemas.openxmlformats.org/officeDocument/2006/relationships/printerSettings" Target="../printerSettings/printerSettings27.bin"/><Relationship Id="rId4" Type="http://schemas.openxmlformats.org/officeDocument/2006/relationships/hyperlink" Target="https://assets.publishing.service.gov.uk/government/uploads/system/uploads/attachment_data/file/1135637/dhsc-annual-report-and-accounts-2021-2022_web-accessible.pdf"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8.bin"/><Relationship Id="rId1" Type="http://schemas.openxmlformats.org/officeDocument/2006/relationships/hyperlink" Target="https://assets.publishing.service.gov.uk/government/uploads/system/uploads/attachment_data/file/1135637/dhsc-annual-report-and-accounts-2021-2022_web-accessible.pdf" TargetMode="External"/></Relationships>
</file>

<file path=xl/worksheets/_rels/sheet53.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assets.publishing.service.gov.uk/government/uploads/system/uploads/attachment_data/file/1052421/dhsc-annual-report-and-accounts-2020-2021-web-accessible..pdf" TargetMode="External"/></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8.xml"/><Relationship Id="rId1" Type="http://schemas.openxmlformats.org/officeDocument/2006/relationships/printerSettings" Target="../printerSettings/printerSettings30.bin"/><Relationship Id="rId4" Type="http://schemas.openxmlformats.org/officeDocument/2006/relationships/comments" Target="../comments19.xml"/></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england.nhs.uk/long-read/2023-24-pay-award-revenue-finance-and-contracting-guidance-updated-version/" TargetMode="External"/><Relationship Id="rId1" Type="http://schemas.openxmlformats.org/officeDocument/2006/relationships/hyperlink" Target="https://www.england.nhs.uk/publication/national-tariff-payment-system-documents-annexes-and-supporting-documents/" TargetMode="External"/><Relationship Id="rId4" Type="http://schemas.openxmlformats.org/officeDocument/2006/relationships/drawing" Target="../drawings/drawing9.xm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66.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hyperlink" Target="https://digital.nhs.uk/data-and-information/publications/statistical/estates-returns-information-collection/england-2019-2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https://www.england.nhs.uk/wp-content/uploads/2019/09/Consolidated_NHS_Provider_Accounts_Web_Accessibl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2D343-0D15-45B5-97C0-7383F9986B5B}">
  <sheetPr>
    <tabColor rgb="FF000000"/>
  </sheetPr>
  <dimension ref="B2:G14"/>
  <sheetViews>
    <sheetView showGridLines="0" zoomScaleNormal="100" workbookViewId="0">
      <selection activeCell="E19" sqref="E19"/>
    </sheetView>
  </sheetViews>
  <sheetFormatPr defaultRowHeight="14.5"/>
  <cols>
    <col min="1" max="1" width="4.453125" customWidth="1"/>
    <col min="2" max="2" width="34.54296875" customWidth="1"/>
    <col min="3" max="3" width="38.54296875" customWidth="1"/>
    <col min="4" max="4" width="9.54296875" bestFit="1" customWidth="1"/>
    <col min="5" max="5" width="61.1796875" bestFit="1" customWidth="1"/>
    <col min="6" max="6" width="89" customWidth="1"/>
  </cols>
  <sheetData>
    <row r="2" spans="2:7">
      <c r="B2" t="s">
        <v>0</v>
      </c>
    </row>
    <row r="3" spans="2:7">
      <c r="B3" t="s">
        <v>1</v>
      </c>
    </row>
    <row r="4" spans="2:7">
      <c r="B4" t="s">
        <v>2</v>
      </c>
    </row>
    <row r="6" spans="2:7">
      <c r="B6" s="66" t="s">
        <v>3</v>
      </c>
      <c r="C6" s="66"/>
      <c r="D6" s="66"/>
      <c r="E6" s="66"/>
    </row>
    <row r="8" spans="2:7">
      <c r="B8" t="s">
        <v>4</v>
      </c>
    </row>
    <row r="9" spans="2:7">
      <c r="B9" t="s">
        <v>5</v>
      </c>
    </row>
    <row r="10" spans="2:7">
      <c r="F10" s="39"/>
      <c r="G10" s="39"/>
    </row>
    <row r="11" spans="2:7">
      <c r="B11" s="37" t="s">
        <v>6</v>
      </c>
      <c r="C11" s="37"/>
      <c r="D11" s="37"/>
      <c r="F11" s="39"/>
      <c r="G11" s="39"/>
    </row>
    <row r="12" spans="2:7">
      <c r="B12" s="38" t="s">
        <v>7</v>
      </c>
      <c r="C12" s="38"/>
      <c r="D12" s="38"/>
      <c r="F12" s="39"/>
      <c r="G12" s="39"/>
    </row>
    <row r="13" spans="2:7">
      <c r="B13" s="44" t="s">
        <v>8</v>
      </c>
      <c r="C13" s="44"/>
      <c r="D13" s="44"/>
      <c r="F13" s="39"/>
      <c r="G13" s="39"/>
    </row>
    <row r="14" spans="2:7">
      <c r="B14" s="43" t="s">
        <v>9</v>
      </c>
      <c r="C14" s="43"/>
      <c r="D14" s="4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BE918-C9B6-4D3E-9314-BAC1F5BE0BF4}">
  <sheetPr>
    <tabColor rgb="FF000000"/>
  </sheetPr>
  <dimension ref="B1:I26"/>
  <sheetViews>
    <sheetView showGridLines="0" workbookViewId="0">
      <selection activeCell="B10" sqref="B10"/>
    </sheetView>
  </sheetViews>
  <sheetFormatPr defaultColWidth="8.54296875" defaultRowHeight="14.5"/>
  <cols>
    <col min="1" max="1" width="3.54296875" style="64" customWidth="1"/>
    <col min="2" max="2" width="13" style="64" customWidth="1"/>
    <col min="3" max="3" width="26.1796875" style="64" customWidth="1"/>
    <col min="4" max="4" width="33.54296875" style="64" customWidth="1"/>
    <col min="5" max="5" width="13.81640625" style="64" customWidth="1"/>
    <col min="6" max="6" width="25.453125" style="64" customWidth="1"/>
    <col min="7" max="7" width="21.54296875" style="64" customWidth="1"/>
    <col min="8" max="8" width="13.54296875" style="64" customWidth="1"/>
    <col min="9" max="9" width="16.54296875" style="64" customWidth="1"/>
    <col min="10" max="16384" width="8.54296875" style="64"/>
  </cols>
  <sheetData>
    <row r="1" spans="2:9">
      <c r="B1" s="59" t="s">
        <v>10</v>
      </c>
      <c r="C1" s="59"/>
      <c r="D1" s="59"/>
      <c r="E1" s="59"/>
      <c r="F1" s="59"/>
      <c r="G1" s="59"/>
      <c r="H1" s="59"/>
      <c r="I1" s="59"/>
    </row>
    <row r="3" spans="2:9">
      <c r="B3" s="65"/>
      <c r="C3" s="65"/>
      <c r="D3" s="1751" t="s">
        <v>11</v>
      </c>
      <c r="E3" s="1751"/>
      <c r="F3" s="1751"/>
      <c r="G3" s="1751"/>
      <c r="H3" s="65"/>
      <c r="I3" s="65"/>
    </row>
    <row r="4" spans="2:9">
      <c r="B4" s="128" t="s">
        <v>12</v>
      </c>
      <c r="C4" s="65" t="s">
        <v>13</v>
      </c>
      <c r="D4" s="65" t="s">
        <v>14</v>
      </c>
      <c r="E4" s="65" t="s">
        <v>12</v>
      </c>
      <c r="F4" s="65" t="s">
        <v>15</v>
      </c>
      <c r="G4" s="65" t="s">
        <v>16</v>
      </c>
      <c r="H4" s="65" t="s">
        <v>17</v>
      </c>
      <c r="I4" s="65" t="s">
        <v>18</v>
      </c>
    </row>
    <row r="5" spans="2:9" ht="58">
      <c r="B5" s="63">
        <v>44167</v>
      </c>
      <c r="C5" s="62" t="s">
        <v>19</v>
      </c>
      <c r="D5" s="62" t="s">
        <v>20</v>
      </c>
      <c r="E5" s="62" t="s">
        <v>21</v>
      </c>
      <c r="F5" s="62" t="s">
        <v>21</v>
      </c>
      <c r="G5" s="62" t="s">
        <v>22</v>
      </c>
      <c r="H5" s="62" t="s">
        <v>21</v>
      </c>
      <c r="I5" s="61" t="s">
        <v>23</v>
      </c>
    </row>
    <row r="6" spans="2:9" ht="58">
      <c r="B6" s="63">
        <v>44187</v>
      </c>
      <c r="C6" s="62" t="s">
        <v>24</v>
      </c>
      <c r="D6" s="62" t="s">
        <v>25</v>
      </c>
      <c r="E6" s="63">
        <v>44187</v>
      </c>
      <c r="F6" s="62" t="s">
        <v>26</v>
      </c>
      <c r="G6" s="62"/>
      <c r="H6" s="62" t="s">
        <v>27</v>
      </c>
      <c r="I6" s="60" t="s">
        <v>28</v>
      </c>
    </row>
    <row r="7" spans="2:9" ht="29">
      <c r="B7" s="63">
        <v>44258</v>
      </c>
      <c r="C7" s="62" t="s">
        <v>29</v>
      </c>
      <c r="D7" s="62" t="s">
        <v>30</v>
      </c>
      <c r="E7" s="63">
        <v>44187</v>
      </c>
      <c r="F7" s="62" t="s">
        <v>31</v>
      </c>
      <c r="G7" s="62"/>
      <c r="H7" s="62" t="s">
        <v>27</v>
      </c>
      <c r="I7" s="60" t="s">
        <v>28</v>
      </c>
    </row>
    <row r="8" spans="2:9" ht="29">
      <c r="B8" s="161">
        <v>44601</v>
      </c>
      <c r="C8" s="62" t="s">
        <v>32</v>
      </c>
      <c r="D8" s="62" t="s">
        <v>33</v>
      </c>
      <c r="E8" s="63">
        <v>44601</v>
      </c>
      <c r="F8" s="62" t="s">
        <v>31</v>
      </c>
      <c r="G8" s="62"/>
      <c r="H8" s="62" t="s">
        <v>27</v>
      </c>
      <c r="I8" s="60"/>
    </row>
    <row r="9" spans="2:9" ht="29">
      <c r="B9" s="63">
        <v>44936</v>
      </c>
      <c r="C9" s="62" t="s">
        <v>34</v>
      </c>
      <c r="D9" s="62" t="s">
        <v>35</v>
      </c>
      <c r="E9" s="63">
        <v>44936</v>
      </c>
      <c r="F9" s="62" t="s">
        <v>26</v>
      </c>
      <c r="G9" s="62"/>
      <c r="H9" s="62" t="s">
        <v>27</v>
      </c>
      <c r="I9" s="60"/>
    </row>
    <row r="10" spans="2:9">
      <c r="B10" s="62"/>
      <c r="C10" s="62"/>
      <c r="D10" s="62"/>
      <c r="E10" s="62"/>
      <c r="F10" s="62"/>
      <c r="G10" s="62"/>
      <c r="H10" s="62"/>
      <c r="I10" s="60"/>
    </row>
    <row r="11" spans="2:9">
      <c r="B11" s="62"/>
      <c r="C11" s="62"/>
      <c r="D11" s="62"/>
      <c r="E11" s="62"/>
      <c r="F11" s="62"/>
      <c r="G11" s="62"/>
      <c r="H11" s="62"/>
      <c r="I11" s="60"/>
    </row>
    <row r="12" spans="2:9">
      <c r="B12" s="62"/>
      <c r="C12" s="62"/>
      <c r="D12" s="62"/>
      <c r="E12" s="62"/>
      <c r="F12" s="62"/>
      <c r="G12" s="62"/>
      <c r="H12" s="62"/>
      <c r="I12" s="60"/>
    </row>
    <row r="13" spans="2:9">
      <c r="B13" s="62"/>
      <c r="C13" s="62"/>
      <c r="D13" s="62"/>
      <c r="E13" s="62"/>
      <c r="F13" s="62"/>
      <c r="G13" s="62"/>
      <c r="H13" s="62"/>
      <c r="I13" s="60"/>
    </row>
    <row r="14" spans="2:9">
      <c r="B14" s="62"/>
      <c r="C14" s="62"/>
      <c r="D14" s="62"/>
      <c r="E14" s="62"/>
      <c r="F14" s="62"/>
      <c r="G14" s="62"/>
      <c r="H14" s="62"/>
      <c r="I14" s="60"/>
    </row>
    <row r="15" spans="2:9">
      <c r="B15" s="62"/>
      <c r="C15" s="62"/>
      <c r="D15" s="62"/>
      <c r="E15" s="62"/>
      <c r="F15" s="62"/>
      <c r="G15" s="62"/>
      <c r="H15" s="62"/>
      <c r="I15" s="60"/>
    </row>
    <row r="16" spans="2:9">
      <c r="B16" s="62"/>
      <c r="C16" s="62"/>
      <c r="D16" s="62"/>
      <c r="E16" s="62"/>
      <c r="F16" s="62"/>
      <c r="G16" s="62"/>
      <c r="H16" s="62"/>
      <c r="I16" s="60"/>
    </row>
    <row r="17" spans="2:9">
      <c r="B17" s="62"/>
      <c r="C17" s="62"/>
      <c r="D17" s="62"/>
      <c r="E17" s="62"/>
      <c r="F17" s="62"/>
      <c r="G17" s="62"/>
      <c r="H17" s="62"/>
      <c r="I17" s="60"/>
    </row>
    <row r="18" spans="2:9">
      <c r="B18" s="62"/>
      <c r="C18" s="62"/>
      <c r="D18" s="62"/>
      <c r="E18" s="62"/>
      <c r="F18" s="62"/>
      <c r="G18" s="62"/>
      <c r="H18" s="62"/>
      <c r="I18" s="60"/>
    </row>
    <row r="19" spans="2:9">
      <c r="B19" s="62"/>
      <c r="C19" s="62"/>
      <c r="D19" s="62"/>
      <c r="E19" s="62"/>
      <c r="F19" s="62"/>
      <c r="G19" s="62"/>
      <c r="H19" s="62"/>
      <c r="I19" s="60"/>
    </row>
    <row r="20" spans="2:9">
      <c r="B20" s="62"/>
      <c r="C20" s="62"/>
      <c r="D20" s="62"/>
      <c r="E20" s="62"/>
      <c r="F20" s="62"/>
      <c r="G20" s="62"/>
      <c r="H20" s="62"/>
      <c r="I20" s="60"/>
    </row>
    <row r="21" spans="2:9">
      <c r="B21" s="62"/>
      <c r="C21" s="62"/>
      <c r="D21" s="62"/>
      <c r="E21" s="62"/>
      <c r="F21" s="62"/>
      <c r="G21" s="62"/>
      <c r="H21" s="62"/>
      <c r="I21" s="60"/>
    </row>
    <row r="22" spans="2:9">
      <c r="B22" s="62"/>
      <c r="C22" s="62"/>
      <c r="D22" s="62"/>
      <c r="E22" s="62"/>
      <c r="F22" s="62"/>
      <c r="G22" s="62"/>
      <c r="H22" s="62"/>
      <c r="I22" s="60"/>
    </row>
    <row r="23" spans="2:9">
      <c r="B23" s="62"/>
      <c r="C23" s="62"/>
      <c r="D23" s="62"/>
      <c r="E23" s="62"/>
      <c r="F23" s="62"/>
      <c r="G23" s="62"/>
      <c r="H23" s="62"/>
      <c r="I23" s="60"/>
    </row>
    <row r="24" spans="2:9">
      <c r="B24" s="62"/>
      <c r="C24" s="62"/>
      <c r="D24" s="62"/>
      <c r="E24" s="62"/>
      <c r="F24" s="62"/>
      <c r="G24" s="62"/>
      <c r="H24" s="62"/>
      <c r="I24" s="60"/>
    </row>
    <row r="25" spans="2:9">
      <c r="B25" s="62"/>
      <c r="C25" s="62"/>
      <c r="D25" s="62"/>
      <c r="E25" s="62"/>
      <c r="F25" s="62"/>
      <c r="G25" s="62"/>
      <c r="H25" s="62"/>
      <c r="I25" s="60"/>
    </row>
    <row r="26" spans="2:9">
      <c r="B26" s="62"/>
      <c r="C26" s="62"/>
      <c r="D26" s="62"/>
      <c r="E26" s="62"/>
      <c r="F26" s="62"/>
      <c r="G26" s="62"/>
      <c r="H26" s="62"/>
      <c r="I26" s="60"/>
    </row>
  </sheetData>
  <mergeCells count="1">
    <mergeCell ref="D3:G3"/>
  </mergeCells>
  <hyperlinks>
    <hyperlink ref="I5" r:id="rId1" xr:uid="{BE9FBB76-7F25-43C2-B60A-95FFEDB46FE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5A53-E698-4D7E-9244-147C4D8BAFBE}">
  <dimension ref="B2:U113"/>
  <sheetViews>
    <sheetView zoomScale="115" zoomScaleNormal="115" workbookViewId="0">
      <selection activeCell="B10" sqref="B10"/>
    </sheetView>
  </sheetViews>
  <sheetFormatPr defaultColWidth="9.453125" defaultRowHeight="14.5"/>
  <cols>
    <col min="1" max="16" width="9.453125" style="39"/>
    <col min="17" max="17" width="19.453125" style="39" bestFit="1" customWidth="1"/>
    <col min="18" max="18" width="33.54296875" style="39" customWidth="1"/>
    <col min="19" max="19" width="17" style="39" bestFit="1" customWidth="1"/>
    <col min="20" max="20" width="12.54296875" style="39" bestFit="1" customWidth="1"/>
    <col min="21" max="16384" width="9.453125" style="39"/>
  </cols>
  <sheetData>
    <row r="2" spans="2:2">
      <c r="B2" s="1204" t="s">
        <v>36</v>
      </c>
    </row>
    <row r="4" spans="2:2">
      <c r="B4" s="39" t="s">
        <v>37</v>
      </c>
    </row>
    <row r="5" spans="2:2">
      <c r="B5" s="1115" t="s">
        <v>38</v>
      </c>
    </row>
    <row r="7" spans="2:2">
      <c r="B7" s="39" t="s">
        <v>39</v>
      </c>
    </row>
    <row r="8" spans="2:2">
      <c r="B8" s="39" t="s">
        <v>40</v>
      </c>
    </row>
    <row r="10" spans="2:2">
      <c r="B10" s="1204" t="s">
        <v>41</v>
      </c>
    </row>
    <row r="12" spans="2:2">
      <c r="B12" s="1206" t="s">
        <v>42</v>
      </c>
    </row>
    <row r="13" spans="2:2">
      <c r="B13" s="39" t="s">
        <v>43</v>
      </c>
    </row>
    <row r="14" spans="2:2">
      <c r="B14" s="39" t="s">
        <v>44</v>
      </c>
    </row>
    <row r="15" spans="2:2">
      <c r="B15" s="1206"/>
    </row>
    <row r="16" spans="2:2">
      <c r="B16" s="1115" t="s">
        <v>45</v>
      </c>
    </row>
    <row r="17" spans="2:3">
      <c r="B17" s="1115"/>
    </row>
    <row r="18" spans="2:3">
      <c r="B18" s="1342" t="s">
        <v>46</v>
      </c>
    </row>
    <row r="19" spans="2:3">
      <c r="B19" s="1342"/>
    </row>
    <row r="20" spans="2:3">
      <c r="B20" s="1203" t="s">
        <v>47</v>
      </c>
    </row>
    <row r="21" spans="2:3">
      <c r="B21" s="1203" t="s">
        <v>48</v>
      </c>
    </row>
    <row r="23" spans="2:3">
      <c r="C23" s="1204" t="s">
        <v>49</v>
      </c>
    </row>
    <row r="25" spans="2:3">
      <c r="C25" s="39" t="s">
        <v>50</v>
      </c>
    </row>
    <row r="27" spans="2:3">
      <c r="B27" s="39" t="s">
        <v>51</v>
      </c>
      <c r="C27" s="39" t="s">
        <v>52</v>
      </c>
    </row>
    <row r="28" spans="2:3">
      <c r="B28" s="39" t="s">
        <v>51</v>
      </c>
      <c r="C28" s="39" t="s">
        <v>53</v>
      </c>
    </row>
    <row r="29" spans="2:3">
      <c r="B29" s="39" t="s">
        <v>51</v>
      </c>
      <c r="C29" s="39" t="s">
        <v>54</v>
      </c>
    </row>
    <row r="30" spans="2:3">
      <c r="B30" s="39" t="s">
        <v>51</v>
      </c>
      <c r="C30" s="39" t="s">
        <v>55</v>
      </c>
    </row>
    <row r="31" spans="2:3">
      <c r="C31" s="39" t="s">
        <v>56</v>
      </c>
    </row>
    <row r="32" spans="2:3">
      <c r="C32" s="1208" t="s">
        <v>57</v>
      </c>
    </row>
    <row r="33" spans="2:3" s="1469" customFormat="1">
      <c r="C33" s="1469" t="s">
        <v>58</v>
      </c>
    </row>
    <row r="34" spans="2:3" s="1469" customFormat="1">
      <c r="C34" s="1469" t="s">
        <v>59</v>
      </c>
    </row>
    <row r="35" spans="2:3">
      <c r="B35" s="39" t="s">
        <v>51</v>
      </c>
      <c r="C35" s="39" t="s">
        <v>60</v>
      </c>
    </row>
    <row r="36" spans="2:3">
      <c r="C36" s="1208" t="s">
        <v>61</v>
      </c>
    </row>
    <row r="37" spans="2:3">
      <c r="C37" s="1208" t="s">
        <v>62</v>
      </c>
    </row>
    <row r="38" spans="2:3">
      <c r="C38" s="39" t="s">
        <v>63</v>
      </c>
    </row>
    <row r="39" spans="2:3">
      <c r="C39" s="1208" t="s">
        <v>64</v>
      </c>
    </row>
    <row r="40" spans="2:3">
      <c r="C40" s="39" t="s">
        <v>65</v>
      </c>
    </row>
    <row r="41" spans="2:3">
      <c r="C41" s="1208" t="s">
        <v>66</v>
      </c>
    </row>
    <row r="43" spans="2:3">
      <c r="C43" s="39" t="s">
        <v>67</v>
      </c>
    </row>
    <row r="44" spans="2:3">
      <c r="C44" s="39" t="s">
        <v>68</v>
      </c>
    </row>
    <row r="45" spans="2:3">
      <c r="C45" s="1208" t="s">
        <v>69</v>
      </c>
    </row>
    <row r="47" spans="2:3">
      <c r="C47" s="1204" t="s">
        <v>70</v>
      </c>
    </row>
    <row r="49" spans="3:21">
      <c r="C49" s="39" t="s">
        <v>71</v>
      </c>
    </row>
    <row r="50" spans="3:21">
      <c r="C50" s="39" t="s">
        <v>72</v>
      </c>
    </row>
    <row r="51" spans="3:21">
      <c r="C51" s="39" t="s">
        <v>73</v>
      </c>
    </row>
    <row r="52" spans="3:21">
      <c r="C52" s="39" t="s">
        <v>74</v>
      </c>
    </row>
    <row r="53" spans="3:21">
      <c r="C53" s="39" t="s">
        <v>75</v>
      </c>
    </row>
    <row r="54" spans="3:21">
      <c r="C54" s="39" t="s">
        <v>76</v>
      </c>
    </row>
    <row r="56" spans="3:21">
      <c r="C56" s="1216" t="s">
        <v>77</v>
      </c>
      <c r="D56" s="43"/>
      <c r="E56" s="43"/>
      <c r="F56" s="43"/>
      <c r="G56" s="43"/>
      <c r="H56" s="43"/>
      <c r="I56" s="43"/>
      <c r="J56" s="43"/>
      <c r="K56" s="43"/>
      <c r="L56" s="43"/>
      <c r="M56" s="43"/>
      <c r="N56" s="43"/>
      <c r="O56" s="43"/>
      <c r="P56" s="43"/>
      <c r="Q56" s="43"/>
      <c r="R56" s="43" t="s">
        <v>78</v>
      </c>
      <c r="S56" s="1694" t="s">
        <v>79</v>
      </c>
      <c r="T56" s="1694" t="s">
        <v>80</v>
      </c>
      <c r="U56" s="43"/>
    </row>
    <row r="57" spans="3:21">
      <c r="C57" s="43"/>
      <c r="D57" s="43"/>
      <c r="E57" s="43"/>
      <c r="F57" s="43"/>
      <c r="G57" s="43"/>
      <c r="H57" s="43"/>
      <c r="I57" s="43"/>
      <c r="J57" s="43"/>
      <c r="K57" s="43"/>
      <c r="L57" s="43"/>
      <c r="M57" s="43"/>
      <c r="N57" s="43"/>
      <c r="O57" s="43"/>
      <c r="P57" s="43"/>
      <c r="Q57" s="43"/>
      <c r="R57" s="43"/>
      <c r="S57" s="1695"/>
      <c r="T57" s="1695"/>
      <c r="U57" s="43"/>
    </row>
    <row r="58" spans="3:21">
      <c r="C58" s="43" t="s">
        <v>81</v>
      </c>
      <c r="D58" s="43"/>
      <c r="E58" s="43"/>
      <c r="F58" s="43"/>
      <c r="G58" s="43"/>
      <c r="H58" s="43"/>
      <c r="I58" s="43"/>
      <c r="J58" s="43"/>
      <c r="K58" s="43"/>
      <c r="L58" s="43"/>
      <c r="M58" s="43"/>
      <c r="N58" s="43"/>
      <c r="O58" s="43"/>
      <c r="P58" s="43"/>
      <c r="Q58" s="43"/>
      <c r="R58" s="43"/>
      <c r="S58" s="1695"/>
      <c r="T58" s="1695" t="s">
        <v>82</v>
      </c>
      <c r="U58" s="43"/>
    </row>
    <row r="59" spans="3:21" ht="47.25" customHeight="1">
      <c r="C59" s="1752" t="s">
        <v>83</v>
      </c>
      <c r="D59" s="1753"/>
      <c r="E59" s="1753"/>
      <c r="F59" s="1753"/>
      <c r="G59" s="1753"/>
      <c r="H59" s="1753"/>
      <c r="I59" s="1753"/>
      <c r="J59" s="1753"/>
      <c r="K59" s="1753"/>
      <c r="L59" s="1753"/>
      <c r="M59" s="1753"/>
      <c r="N59" s="1753"/>
      <c r="O59" s="1753"/>
      <c r="P59" s="1753"/>
      <c r="Q59" s="1753"/>
      <c r="R59" s="43"/>
      <c r="S59" s="1695"/>
      <c r="T59" s="1695" t="s">
        <v>82</v>
      </c>
      <c r="U59" s="43"/>
    </row>
    <row r="60" spans="3:21">
      <c r="C60" s="43" t="s">
        <v>84</v>
      </c>
      <c r="D60" s="43"/>
      <c r="E60" s="43"/>
      <c r="F60" s="43"/>
      <c r="G60" s="43"/>
      <c r="H60" s="43"/>
      <c r="I60" s="43"/>
      <c r="J60" s="43"/>
      <c r="K60" s="43"/>
      <c r="L60" s="43"/>
      <c r="M60" s="43"/>
      <c r="N60" s="43"/>
      <c r="O60" s="43"/>
      <c r="P60" s="43"/>
      <c r="Q60" s="43"/>
      <c r="R60" s="43"/>
      <c r="S60" s="1695"/>
      <c r="T60" s="1695" t="s">
        <v>82</v>
      </c>
      <c r="U60" s="43"/>
    </row>
    <row r="61" spans="3:21">
      <c r="C61" s="43" t="s">
        <v>85</v>
      </c>
      <c r="D61" s="43"/>
      <c r="E61" s="43"/>
      <c r="F61" s="43"/>
      <c r="G61" s="43"/>
      <c r="H61" s="43"/>
      <c r="I61" s="43"/>
      <c r="J61" s="43"/>
      <c r="K61" s="43"/>
      <c r="L61" s="43"/>
      <c r="M61" s="43"/>
      <c r="N61" s="43"/>
      <c r="O61" s="43"/>
      <c r="P61" s="43"/>
      <c r="Q61" s="43"/>
      <c r="R61" s="43"/>
      <c r="S61" s="1695"/>
      <c r="T61" s="1695" t="s">
        <v>82</v>
      </c>
      <c r="U61" s="43"/>
    </row>
    <row r="62" spans="3:21">
      <c r="C62" s="43" t="s">
        <v>86</v>
      </c>
      <c r="D62" s="43"/>
      <c r="E62" s="43"/>
      <c r="F62" s="43"/>
      <c r="G62" s="43"/>
      <c r="H62" s="43"/>
      <c r="I62" s="43"/>
      <c r="J62" s="43"/>
      <c r="K62" s="43"/>
      <c r="L62" s="43"/>
      <c r="M62" s="43"/>
      <c r="N62" s="43"/>
      <c r="O62" s="43"/>
      <c r="P62" s="43"/>
      <c r="Q62" s="43"/>
      <c r="R62" s="43"/>
      <c r="S62" s="1695"/>
      <c r="T62" s="1695" t="s">
        <v>82</v>
      </c>
      <c r="U62" s="43"/>
    </row>
    <row r="63" spans="3:21">
      <c r="C63" s="43" t="s">
        <v>87</v>
      </c>
      <c r="D63" s="43"/>
      <c r="E63" s="43"/>
      <c r="F63" s="43"/>
      <c r="G63" s="43"/>
      <c r="H63" s="43"/>
      <c r="I63" s="43"/>
      <c r="J63" s="43"/>
      <c r="K63" s="43"/>
      <c r="L63" s="43"/>
      <c r="M63" s="43"/>
      <c r="N63" s="43"/>
      <c r="O63" s="43"/>
      <c r="P63" s="43"/>
      <c r="Q63" s="43"/>
      <c r="R63" s="43"/>
      <c r="S63" s="1695"/>
      <c r="T63" s="1695" t="s">
        <v>82</v>
      </c>
      <c r="U63" s="43"/>
    </row>
    <row r="64" spans="3:21">
      <c r="C64" s="43" t="s">
        <v>88</v>
      </c>
      <c r="D64" s="43"/>
      <c r="E64" s="43"/>
      <c r="F64" s="43"/>
      <c r="G64" s="43"/>
      <c r="H64" s="43"/>
      <c r="I64" s="43"/>
      <c r="J64" s="43"/>
      <c r="K64" s="43"/>
      <c r="L64" s="43"/>
      <c r="M64" s="43"/>
      <c r="N64" s="43"/>
      <c r="O64" s="43"/>
      <c r="P64" s="43"/>
      <c r="Q64" s="43"/>
      <c r="R64" s="43"/>
      <c r="S64" s="1695"/>
      <c r="T64" s="1695" t="s">
        <v>82</v>
      </c>
      <c r="U64" s="43"/>
    </row>
    <row r="65" spans="3:21">
      <c r="C65" s="43" t="s">
        <v>89</v>
      </c>
      <c r="D65" s="43"/>
      <c r="E65" s="43"/>
      <c r="F65" s="43"/>
      <c r="G65" s="43"/>
      <c r="H65" s="43"/>
      <c r="I65" s="43"/>
      <c r="J65" s="43"/>
      <c r="K65" s="43"/>
      <c r="L65" s="43"/>
      <c r="M65" s="43"/>
      <c r="N65" s="43"/>
      <c r="O65" s="43"/>
      <c r="P65" s="43"/>
      <c r="Q65" s="43"/>
      <c r="R65" s="43"/>
      <c r="S65" s="1695"/>
      <c r="T65" s="1695" t="s">
        <v>82</v>
      </c>
      <c r="U65" s="43"/>
    </row>
    <row r="66" spans="3:21">
      <c r="C66" s="43"/>
      <c r="D66" s="43"/>
      <c r="E66" s="43"/>
      <c r="F66" s="43"/>
      <c r="G66" s="43"/>
      <c r="H66" s="43"/>
      <c r="I66" s="43"/>
      <c r="J66" s="43"/>
      <c r="K66" s="43"/>
      <c r="L66" s="43"/>
      <c r="M66" s="43"/>
      <c r="N66" s="43"/>
      <c r="O66" s="43"/>
      <c r="P66" s="43"/>
      <c r="Q66" s="43"/>
      <c r="R66" s="43"/>
      <c r="S66" s="43"/>
      <c r="T66" s="43"/>
      <c r="U66" s="43"/>
    </row>
    <row r="67" spans="3:21">
      <c r="C67" s="1216" t="s">
        <v>90</v>
      </c>
      <c r="D67" s="43"/>
      <c r="E67" s="43"/>
      <c r="F67" s="43"/>
      <c r="G67" s="43"/>
      <c r="H67" s="43"/>
      <c r="I67" s="43"/>
      <c r="J67" s="43"/>
      <c r="K67" s="43"/>
      <c r="L67" s="43"/>
      <c r="M67" s="43"/>
      <c r="N67" s="43"/>
      <c r="O67" s="43"/>
      <c r="P67" s="43"/>
      <c r="Q67" s="43"/>
      <c r="R67" s="43"/>
      <c r="S67" s="43"/>
      <c r="T67" s="43"/>
      <c r="U67" s="43"/>
    </row>
    <row r="68" spans="3:21">
      <c r="C68" s="43" t="s">
        <v>91</v>
      </c>
      <c r="D68" s="43"/>
      <c r="E68" s="43"/>
      <c r="F68" s="43"/>
      <c r="G68" s="43"/>
      <c r="H68" s="43"/>
      <c r="I68" s="43"/>
      <c r="J68" s="43"/>
      <c r="K68" s="43"/>
      <c r="L68" s="43"/>
      <c r="M68" s="43"/>
      <c r="N68" s="43"/>
      <c r="O68" s="43"/>
      <c r="P68" s="43"/>
      <c r="Q68" s="43"/>
      <c r="R68" s="43"/>
      <c r="S68" s="1695"/>
      <c r="T68" s="1695"/>
      <c r="U68" s="43"/>
    </row>
    <row r="69" spans="3:21">
      <c r="C69" s="43" t="s">
        <v>92</v>
      </c>
      <c r="D69" s="43"/>
      <c r="E69" s="43"/>
      <c r="F69" s="43"/>
      <c r="G69" s="43"/>
      <c r="H69" s="43"/>
      <c r="I69" s="43"/>
      <c r="J69" s="43"/>
      <c r="K69" s="43"/>
      <c r="L69" s="43"/>
      <c r="M69" s="43"/>
      <c r="N69" s="43"/>
      <c r="O69" s="43"/>
      <c r="P69" s="43"/>
      <c r="Q69" s="43"/>
      <c r="R69" s="43"/>
      <c r="S69" s="1695"/>
      <c r="T69" s="1695"/>
      <c r="U69" s="43"/>
    </row>
    <row r="70" spans="3:21">
      <c r="C70" s="43"/>
      <c r="D70" s="43"/>
      <c r="E70" s="43"/>
      <c r="F70" s="43"/>
      <c r="G70" s="43"/>
      <c r="H70" s="43"/>
      <c r="I70" s="43"/>
      <c r="J70" s="43"/>
      <c r="K70" s="43"/>
      <c r="L70" s="43"/>
      <c r="M70" s="43"/>
      <c r="N70" s="43"/>
      <c r="O70" s="43"/>
      <c r="P70" s="43"/>
      <c r="Q70" s="43"/>
      <c r="R70" s="43"/>
      <c r="S70" s="43"/>
      <c r="T70" s="43"/>
      <c r="U70" s="43"/>
    </row>
    <row r="71" spans="3:21">
      <c r="C71" s="1216" t="s">
        <v>93</v>
      </c>
      <c r="D71" s="43"/>
      <c r="E71" s="43"/>
      <c r="F71" s="43"/>
      <c r="G71" s="43"/>
      <c r="H71" s="43"/>
      <c r="I71" s="43"/>
      <c r="J71" s="43"/>
      <c r="K71" s="43"/>
      <c r="L71" s="43"/>
      <c r="M71" s="43"/>
      <c r="N71" s="43"/>
      <c r="O71" s="43"/>
      <c r="P71" s="43"/>
      <c r="Q71" s="43"/>
      <c r="R71" s="43"/>
      <c r="S71" s="43"/>
      <c r="T71" s="43"/>
      <c r="U71" s="43"/>
    </row>
    <row r="72" spans="3:21">
      <c r="C72" s="43" t="s">
        <v>94</v>
      </c>
      <c r="D72" s="43"/>
      <c r="E72" s="43"/>
      <c r="F72" s="43"/>
      <c r="G72" s="43"/>
      <c r="H72" s="43"/>
      <c r="I72" s="43"/>
      <c r="J72" s="43"/>
      <c r="K72" s="43"/>
      <c r="L72" s="43"/>
      <c r="M72" s="43"/>
      <c r="N72" s="43"/>
      <c r="O72" s="43"/>
      <c r="P72" s="43"/>
      <c r="Q72" s="43"/>
      <c r="R72" s="43"/>
      <c r="S72" s="1695"/>
      <c r="T72" s="1695" t="s">
        <v>82</v>
      </c>
      <c r="U72" s="43"/>
    </row>
    <row r="73" spans="3:21">
      <c r="C73" s="43" t="s">
        <v>95</v>
      </c>
      <c r="D73" s="43"/>
      <c r="E73" s="43"/>
      <c r="F73" s="43"/>
      <c r="G73" s="43"/>
      <c r="H73" s="43"/>
      <c r="I73" s="43"/>
      <c r="J73" s="43"/>
      <c r="K73" s="43"/>
      <c r="L73" s="43"/>
      <c r="M73" s="43"/>
      <c r="N73" s="43"/>
      <c r="O73" s="43"/>
      <c r="P73" s="43"/>
      <c r="Q73" s="43"/>
      <c r="R73" s="43"/>
      <c r="S73" s="1695"/>
      <c r="T73" s="1695" t="s">
        <v>82</v>
      </c>
      <c r="U73" s="43"/>
    </row>
    <row r="74" spans="3:21">
      <c r="C74" s="43" t="s">
        <v>96</v>
      </c>
      <c r="D74" s="43"/>
      <c r="E74" s="43"/>
      <c r="F74" s="43"/>
      <c r="G74" s="43"/>
      <c r="H74" s="43"/>
      <c r="I74" s="43"/>
      <c r="J74" s="43"/>
      <c r="K74" s="43"/>
      <c r="L74" s="43"/>
      <c r="M74" s="43"/>
      <c r="N74" s="43"/>
      <c r="O74" s="43"/>
      <c r="P74" s="43"/>
      <c r="Q74" s="43"/>
      <c r="R74" s="43"/>
      <c r="S74" s="1695"/>
      <c r="T74" s="1695"/>
      <c r="U74" s="43"/>
    </row>
    <row r="75" spans="3:21">
      <c r="C75" s="43" t="s">
        <v>97</v>
      </c>
      <c r="D75" s="43"/>
      <c r="E75" s="43"/>
      <c r="F75" s="43"/>
      <c r="G75" s="43"/>
      <c r="H75" s="43"/>
      <c r="I75" s="43"/>
      <c r="J75" s="43"/>
      <c r="K75" s="43"/>
      <c r="L75" s="43"/>
      <c r="M75" s="43"/>
      <c r="N75" s="43"/>
      <c r="O75" s="43"/>
      <c r="P75" s="43"/>
      <c r="Q75" s="43"/>
      <c r="R75" s="43"/>
      <c r="S75" s="43"/>
      <c r="T75" s="43"/>
      <c r="U75" s="43"/>
    </row>
    <row r="76" spans="3:21">
      <c r="C76" s="43"/>
      <c r="D76" s="43"/>
      <c r="E76" s="43"/>
      <c r="F76" s="43"/>
      <c r="G76" s="43"/>
      <c r="H76" s="43"/>
      <c r="I76" s="43"/>
      <c r="J76" s="43"/>
      <c r="K76" s="43"/>
      <c r="L76" s="43"/>
      <c r="M76" s="43"/>
      <c r="N76" s="43"/>
      <c r="O76" s="43"/>
      <c r="P76" s="43"/>
      <c r="Q76" s="43"/>
      <c r="R76" s="43"/>
      <c r="S76" s="43"/>
      <c r="T76" s="43"/>
      <c r="U76" s="43"/>
    </row>
    <row r="78" spans="3:21">
      <c r="C78" s="1696" t="s">
        <v>98</v>
      </c>
      <c r="D78" s="1697"/>
      <c r="E78" s="1697"/>
      <c r="F78" s="1697"/>
      <c r="G78" s="1697"/>
      <c r="H78" s="1697"/>
      <c r="I78" s="1697"/>
      <c r="J78" s="1697"/>
      <c r="K78" s="1697"/>
      <c r="L78" s="1697"/>
      <c r="M78" s="1697"/>
      <c r="N78" s="1697"/>
      <c r="O78" s="1697"/>
      <c r="P78" s="1697"/>
      <c r="Q78" s="1697"/>
      <c r="R78" s="1698"/>
    </row>
    <row r="79" spans="3:21">
      <c r="C79" s="1348" t="s">
        <v>99</v>
      </c>
      <c r="R79" s="1349"/>
    </row>
    <row r="80" spans="3:21">
      <c r="C80" s="1348" t="s">
        <v>100</v>
      </c>
      <c r="R80" s="1349"/>
    </row>
    <row r="81" spans="3:18">
      <c r="C81" s="1350" t="s">
        <v>101</v>
      </c>
      <c r="R81" s="1349"/>
    </row>
    <row r="82" spans="3:18">
      <c r="C82" s="1348" t="s">
        <v>102</v>
      </c>
      <c r="R82" s="1349"/>
    </row>
    <row r="83" spans="3:18">
      <c r="C83" s="1351" t="s">
        <v>103</v>
      </c>
      <c r="D83" s="1352"/>
      <c r="E83" s="1352"/>
      <c r="F83" s="1352"/>
      <c r="G83" s="1352"/>
      <c r="H83" s="1352"/>
      <c r="I83" s="1352"/>
      <c r="J83" s="1352"/>
      <c r="K83" s="1352"/>
      <c r="L83" s="1352"/>
      <c r="M83" s="1352"/>
      <c r="N83" s="1352"/>
      <c r="O83" s="1352"/>
      <c r="P83" s="1352"/>
      <c r="Q83" s="1352"/>
      <c r="R83" s="1353"/>
    </row>
    <row r="108" spans="4:4">
      <c r="D108" s="1204"/>
    </row>
    <row r="109" spans="4:4">
      <c r="D109" s="1204"/>
    </row>
    <row r="110" spans="4:4">
      <c r="D110" s="1204"/>
    </row>
    <row r="111" spans="4:4">
      <c r="D111" s="1204"/>
    </row>
    <row r="112" spans="4:4">
      <c r="D112" s="1204"/>
    </row>
    <row r="113" spans="4:4">
      <c r="D113" s="1204"/>
    </row>
  </sheetData>
  <mergeCells count="1">
    <mergeCell ref="C59:Q59"/>
  </mergeCells>
  <hyperlinks>
    <hyperlink ref="B5" r:id="rId1" xr:uid="{1E783CB3-BCE6-4BAB-BCFC-B7343EE980F2}"/>
    <hyperlink ref="B16" r:id="rId2" xr:uid="{DAEECBE1-4AC2-4760-87A4-B87EF9577EA9}"/>
    <hyperlink ref="C81" r:id="rId3" xr:uid="{22F8FC59-A77A-4186-849E-3CB42BAEE696}"/>
  </hyperlinks>
  <pageMargins left="0.7" right="0.7" top="0.75" bottom="0.75" header="0.3" footer="0.3"/>
  <pageSetup paperSize="9" orientation="portrait" r:id="rId4"/>
  <legacy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C1237-1E1C-4FFA-A920-DC1734A63CD8}">
  <dimension ref="X2:X7"/>
  <sheetViews>
    <sheetView topLeftCell="W1" workbookViewId="0">
      <selection activeCell="B10" sqref="B10"/>
    </sheetView>
  </sheetViews>
  <sheetFormatPr defaultColWidth="9.1796875" defaultRowHeight="14.5"/>
  <cols>
    <col min="1" max="16384" width="9.1796875" style="39"/>
  </cols>
  <sheetData>
    <row r="2" spans="24:24">
      <c r="X2" s="1204" t="s">
        <v>104</v>
      </c>
    </row>
    <row r="3" spans="24:24">
      <c r="X3" s="1204" t="s">
        <v>105</v>
      </c>
    </row>
    <row r="4" spans="24:24">
      <c r="X4" s="1204" t="s">
        <v>106</v>
      </c>
    </row>
    <row r="5" spans="24:24">
      <c r="X5" s="1204" t="s">
        <v>107</v>
      </c>
    </row>
    <row r="6" spans="24:24">
      <c r="X6" s="1204" t="s">
        <v>108</v>
      </c>
    </row>
    <row r="7" spans="24:24">
      <c r="X7" s="1204" t="s">
        <v>109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29AE6-75F1-43F0-BEC5-C80E88125AA7}">
  <sheetPr>
    <tabColor theme="1"/>
  </sheetPr>
  <dimension ref="B2:B33"/>
  <sheetViews>
    <sheetView topLeftCell="A13" workbookViewId="0">
      <selection activeCell="B10" sqref="B10"/>
    </sheetView>
  </sheetViews>
  <sheetFormatPr defaultRowHeight="14.5"/>
  <sheetData>
    <row r="2" spans="2:2">
      <c r="B2" s="1205"/>
    </row>
    <row r="10" spans="2:2">
      <c r="B10" s="1205"/>
    </row>
    <row r="12" spans="2:2">
      <c r="B12" t="s">
        <v>43</v>
      </c>
    </row>
    <row r="15" spans="2:2">
      <c r="B15" s="677" t="s">
        <v>110</v>
      </c>
    </row>
    <row r="16" spans="2:2">
      <c r="B16" s="677" t="s">
        <v>111</v>
      </c>
    </row>
    <row r="17" spans="2:2">
      <c r="B17" s="677"/>
    </row>
    <row r="18" spans="2:2">
      <c r="B18" s="1207" t="s">
        <v>112</v>
      </c>
    </row>
    <row r="19" spans="2:2">
      <c r="B19" s="677"/>
    </row>
    <row r="20" spans="2:2">
      <c r="B20" s="677" t="s">
        <v>113</v>
      </c>
    </row>
    <row r="21" spans="2:2">
      <c r="B21" s="677" t="s">
        <v>114</v>
      </c>
    </row>
    <row r="23" spans="2:2">
      <c r="B23" t="s">
        <v>115</v>
      </c>
    </row>
    <row r="26" spans="2:2">
      <c r="B26" s="1209" t="s">
        <v>116</v>
      </c>
    </row>
    <row r="30" spans="2:2">
      <c r="B30" s="1209" t="s">
        <v>61</v>
      </c>
    </row>
    <row r="33" spans="2:2">
      <c r="B33" s="1209" t="s">
        <v>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351D7-2ED3-4288-988D-EB4D44CCA24B}">
  <sheetPr>
    <tabColor theme="5" tint="0.79998168889431442"/>
  </sheetPr>
  <dimension ref="B2:W67"/>
  <sheetViews>
    <sheetView zoomScale="85" zoomScaleNormal="85" workbookViewId="0">
      <selection activeCell="D35" sqref="D35"/>
    </sheetView>
  </sheetViews>
  <sheetFormatPr defaultRowHeight="14.5"/>
  <cols>
    <col min="2" max="2" width="34.453125" bestFit="1" customWidth="1"/>
    <col min="4" max="4" width="21.453125" bestFit="1" customWidth="1"/>
    <col min="5" max="5" width="21.81640625" customWidth="1"/>
    <col min="6" max="6" width="25.54296875" customWidth="1"/>
    <col min="7" max="7" width="22.453125" customWidth="1"/>
  </cols>
  <sheetData>
    <row r="2" spans="3:10">
      <c r="C2" t="s">
        <v>117</v>
      </c>
    </row>
    <row r="3" spans="3:10" ht="23">
      <c r="C3" s="1358" t="s">
        <v>118</v>
      </c>
    </row>
    <row r="4" spans="3:10">
      <c r="C4" s="1359" t="s">
        <v>119</v>
      </c>
    </row>
    <row r="5" spans="3:10">
      <c r="C5" s="1359"/>
      <c r="D5" s="1359" t="s">
        <v>120</v>
      </c>
      <c r="E5" s="1359" t="s">
        <v>121</v>
      </c>
      <c r="F5" s="1359" t="s">
        <v>122</v>
      </c>
      <c r="G5" s="1359" t="s">
        <v>123</v>
      </c>
      <c r="H5" s="1359" t="s">
        <v>124</v>
      </c>
      <c r="I5" s="1359" t="s">
        <v>125</v>
      </c>
    </row>
    <row r="6" spans="3:10">
      <c r="C6" s="1359"/>
      <c r="D6" t="s">
        <v>126</v>
      </c>
      <c r="E6" t="s">
        <v>126</v>
      </c>
      <c r="F6" t="s">
        <v>127</v>
      </c>
      <c r="G6" t="s">
        <v>126</v>
      </c>
      <c r="H6" t="s">
        <v>127</v>
      </c>
      <c r="I6" s="76" t="s">
        <v>127</v>
      </c>
    </row>
    <row r="7" spans="3:10">
      <c r="C7" s="1359"/>
      <c r="D7" t="s">
        <v>128</v>
      </c>
      <c r="E7">
        <v>176.7</v>
      </c>
      <c r="F7">
        <v>214.9</v>
      </c>
      <c r="G7" s="173">
        <v>0.04</v>
      </c>
      <c r="H7">
        <v>247</v>
      </c>
      <c r="I7" s="173">
        <v>2.8000000000000001E-2</v>
      </c>
      <c r="J7" s="1360">
        <v>3.4000000000000002E-2</v>
      </c>
    </row>
    <row r="8" spans="3:10">
      <c r="C8" s="1359"/>
      <c r="D8" t="s">
        <v>129</v>
      </c>
      <c r="E8" s="51">
        <v>162</v>
      </c>
      <c r="F8">
        <v>197.6</v>
      </c>
      <c r="G8" s="173">
        <v>0.04</v>
      </c>
      <c r="H8">
        <v>228.8</v>
      </c>
      <c r="I8" s="173">
        <v>0.03</v>
      </c>
      <c r="J8" s="1360">
        <v>3.5000000000000003E-2</v>
      </c>
    </row>
    <row r="9" spans="3:10">
      <c r="C9" s="1359"/>
      <c r="D9" t="s">
        <v>130</v>
      </c>
      <c r="E9">
        <v>12.6</v>
      </c>
      <c r="F9">
        <v>20.5</v>
      </c>
      <c r="G9" s="173">
        <v>0.10199999999999999</v>
      </c>
      <c r="H9">
        <v>26.7</v>
      </c>
      <c r="I9" s="173">
        <v>5.3999999999999999E-2</v>
      </c>
      <c r="J9" s="1360">
        <v>7.8E-2</v>
      </c>
    </row>
    <row r="10" spans="3:10">
      <c r="C10" s="1359"/>
      <c r="D10" s="1361" t="s">
        <v>131</v>
      </c>
      <c r="E10" s="1361">
        <v>189.3</v>
      </c>
      <c r="F10" s="1361">
        <v>235.4</v>
      </c>
      <c r="G10" s="1362">
        <v>4.4999999999999998E-2</v>
      </c>
      <c r="H10" s="1361">
        <v>273.7</v>
      </c>
      <c r="I10" s="1362">
        <v>3.1E-2</v>
      </c>
      <c r="J10" s="1362">
        <v>3.7999999999999999E-2</v>
      </c>
    </row>
    <row r="11" spans="3:10">
      <c r="D11" s="1361"/>
      <c r="E11" s="98">
        <f>E9/E10</f>
        <v>6.6561014263074481E-2</v>
      </c>
    </row>
    <row r="12" spans="3:10">
      <c r="C12" t="s">
        <v>132</v>
      </c>
      <c r="D12" s="1361"/>
    </row>
    <row r="13" spans="3:10" ht="23">
      <c r="C13" s="1358" t="s">
        <v>133</v>
      </c>
      <c r="D13" s="1362"/>
    </row>
    <row r="14" spans="3:10">
      <c r="C14" s="1359" t="s">
        <v>134</v>
      </c>
      <c r="D14" s="1361"/>
    </row>
    <row r="15" spans="3:10">
      <c r="D15" s="1359" t="s">
        <v>120</v>
      </c>
      <c r="E15" s="1359" t="s">
        <v>121</v>
      </c>
      <c r="F15" s="1359" t="s">
        <v>122</v>
      </c>
      <c r="G15" s="1359" t="s">
        <v>123</v>
      </c>
      <c r="H15" s="1359" t="s">
        <v>124</v>
      </c>
      <c r="I15" s="1359" t="s">
        <v>125</v>
      </c>
    </row>
    <row r="16" spans="3:10">
      <c r="C16" s="76"/>
      <c r="D16" t="s">
        <v>126</v>
      </c>
      <c r="E16" t="s">
        <v>126</v>
      </c>
      <c r="F16" t="s">
        <v>127</v>
      </c>
      <c r="G16" t="s">
        <v>126</v>
      </c>
      <c r="H16" t="s">
        <v>127</v>
      </c>
      <c r="I16" s="76" t="s">
        <v>127</v>
      </c>
    </row>
    <row r="17" spans="2:23">
      <c r="D17" t="s">
        <v>128</v>
      </c>
      <c r="E17">
        <v>176.7</v>
      </c>
      <c r="F17">
        <v>205.2</v>
      </c>
      <c r="G17" s="173">
        <v>0.03</v>
      </c>
      <c r="H17">
        <v>235.2</v>
      </c>
      <c r="I17" s="173">
        <v>2.8000000000000001E-2</v>
      </c>
      <c r="J17" s="1360">
        <v>2.9000000000000001E-2</v>
      </c>
    </row>
    <row r="18" spans="2:23">
      <c r="D18" t="s">
        <v>129</v>
      </c>
      <c r="E18" s="51">
        <v>162</v>
      </c>
      <c r="F18">
        <v>189.7</v>
      </c>
      <c r="G18" s="173">
        <v>3.2000000000000001E-2</v>
      </c>
      <c r="H18">
        <v>219.4</v>
      </c>
      <c r="I18" s="173">
        <v>0.03</v>
      </c>
      <c r="J18" s="1360">
        <v>3.1E-2</v>
      </c>
    </row>
    <row r="19" spans="2:23">
      <c r="D19" t="s">
        <v>130</v>
      </c>
      <c r="E19">
        <v>12.6</v>
      </c>
      <c r="F19">
        <v>15.8</v>
      </c>
      <c r="G19" s="173">
        <v>4.5999999999999999E-2</v>
      </c>
      <c r="H19">
        <v>17.3</v>
      </c>
      <c r="I19" s="173">
        <v>1.7999999999999999E-2</v>
      </c>
      <c r="J19" s="1360">
        <v>3.2000000000000001E-2</v>
      </c>
    </row>
    <row r="20" spans="2:23">
      <c r="D20" s="1363" t="s">
        <v>131</v>
      </c>
      <c r="E20" s="1363">
        <v>189.3</v>
      </c>
      <c r="F20" s="1363">
        <v>221</v>
      </c>
      <c r="G20" s="1364">
        <v>3.1E-2</v>
      </c>
      <c r="H20" s="1363">
        <v>252.4</v>
      </c>
      <c r="I20" s="1364">
        <v>2.7E-2</v>
      </c>
      <c r="J20" s="1364">
        <v>2.9000000000000001E-2</v>
      </c>
      <c r="K20" s="1365"/>
    </row>
    <row r="21" spans="2:23">
      <c r="C21" s="1359"/>
      <c r="G21" s="98">
        <f>(F18/E18)^(1/5)-1</f>
        <v>3.2073110792981474E-2</v>
      </c>
    </row>
    <row r="22" spans="2:23">
      <c r="C22" s="1359"/>
      <c r="F22">
        <f>F18+4.8</f>
        <v>194.5</v>
      </c>
      <c r="G22" s="98">
        <f>(F22/E18)^(1/5)-1</f>
        <v>3.7243968755623857E-2</v>
      </c>
      <c r="V22" t="s">
        <v>135</v>
      </c>
    </row>
    <row r="23" spans="2:23">
      <c r="C23" s="1359"/>
      <c r="L23" s="1494" t="s">
        <v>136</v>
      </c>
      <c r="M23" s="44"/>
      <c r="N23" s="44"/>
      <c r="O23" s="44"/>
      <c r="V23" s="37"/>
      <c r="W23" s="1499" t="s">
        <v>137</v>
      </c>
    </row>
    <row r="24" spans="2:23">
      <c r="B24" s="76" t="s">
        <v>138</v>
      </c>
      <c r="C24" s="1367" t="str">
        <f>'Autumn 24'!K5</f>
        <v>2018-19</v>
      </c>
      <c r="D24" s="1367" t="str">
        <f>'Autumn 24'!L5</f>
        <v>2019-20</v>
      </c>
      <c r="E24" s="1367" t="str">
        <f>'Autumn 24'!M5</f>
        <v>2020-21</v>
      </c>
      <c r="F24" s="1367" t="str">
        <f>'Autumn 24'!N5</f>
        <v>2021-22</v>
      </c>
      <c r="G24" s="1367" t="str">
        <f>'Autumn 24'!O5</f>
        <v>2022-23</v>
      </c>
      <c r="H24" s="1367" t="str">
        <f>'Autumn 24'!P5</f>
        <v>2023-24</v>
      </c>
      <c r="I24" s="1367" t="str">
        <f>'Autumn 24'!Q5</f>
        <v>2024-25</v>
      </c>
      <c r="J24" s="1367" t="str">
        <f>'Autumn 24'!R5</f>
        <v>2025-26</v>
      </c>
      <c r="L24" s="44"/>
      <c r="M24" s="1495" t="s">
        <v>139</v>
      </c>
      <c r="N24" s="44"/>
      <c r="O24" s="44" t="s">
        <v>139</v>
      </c>
      <c r="U24" t="str">
        <f>B24</f>
        <v>Nominal</v>
      </c>
      <c r="W24" s="304" t="str">
        <f t="shared" ref="W24:W34" si="0">I24</f>
        <v>2024-25</v>
      </c>
    </row>
    <row r="25" spans="2:23">
      <c r="C25" s="1367" t="str">
        <f>'Autumn 24'!K6</f>
        <v>outturn</v>
      </c>
      <c r="D25" s="1367" t="str">
        <f>'Autumn 24'!L6</f>
        <v>outturn</v>
      </c>
      <c r="E25" s="1367" t="str">
        <f>'Autumn 24'!M6</f>
        <v>outturn</v>
      </c>
      <c r="F25" s="1367" t="str">
        <f>'Autumn 24'!N6</f>
        <v>outturn</v>
      </c>
      <c r="G25" s="1367" t="str">
        <f>'Autumn 24'!O6</f>
        <v>outturn</v>
      </c>
      <c r="H25" s="1367" t="str">
        <f>'Autumn 24'!P6</f>
        <v>outturn</v>
      </c>
      <c r="I25" s="1367" t="str">
        <f>'Autumn 24'!Q6</f>
        <v>baseline</v>
      </c>
      <c r="J25" s="1367" t="str">
        <f>'Autumn 24'!R6</f>
        <v>plans</v>
      </c>
      <c r="L25" s="44"/>
      <c r="M25" s="44" t="s">
        <v>140</v>
      </c>
      <c r="N25" s="44"/>
      <c r="O25" s="44" t="s">
        <v>141</v>
      </c>
      <c r="W25" s="304" t="str">
        <f t="shared" si="0"/>
        <v>baseline</v>
      </c>
    </row>
    <row r="26" spans="2:23">
      <c r="B26" t="str">
        <f>'Autumn 24'!A8</f>
        <v>DHSC total budget less pension adjustment and transfers</v>
      </c>
      <c r="C26" s="1368">
        <f>'Autumn 24'!K8</f>
        <v>128.39599999999999</v>
      </c>
      <c r="D26" s="1368">
        <f>'Autumn 24'!L8</f>
        <v>135.60399999999998</v>
      </c>
      <c r="E26" s="1368">
        <f>'Autumn 24'!M8</f>
        <v>187.75900000000001</v>
      </c>
      <c r="F26" s="1368">
        <f>'Autumn 24'!N8</f>
        <v>184.423</v>
      </c>
      <c r="G26" s="1368">
        <f>'Autumn 24'!O8</f>
        <v>179.28</v>
      </c>
      <c r="H26" s="1368">
        <f>'Autumn 24'!P8</f>
        <v>185.61799999999999</v>
      </c>
      <c r="I26" s="1368">
        <f>'Autumn 24'!Q8</f>
        <v>197.089225</v>
      </c>
      <c r="J26" s="1367">
        <f>'Autumn 24'!R8</f>
        <v>209.28029687395767</v>
      </c>
      <c r="K26" s="98">
        <f t="shared" ref="K26:K31" si="1">J26/I26-1</f>
        <v>6.1855598011294921E-2</v>
      </c>
      <c r="L26" s="44"/>
      <c r="M26" s="44">
        <f ca="1">M47*($J$42/$I$42)</f>
        <v>208.47083463452398</v>
      </c>
      <c r="N26" s="44"/>
      <c r="O26" s="44">
        <f ca="1">O47*($J$42/$I$42)</f>
        <v>213.05684746789464</v>
      </c>
      <c r="U26" t="str">
        <f t="shared" ref="U26:U31" si="2">B26</f>
        <v>DHSC total budget less pension adjustment and transfers</v>
      </c>
      <c r="W26" s="304">
        <f t="shared" si="0"/>
        <v>197.089225</v>
      </c>
    </row>
    <row r="27" spans="2:23">
      <c r="B27" t="str">
        <f>'Autumn 24'!A9</f>
        <v>Resource DEL excluding depreciation</v>
      </c>
      <c r="C27" s="1368">
        <f>'Autumn 24'!K9</f>
        <v>122.455</v>
      </c>
      <c r="D27" s="1368">
        <f>'Autumn 24'!L9</f>
        <v>131.44</v>
      </c>
      <c r="E27" s="1368">
        <f>'Autumn 24'!M9</f>
        <v>177.90600000000001</v>
      </c>
      <c r="F27" s="1368">
        <f>'Autumn 24'!N9</f>
        <v>178.155</v>
      </c>
      <c r="G27" s="1368">
        <f>'Autumn 24'!O9</f>
        <v>172.28299999999999</v>
      </c>
      <c r="H27" s="1368">
        <f>'Autumn 24'!P9</f>
        <v>177.92699999999999</v>
      </c>
      <c r="I27" s="1368">
        <f>'Autumn 24'!Q9</f>
        <v>190.12951799999999</v>
      </c>
      <c r="J27" s="1367">
        <f>'Autumn 24'!R9</f>
        <v>200.49934437966382</v>
      </c>
      <c r="K27" s="98">
        <f t="shared" si="1"/>
        <v>5.4540854511943015E-2</v>
      </c>
      <c r="L27" s="44"/>
      <c r="M27" s="44">
        <f ca="1">M48*($J$42/$I$42)</f>
        <v>195.18438255415737</v>
      </c>
      <c r="N27" s="44"/>
      <c r="O27" s="44">
        <f ca="1">O48*($J$42/$I$42)</f>
        <v>200.4455689959677</v>
      </c>
      <c r="U27" t="str">
        <f t="shared" si="2"/>
        <v>Resource DEL excluding depreciation</v>
      </c>
      <c r="W27" s="304">
        <f t="shared" si="0"/>
        <v>190.12951799999999</v>
      </c>
    </row>
    <row r="28" spans="2:23">
      <c r="B28" t="str">
        <f>'Autumn 24'!A10</f>
        <v>Of which: NHS England</v>
      </c>
      <c r="C28" s="1368">
        <f>'Autumn 24'!K10</f>
        <v>112.42700000000001</v>
      </c>
      <c r="D28" s="1368">
        <f>'Autumn 24'!L10</f>
        <v>126.44199999999999</v>
      </c>
      <c r="E28" s="1368">
        <f>'Autumn 24'!M10</f>
        <v>146.018</v>
      </c>
      <c r="F28" s="1368">
        <f>'Autumn 24'!N10</f>
        <v>152.31700000000001</v>
      </c>
      <c r="G28" s="1368">
        <f>'Autumn 24'!O10</f>
        <v>160.93899999999999</v>
      </c>
      <c r="H28" s="1368">
        <f>'Autumn 24'!P10</f>
        <v>170.999</v>
      </c>
      <c r="I28" s="1368">
        <f>'Autumn 24'!Q10</f>
        <v>181.4143</v>
      </c>
      <c r="J28" s="1367">
        <f>'Autumn 24'!R10</f>
        <v>191.955378695077</v>
      </c>
      <c r="K28" s="98">
        <f t="shared" si="1"/>
        <v>5.8105004374390479E-2</v>
      </c>
      <c r="L28" s="44"/>
      <c r="M28" s="44">
        <f ca="1">M49*($J$42/$I$42)</f>
        <v>193.09202291584293</v>
      </c>
      <c r="N28" s="44"/>
      <c r="O28" s="44">
        <f ca="1">O49*($J$42/$I$42)</f>
        <v>188.6097429868415</v>
      </c>
      <c r="U28" t="str">
        <f t="shared" si="2"/>
        <v>Of which: NHS England</v>
      </c>
      <c r="W28" s="304">
        <f t="shared" si="0"/>
        <v>181.4143</v>
      </c>
    </row>
    <row r="29" spans="2:23">
      <c r="B29" t="str">
        <f>'Autumn 24'!A12</f>
        <v>Pensions adjustment II</v>
      </c>
      <c r="C29" s="1368">
        <f>'Autumn 24'!K12</f>
        <v>0</v>
      </c>
      <c r="D29" s="1368">
        <f>'Autumn 24'!L12</f>
        <v>0</v>
      </c>
      <c r="E29" s="1368">
        <f>'Autumn 24'!M12</f>
        <v>0</v>
      </c>
      <c r="F29" s="1368">
        <f>'Autumn 24'!N12</f>
        <v>0</v>
      </c>
      <c r="G29" s="1368">
        <f>'Autumn 24'!O12</f>
        <v>0</v>
      </c>
      <c r="H29" s="1368">
        <f>'Autumn 24'!P12</f>
        <v>0</v>
      </c>
      <c r="I29" s="1368">
        <f>'Autumn 24'!Q12</f>
        <v>1.9650000000000001</v>
      </c>
      <c r="J29" s="1367">
        <f>'Autumn 24'!R12</f>
        <v>1.9650000000000001</v>
      </c>
      <c r="K29" s="98">
        <f t="shared" si="1"/>
        <v>0</v>
      </c>
      <c r="L29" s="44"/>
      <c r="M29" s="44"/>
      <c r="N29" s="44"/>
      <c r="O29" s="44"/>
      <c r="U29" t="str">
        <f t="shared" si="2"/>
        <v>Pensions adjustment II</v>
      </c>
      <c r="W29" s="304">
        <f t="shared" si="0"/>
        <v>1.9650000000000001</v>
      </c>
    </row>
    <row r="30" spans="2:23">
      <c r="B30" t="s">
        <v>142</v>
      </c>
      <c r="C30" s="351">
        <f t="shared" ref="C30:H30" si="3">C27-C29</f>
        <v>122.455</v>
      </c>
      <c r="D30" s="351">
        <f t="shared" si="3"/>
        <v>131.44</v>
      </c>
      <c r="E30" s="351">
        <f t="shared" si="3"/>
        <v>177.90600000000001</v>
      </c>
      <c r="F30" s="351">
        <f t="shared" si="3"/>
        <v>178.155</v>
      </c>
      <c r="G30" s="351">
        <f t="shared" si="3"/>
        <v>172.28299999999999</v>
      </c>
      <c r="H30" s="351">
        <f t="shared" si="3"/>
        <v>177.92699999999999</v>
      </c>
      <c r="I30" s="351">
        <f>I27-I29</f>
        <v>188.16451799999999</v>
      </c>
      <c r="J30" s="351">
        <f>J27-J29</f>
        <v>198.53434437966382</v>
      </c>
      <c r="K30" s="98">
        <f t="shared" si="1"/>
        <v>5.5110424058077978E-2</v>
      </c>
      <c r="L30" s="44"/>
      <c r="M30" s="44">
        <f ca="1">M51*($J$42/$I$42)</f>
        <v>193.17249828654732</v>
      </c>
      <c r="N30" s="44"/>
      <c r="O30" s="44">
        <f ca="1">O51*($J$42/$I$42)</f>
        <v>198.43368472835766</v>
      </c>
      <c r="U30" t="str">
        <f t="shared" si="2"/>
        <v>DHSC RDEL (excl. pensions)</v>
      </c>
      <c r="W30" s="304">
        <f t="shared" si="0"/>
        <v>188.16451799999999</v>
      </c>
    </row>
    <row r="31" spans="2:23">
      <c r="B31" t="str">
        <f>'Autumn 24'!A15</f>
        <v>NHS England (excl. pensions)</v>
      </c>
      <c r="C31" s="1368">
        <f>'Autumn 24'!K15</f>
        <v>112.42700000000001</v>
      </c>
      <c r="D31" s="1368">
        <f>'Autumn 24'!L15</f>
        <v>123.59099999999999</v>
      </c>
      <c r="E31" s="1368">
        <f>'Autumn 24'!M15</f>
        <v>143.167</v>
      </c>
      <c r="F31" s="1368">
        <f>'Autumn 24'!N15</f>
        <v>149.46600000000001</v>
      </c>
      <c r="G31" s="1368">
        <f>'Autumn 24'!O15</f>
        <v>158.08799999999999</v>
      </c>
      <c r="H31" s="1368">
        <f>'Autumn 24'!P15</f>
        <v>168.148</v>
      </c>
      <c r="I31" s="1368">
        <f>'Autumn 24'!Q15</f>
        <v>176.59829999999999</v>
      </c>
      <c r="J31" s="1368">
        <f>'Autumn 24'!R15</f>
        <v>187.139378695077</v>
      </c>
      <c r="K31" s="98">
        <f t="shared" si="1"/>
        <v>5.968958192166629E-2</v>
      </c>
      <c r="L31" s="44"/>
      <c r="M31" s="44">
        <f ca="1">M52*($J$42/$I$42)</f>
        <v>191.08013864823292</v>
      </c>
      <c r="N31" s="44"/>
      <c r="O31" s="44">
        <f ca="1">O52*($J$42/$I$42)</f>
        <v>186.59785871923145</v>
      </c>
      <c r="U31" t="str">
        <f t="shared" si="2"/>
        <v>NHS England (excl. pensions)</v>
      </c>
      <c r="W31" s="304">
        <f t="shared" si="0"/>
        <v>176.59829999999999</v>
      </c>
    </row>
    <row r="32" spans="2:23">
      <c r="C32" s="1368"/>
      <c r="D32" s="1368"/>
      <c r="E32" s="1368"/>
      <c r="F32" s="1368"/>
      <c r="G32" s="1368"/>
      <c r="H32" s="1368"/>
      <c r="I32" s="1368"/>
      <c r="J32" s="1368"/>
      <c r="K32" s="98"/>
      <c r="L32" s="44"/>
      <c r="M32" s="44"/>
      <c r="N32" s="44"/>
      <c r="O32" s="44"/>
      <c r="W32" s="304">
        <f t="shared" si="0"/>
        <v>0</v>
      </c>
    </row>
    <row r="33" spans="2:23">
      <c r="B33" t="str">
        <f>'Autumn 24'!A17</f>
        <v>Capital DEL</v>
      </c>
      <c r="C33" s="1368">
        <f>'Autumn 24'!K17</f>
        <v>5.9409999999999998</v>
      </c>
      <c r="D33" s="1368">
        <f>'Autumn 24'!L17</f>
        <v>7.0149999999999997</v>
      </c>
      <c r="E33" s="1368">
        <f>'Autumn 24'!M17</f>
        <v>12.704000000000001</v>
      </c>
      <c r="F33" s="1368">
        <f>'Autumn 24'!N17</f>
        <v>9.1189999999999998</v>
      </c>
      <c r="G33" s="1368">
        <f>'Autumn 24'!O17</f>
        <v>9.8480000000000008</v>
      </c>
      <c r="H33" s="1368">
        <f>'Autumn 24'!P17</f>
        <v>10.542</v>
      </c>
      <c r="I33" s="1368">
        <f>'Autumn 24'!Q17</f>
        <v>11.775707000000001</v>
      </c>
      <c r="J33" s="1368">
        <f>'Autumn 24'!R17</f>
        <v>13.596952494293854</v>
      </c>
      <c r="K33" s="98">
        <f>J33/I33-1</f>
        <v>0.15466124405896409</v>
      </c>
      <c r="L33" s="44"/>
      <c r="M33" s="44">
        <f ca="1">M55*($J$42/$I$42)</f>
        <v>13.286452080366612</v>
      </c>
      <c r="N33" s="44"/>
      <c r="O33" s="44">
        <f ca="1">O55*($J$42/$I$42)</f>
        <v>12.611278471926928</v>
      </c>
      <c r="U33" t="str">
        <f>B33</f>
        <v>Capital DEL</v>
      </c>
      <c r="W33" s="304">
        <f t="shared" si="0"/>
        <v>11.775707000000001</v>
      </c>
    </row>
    <row r="34" spans="2:23">
      <c r="B34" t="str">
        <f>'Autumn 24'!A18</f>
        <v>PH grant</v>
      </c>
      <c r="C34" s="1368">
        <f>'Autumn 24'!K18</f>
        <v>0</v>
      </c>
      <c r="D34" s="1368">
        <f>'Autumn 24'!L18</f>
        <v>0</v>
      </c>
      <c r="E34" s="1368">
        <f>'Autumn 24'!M18</f>
        <v>0</v>
      </c>
      <c r="F34" s="1368">
        <f>'Autumn 24'!N18</f>
        <v>0</v>
      </c>
      <c r="G34" s="1368">
        <f>'Autumn 24'!O18</f>
        <v>0</v>
      </c>
      <c r="H34" s="1368">
        <f>'Autumn 24'!P18</f>
        <v>0</v>
      </c>
      <c r="I34" s="1368">
        <f>'Autumn 24'!Q18</f>
        <v>3.6</v>
      </c>
      <c r="J34" s="1366"/>
      <c r="K34" s="98">
        <f>J34/I34-1</f>
        <v>-1</v>
      </c>
      <c r="L34" s="44"/>
      <c r="M34" s="44"/>
      <c r="N34" s="44"/>
      <c r="O34" s="44"/>
      <c r="U34" t="str">
        <f>B34</f>
        <v>PH grant</v>
      </c>
      <c r="W34" s="304">
        <f t="shared" si="0"/>
        <v>3.6</v>
      </c>
    </row>
    <row r="35" spans="2:23">
      <c r="C35" s="1368"/>
      <c r="D35" s="1368"/>
      <c r="E35" s="1368"/>
      <c r="F35" s="1368"/>
      <c r="G35" s="1368"/>
      <c r="H35" s="1368"/>
      <c r="I35" s="1368"/>
      <c r="J35" s="1366"/>
    </row>
    <row r="36" spans="2:23">
      <c r="B36" t="s">
        <v>143</v>
      </c>
      <c r="C36" s="1368"/>
      <c r="D36" s="1368"/>
      <c r="E36" s="1368"/>
      <c r="F36" s="1368"/>
      <c r="G36" s="1368"/>
      <c r="H36" s="1368"/>
      <c r="I36" s="1368"/>
      <c r="J36" s="1366"/>
    </row>
    <row r="37" spans="2:23">
      <c r="B37" t="s">
        <v>144</v>
      </c>
      <c r="C37" s="1368"/>
      <c r="D37" s="1368"/>
      <c r="E37" s="1368"/>
      <c r="F37" s="1368"/>
      <c r="G37" s="1368"/>
      <c r="H37" s="1368"/>
      <c r="I37" s="1368"/>
      <c r="J37" s="1366"/>
    </row>
    <row r="38" spans="2:23">
      <c r="B38" t="s">
        <v>145</v>
      </c>
      <c r="C38" s="1368"/>
      <c r="D38" s="1368"/>
      <c r="E38" s="1368"/>
      <c r="F38" s="1368"/>
      <c r="G38" s="1368"/>
      <c r="H38" s="1368"/>
      <c r="I38" s="1368"/>
      <c r="J38" s="1366"/>
    </row>
    <row r="39" spans="2:23">
      <c r="C39" s="1368"/>
      <c r="D39" s="1368"/>
      <c r="E39" s="1368"/>
      <c r="F39" s="1368"/>
      <c r="G39" s="1368"/>
      <c r="H39" s="1368"/>
      <c r="I39" s="1368"/>
      <c r="J39" s="1366"/>
    </row>
    <row r="40" spans="2:23">
      <c r="C40" s="1368"/>
      <c r="D40" s="1368"/>
      <c r="E40" s="1368"/>
      <c r="F40" s="1368"/>
      <c r="G40" s="1368"/>
      <c r="H40" s="1368"/>
      <c r="I40" s="1368"/>
      <c r="J40" s="1366"/>
    </row>
    <row r="41" spans="2:23">
      <c r="B41" s="76" t="s">
        <v>146</v>
      </c>
      <c r="C41" s="1368" t="str">
        <f ca="1">'Autumn 24'!K32</f>
        <v>2018-19</v>
      </c>
      <c r="D41" s="1368" t="str">
        <f ca="1">'Autumn 24'!L32</f>
        <v>2019-20</v>
      </c>
      <c r="E41" s="1368" t="str">
        <f ca="1">'Autumn 24'!M32</f>
        <v>2020-21</v>
      </c>
      <c r="F41" s="1368" t="str">
        <f ca="1">'Autumn 24'!N32</f>
        <v>2021-22</v>
      </c>
      <c r="G41" s="1368" t="str">
        <f ca="1">'Autumn 24'!O32</f>
        <v>2022-23</v>
      </c>
      <c r="H41" s="1368" t="str">
        <f ca="1">'Autumn 24'!P32</f>
        <v>2023-24</v>
      </c>
      <c r="I41" s="1368" t="str">
        <f ca="1">'Autumn 24'!Q32</f>
        <v>2024-25</v>
      </c>
      <c r="J41" s="1368" t="str">
        <f ca="1">'Autumn 24'!R32</f>
        <v>2025-26</v>
      </c>
    </row>
    <row r="42" spans="2:23">
      <c r="B42" t="str">
        <f>'Autumn 24'!A32</f>
        <v>GDP deflator</v>
      </c>
      <c r="C42" s="1368">
        <f ca="1">'Autumn 24'!K33</f>
        <v>82.017099999999999</v>
      </c>
      <c r="D42" s="1368">
        <f ca="1">'Autumn 24'!L33</f>
        <v>83.960499999999996</v>
      </c>
      <c r="E42" s="1368">
        <f ca="1">'Autumn 24'!M33</f>
        <v>88.465500000000006</v>
      </c>
      <c r="F42" s="1368">
        <f ca="1">'Autumn 24'!N33</f>
        <v>87.948599999999999</v>
      </c>
      <c r="G42" s="1368">
        <f ca="1">'Autumn 24'!O33</f>
        <v>94.217500000000001</v>
      </c>
      <c r="H42" s="1368">
        <f ca="1">'Autumn 24'!P33</f>
        <v>100</v>
      </c>
      <c r="I42" s="1368">
        <f ca="1">'Autumn 24'!Q33</f>
        <v>102.37466607696864</v>
      </c>
      <c r="J42" s="1368">
        <f ca="1">'Autumn 24'!R33</f>
        <v>104.81729266263783</v>
      </c>
      <c r="L42" s="38" t="s">
        <v>147</v>
      </c>
      <c r="M42" s="38"/>
      <c r="N42" s="38"/>
      <c r="O42" s="38"/>
    </row>
    <row r="43" spans="2:23">
      <c r="C43" s="1368"/>
      <c r="D43" s="1368"/>
      <c r="E43" s="1368"/>
      <c r="F43" s="1368"/>
      <c r="G43" s="1368"/>
      <c r="H43" s="1368"/>
      <c r="I43" s="1368"/>
      <c r="J43" s="1366"/>
      <c r="L43" s="38"/>
      <c r="M43" s="38"/>
      <c r="N43" s="38"/>
      <c r="O43" s="38"/>
    </row>
    <row r="44" spans="2:23">
      <c r="C44" s="1368"/>
      <c r="D44" s="1368"/>
      <c r="E44" s="1368"/>
      <c r="F44" s="1368"/>
      <c r="G44" s="1368"/>
      <c r="H44" s="1368"/>
      <c r="I44" s="1368"/>
      <c r="J44" s="1366"/>
      <c r="L44" s="38" t="s">
        <v>140</v>
      </c>
      <c r="M44" s="38"/>
      <c r="N44" s="38"/>
      <c r="O44" s="38"/>
      <c r="U44" t="s">
        <v>148</v>
      </c>
    </row>
    <row r="45" spans="2:23">
      <c r="B45" s="76" t="str">
        <f>'Autumn 24'!A36</f>
        <v>Real terms, 24/25 prices (£bn)</v>
      </c>
      <c r="C45" s="1368" t="str">
        <f>'Autumn 24'!K36</f>
        <v>2018-19</v>
      </c>
      <c r="D45" s="1368" t="str">
        <f>'Autumn 24'!L36</f>
        <v>2019-20</v>
      </c>
      <c r="E45" s="1368" t="str">
        <f>'Autumn 24'!M36</f>
        <v>2020-21</v>
      </c>
      <c r="F45" s="1368" t="str">
        <f>'Autumn 24'!N36</f>
        <v>2021-22</v>
      </c>
      <c r="G45" s="1368" t="str">
        <f>'Autumn 24'!O36</f>
        <v>2022-23</v>
      </c>
      <c r="H45" s="1368" t="str">
        <f>'Autumn 24'!P36</f>
        <v>2023-24</v>
      </c>
      <c r="I45" s="1368" t="str">
        <f>'Autumn 24'!Q36</f>
        <v>2024-25</v>
      </c>
      <c r="J45" s="1367" t="s">
        <v>139</v>
      </c>
      <c r="K45" t="s">
        <v>149</v>
      </c>
      <c r="L45" s="38" t="s">
        <v>150</v>
      </c>
      <c r="M45" s="1498" t="s">
        <v>151</v>
      </c>
      <c r="N45" s="38"/>
      <c r="O45" s="38"/>
    </row>
    <row r="46" spans="2:23">
      <c r="B46" t="str">
        <f>'Autumn 24'!A37</f>
        <v>Health and Social Care</v>
      </c>
      <c r="C46" s="1368" t="str">
        <f>'Autumn 24'!K37</f>
        <v>outturn</v>
      </c>
      <c r="D46" s="1368" t="str">
        <f>'Autumn 24'!L37</f>
        <v>outturn</v>
      </c>
      <c r="E46" s="1368" t="str">
        <f>'Autumn 24'!M37</f>
        <v>outturn</v>
      </c>
      <c r="F46" s="1368" t="str">
        <f>'Autumn 24'!N37</f>
        <v>outturn</v>
      </c>
      <c r="G46" s="1368" t="str">
        <f>'Autumn 24'!O37</f>
        <v>outturn</v>
      </c>
      <c r="H46" s="1368" t="str">
        <f>'Autumn 24'!P37</f>
        <v>plans</v>
      </c>
      <c r="I46" s="1368" t="str">
        <f>'Autumn 24'!Q37</f>
        <v>plans</v>
      </c>
      <c r="J46" s="1367" t="s">
        <v>152</v>
      </c>
      <c r="L46" s="38"/>
      <c r="M46" s="38"/>
      <c r="N46" s="38"/>
      <c r="O46" s="38"/>
    </row>
    <row r="47" spans="2:23">
      <c r="B47" t="str">
        <f>'Autumn 24'!A38</f>
        <v>DHSC total budget</v>
      </c>
      <c r="C47" s="1368">
        <f t="shared" ref="C47:I50" ca="1" si="4">C26*$I$42/C$42</f>
        <v>160.26533034718935</v>
      </c>
      <c r="D47" s="1368">
        <f t="shared" ca="1" si="4"/>
        <v>165.34458726069107</v>
      </c>
      <c r="E47" s="1368">
        <f t="shared" ca="1" si="4"/>
        <v>217.27978622113201</v>
      </c>
      <c r="F47" s="1368">
        <f t="shared" ca="1" si="4"/>
        <v>214.6736052866423</v>
      </c>
      <c r="G47" s="1368">
        <f t="shared" ca="1" si="4"/>
        <v>194.80171023725885</v>
      </c>
      <c r="H47" s="1368">
        <f t="shared" ca="1" si="4"/>
        <v>190.02580767874761</v>
      </c>
      <c r="I47" s="1368">
        <f t="shared" ca="1" si="4"/>
        <v>197.089225</v>
      </c>
      <c r="J47" s="1368">
        <f ca="1">J26*$I$42/J$42</f>
        <v>204.40329992035018</v>
      </c>
      <c r="K47" s="98">
        <f t="shared" ref="K47:K52" si="5">J26/I26-1</f>
        <v>6.1855598011294921E-2</v>
      </c>
      <c r="L47" s="38"/>
      <c r="M47" s="1497">
        <f ca="1">M48+M55</f>
        <v>203.612701114</v>
      </c>
      <c r="N47" s="38"/>
      <c r="O47" s="1497">
        <f>O48+O55</f>
        <v>208.09184306200001</v>
      </c>
    </row>
    <row r="48" spans="2:23">
      <c r="B48" t="str">
        <f>'Autumn 24'!A39</f>
        <v>Resource DEL excluding depreciation</v>
      </c>
      <c r="C48" s="1368">
        <f t="shared" ca="1" si="4"/>
        <v>152.84970737145295</v>
      </c>
      <c r="D48" s="1368">
        <f t="shared" ca="1" si="4"/>
        <v>160.26734129926285</v>
      </c>
      <c r="E48" s="1368">
        <f t="shared" ca="1" si="4"/>
        <v>205.87762848894974</v>
      </c>
      <c r="F48" s="1368">
        <f t="shared" ca="1" si="4"/>
        <v>207.37747542248934</v>
      </c>
      <c r="G48" s="1368">
        <f t="shared" ca="1" si="4"/>
        <v>187.19892372158449</v>
      </c>
      <c r="H48" s="1368">
        <f t="shared" ca="1" si="4"/>
        <v>182.15217211076796</v>
      </c>
      <c r="I48" s="1368">
        <f t="shared" ca="1" si="4"/>
        <v>190.12951799999999</v>
      </c>
      <c r="J48" s="1368">
        <f ca="1">J27*$I$42/J$42</f>
        <v>195.82697576041997</v>
      </c>
      <c r="K48" s="98">
        <f t="shared" si="5"/>
        <v>5.4540854511943015E-2</v>
      </c>
      <c r="L48" s="38"/>
      <c r="M48" s="1497">
        <f ca="1">M51+I29</f>
        <v>190.63587200000001</v>
      </c>
      <c r="N48" s="38"/>
      <c r="O48" s="1497">
        <f>O51+I29</f>
        <v>195.77445354</v>
      </c>
    </row>
    <row r="49" spans="2:15">
      <c r="B49" t="str">
        <f>'Autumn 24'!A40</f>
        <v>Of which: NHS England</v>
      </c>
      <c r="C49" s="1368">
        <f t="shared" ca="1" si="4"/>
        <v>140.33264505859577</v>
      </c>
      <c r="D49" s="1368">
        <f t="shared" ca="1" si="4"/>
        <v>154.17318296227472</v>
      </c>
      <c r="E49" s="1368">
        <f t="shared" ca="1" si="4"/>
        <v>168.97597358548592</v>
      </c>
      <c r="F49" s="1368">
        <f t="shared" ca="1" si="4"/>
        <v>177.30131022944803</v>
      </c>
      <c r="G49" s="1368">
        <f t="shared" ca="1" si="4"/>
        <v>174.87278248479586</v>
      </c>
      <c r="H49" s="1368">
        <f t="shared" ca="1" si="4"/>
        <v>175.05965524495562</v>
      </c>
      <c r="I49" s="1368">
        <f t="shared" ca="1" si="4"/>
        <v>181.4143</v>
      </c>
      <c r="J49" s="1368">
        <f ca="1">J28*$I$42/J$42</f>
        <v>187.48211575007898</v>
      </c>
      <c r="K49" s="98">
        <f t="shared" si="5"/>
        <v>5.8105004374390479E-2</v>
      </c>
      <c r="L49" s="38"/>
      <c r="M49" s="1497">
        <f ca="1">M52+I50</f>
        <v>188.59227200000001</v>
      </c>
      <c r="N49" s="38"/>
      <c r="O49" s="1497">
        <f>O52+I29</f>
        <v>184.2144456</v>
      </c>
    </row>
    <row r="50" spans="2:15">
      <c r="B50" t="str">
        <f>'Autumn 24'!A41</f>
        <v>Pensions adjustment</v>
      </c>
      <c r="C50" s="1368">
        <f t="shared" ca="1" si="4"/>
        <v>0</v>
      </c>
      <c r="D50" s="1368">
        <f t="shared" ca="1" si="4"/>
        <v>0</v>
      </c>
      <c r="E50" s="1368">
        <f t="shared" ca="1" si="4"/>
        <v>0</v>
      </c>
      <c r="F50" s="1368">
        <f t="shared" ca="1" si="4"/>
        <v>0</v>
      </c>
      <c r="G50" s="1368">
        <f t="shared" ca="1" si="4"/>
        <v>0</v>
      </c>
      <c r="H50" s="1368">
        <f t="shared" ca="1" si="4"/>
        <v>0</v>
      </c>
      <c r="I50" s="1368">
        <f t="shared" ca="1" si="4"/>
        <v>1.9650000000000003</v>
      </c>
      <c r="J50" s="1368">
        <f ca="1">J29*$I$42/J$42</f>
        <v>1.919208307437511</v>
      </c>
      <c r="K50" s="98">
        <f t="shared" si="5"/>
        <v>0</v>
      </c>
      <c r="L50" s="38"/>
      <c r="M50" s="38"/>
      <c r="N50" s="38"/>
      <c r="O50" s="38"/>
    </row>
    <row r="51" spans="2:15">
      <c r="C51" s="351">
        <f t="shared" ref="C51:I51" ca="1" si="6">C48-C50</f>
        <v>152.84970737145295</v>
      </c>
      <c r="D51" s="351">
        <f t="shared" ca="1" si="6"/>
        <v>160.26734129926285</v>
      </c>
      <c r="E51" s="351">
        <f t="shared" ca="1" si="6"/>
        <v>205.87762848894974</v>
      </c>
      <c r="F51" s="351">
        <f t="shared" ca="1" si="6"/>
        <v>207.37747542248934</v>
      </c>
      <c r="G51" s="351">
        <f t="shared" ca="1" si="6"/>
        <v>187.19892372158449</v>
      </c>
      <c r="H51" s="351">
        <f t="shared" ca="1" si="6"/>
        <v>182.15217211076796</v>
      </c>
      <c r="I51" s="351">
        <f t="shared" ca="1" si="6"/>
        <v>188.16451799999999</v>
      </c>
      <c r="J51" s="351">
        <f ca="1">J48-J50</f>
        <v>193.90776745298245</v>
      </c>
      <c r="K51" s="98">
        <f t="shared" si="5"/>
        <v>5.5110424058077978E-2</v>
      </c>
      <c r="L51" s="1496">
        <f>G7</f>
        <v>0.04</v>
      </c>
      <c r="M51" s="358">
        <f ca="1">I49*(1+L51)</f>
        <v>188.670872</v>
      </c>
      <c r="N51" s="1496">
        <v>0.03</v>
      </c>
      <c r="O51" s="358">
        <f>I30*(1+N51)</f>
        <v>193.80945353999999</v>
      </c>
    </row>
    <row r="52" spans="2:15">
      <c r="B52" t="str">
        <f>'Autumn 24'!A43</f>
        <v>NHS England (excl. pensions)</v>
      </c>
      <c r="C52" s="1368">
        <f t="shared" ref="C52:I52" ca="1" si="7">C49-C50</f>
        <v>140.33264505859577</v>
      </c>
      <c r="D52" s="1368">
        <f t="shared" ca="1" si="7"/>
        <v>154.17318296227472</v>
      </c>
      <c r="E52" s="1368">
        <f t="shared" ca="1" si="7"/>
        <v>168.97597358548592</v>
      </c>
      <c r="F52" s="1368">
        <f t="shared" ca="1" si="7"/>
        <v>177.30131022944803</v>
      </c>
      <c r="G52" s="1368">
        <f t="shared" ca="1" si="7"/>
        <v>174.87278248479586</v>
      </c>
      <c r="H52" s="1368">
        <f t="shared" ca="1" si="7"/>
        <v>175.05965524495562</v>
      </c>
      <c r="I52" s="1368">
        <f t="shared" ca="1" si="7"/>
        <v>179.44929999999999</v>
      </c>
      <c r="J52" s="1368">
        <f ca="1">J49-J50</f>
        <v>185.56290744264146</v>
      </c>
      <c r="K52" s="98">
        <f t="shared" si="5"/>
        <v>5.968958192166629E-2</v>
      </c>
      <c r="L52" s="1496">
        <f>G8</f>
        <v>0.04</v>
      </c>
      <c r="M52" s="358">
        <f ca="1">I52*(1+L52)</f>
        <v>186.627272</v>
      </c>
      <c r="N52" s="1496">
        <v>3.2000000000000001E-2</v>
      </c>
      <c r="O52" s="358">
        <f>I31*(1+N52)</f>
        <v>182.2494456</v>
      </c>
    </row>
    <row r="53" spans="2:15">
      <c r="C53" s="1368"/>
      <c r="D53" s="1368"/>
      <c r="E53" s="1368"/>
      <c r="F53" s="1368"/>
      <c r="G53" s="1368"/>
      <c r="H53" s="1368"/>
      <c r="I53" s="1368"/>
      <c r="J53" s="1368"/>
      <c r="K53" s="98"/>
      <c r="L53" s="1496"/>
      <c r="M53" s="38"/>
      <c r="N53" s="1496"/>
      <c r="O53" s="358"/>
    </row>
    <row r="54" spans="2:15">
      <c r="B54" t="str">
        <f>'Autumn 24'!A44</f>
        <v>Of which: Other (non-NHS England)</v>
      </c>
      <c r="C54" s="351">
        <f t="shared" ref="C54:I54" ca="1" si="8">C48-C49</f>
        <v>12.517062312857178</v>
      </c>
      <c r="D54" s="351">
        <f t="shared" ca="1" si="8"/>
        <v>6.09415833698813</v>
      </c>
      <c r="E54" s="351">
        <f t="shared" ca="1" si="8"/>
        <v>36.901654903463822</v>
      </c>
      <c r="F54" s="351">
        <f t="shared" ca="1" si="8"/>
        <v>30.076165193041305</v>
      </c>
      <c r="G54" s="351">
        <f t="shared" ca="1" si="8"/>
        <v>12.326141236788629</v>
      </c>
      <c r="H54" s="351">
        <f t="shared" ca="1" si="8"/>
        <v>7.0925168658123425</v>
      </c>
      <c r="I54" s="351">
        <f t="shared" ca="1" si="8"/>
        <v>8.715217999999993</v>
      </c>
      <c r="J54" s="351">
        <f ca="1">J48-J49</f>
        <v>8.3448600103409944</v>
      </c>
      <c r="K54" s="172"/>
      <c r="L54" s="38"/>
      <c r="M54" s="38"/>
      <c r="N54" s="38"/>
      <c r="O54" s="358"/>
    </row>
    <row r="55" spans="2:15">
      <c r="B55" t="str">
        <f>'Autumn 24'!A45</f>
        <v>Capital DEL</v>
      </c>
      <c r="C55" s="1368">
        <f t="shared" ref="C55:I55" ca="1" si="9">C33*$I$42/C$42</f>
        <v>7.4156229757364098</v>
      </c>
      <c r="D55" s="1368">
        <f t="shared" ca="1" si="9"/>
        <v>8.5535255570171085</v>
      </c>
      <c r="E55" s="1368">
        <f t="shared" ca="1" si="9"/>
        <v>14.701411938459733</v>
      </c>
      <c r="F55" s="1368">
        <f t="shared" ca="1" si="9"/>
        <v>10.61477476566855</v>
      </c>
      <c r="G55" s="1368">
        <f t="shared" ca="1" si="9"/>
        <v>10.700620495406769</v>
      </c>
      <c r="H55" s="1368">
        <f t="shared" ca="1" si="9"/>
        <v>10.792337297834033</v>
      </c>
      <c r="I55" s="1368">
        <f t="shared" ca="1" si="9"/>
        <v>11.775707000000001</v>
      </c>
      <c r="J55" s="1368">
        <f ca="1">J33*$I$42/J$42</f>
        <v>13.28009373174654</v>
      </c>
      <c r="K55" s="98">
        <f>J33/I33-1</f>
        <v>0.15466124405896409</v>
      </c>
      <c r="L55" s="1496">
        <f>G9</f>
        <v>0.10199999999999999</v>
      </c>
      <c r="M55" s="358">
        <f>I33*(1+L55)</f>
        <v>12.976829114000001</v>
      </c>
      <c r="N55" s="1496">
        <v>4.5999999999999999E-2</v>
      </c>
      <c r="O55" s="358">
        <f>I33*(1+N55)</f>
        <v>12.317389522000001</v>
      </c>
    </row>
    <row r="63" spans="2:15">
      <c r="C63" s="1368"/>
      <c r="D63" s="1368"/>
      <c r="E63" s="1368"/>
      <c r="F63" s="1368"/>
      <c r="G63" s="1368"/>
      <c r="H63" s="1368"/>
      <c r="I63" s="1368"/>
    </row>
    <row r="64" spans="2:15">
      <c r="C64" s="1368"/>
      <c r="D64" s="1368"/>
      <c r="E64" s="1368"/>
      <c r="F64" s="1368"/>
      <c r="G64" s="1368"/>
      <c r="H64" s="1368"/>
      <c r="I64" s="1368"/>
    </row>
    <row r="65" spans="3:3">
      <c r="C65" s="1364"/>
    </row>
    <row r="66" spans="3:3">
      <c r="C66" s="1364"/>
    </row>
    <row r="67" spans="3:3">
      <c r="C67" s="136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9B7C2-32A3-43D0-A4E9-AFA3C2612AA7}">
  <dimension ref="A1:M11"/>
  <sheetViews>
    <sheetView workbookViewId="0"/>
  </sheetViews>
  <sheetFormatPr defaultRowHeight="14.5"/>
  <cols>
    <col min="3" max="3" width="9.26953125" bestFit="1" customWidth="1"/>
    <col min="6" max="6" width="14.26953125" style="260" bestFit="1" customWidth="1"/>
    <col min="7" max="7" width="11.54296875" style="260" bestFit="1" customWidth="1"/>
    <col min="11" max="11" width="13.1796875" bestFit="1" customWidth="1"/>
    <col min="12" max="12" width="50.7265625" bestFit="1" customWidth="1"/>
    <col min="13" max="13" width="42.54296875" bestFit="1" customWidth="1"/>
  </cols>
  <sheetData>
    <row r="1" spans="1:13" ht="19" customHeight="1">
      <c r="A1" t="s">
        <v>153</v>
      </c>
      <c r="B1" t="s">
        <v>154</v>
      </c>
      <c r="C1" t="s">
        <v>155</v>
      </c>
      <c r="D1" t="s">
        <v>156</v>
      </c>
      <c r="E1" t="s">
        <v>157</v>
      </c>
      <c r="F1" s="260" t="s">
        <v>158</v>
      </c>
      <c r="G1" s="260" t="s">
        <v>159</v>
      </c>
      <c r="H1" t="s">
        <v>160</v>
      </c>
      <c r="I1" t="s">
        <v>161</v>
      </c>
      <c r="K1" s="1572" t="s">
        <v>162</v>
      </c>
      <c r="L1" t="s">
        <v>163</v>
      </c>
      <c r="M1" t="s">
        <v>164</v>
      </c>
    </row>
    <row r="2" spans="1:13">
      <c r="A2" s="1576" t="s">
        <v>165</v>
      </c>
      <c r="B2" t="s">
        <v>166</v>
      </c>
      <c r="C2">
        <v>116004</v>
      </c>
      <c r="D2">
        <v>114801</v>
      </c>
      <c r="E2">
        <f>VLOOKUP(A2,'MASTER DEFLATOR'!A:E,4,FALSE)</f>
        <v>79.081299999999999</v>
      </c>
      <c r="F2" s="260">
        <f t="shared" ref="F2:F9" si="0">C2*E2/$E$10</f>
        <v>89609.5438133383</v>
      </c>
      <c r="G2" s="260">
        <f t="shared" ref="G2:G9" si="1">D2*E2/$E$10</f>
        <v>88680.263088471533</v>
      </c>
      <c r="H2" s="78">
        <f t="shared" ref="H2:H10" si="2">(F2/G2)-1</f>
        <v>1.0479002796142778E-2</v>
      </c>
      <c r="I2" s="1586">
        <f t="shared" ref="I2:I9" si="3">(F2-G2)/1000</f>
        <v>0.92928072486676683</v>
      </c>
      <c r="K2" s="1207" t="s">
        <v>165</v>
      </c>
      <c r="L2">
        <v>1.0479002796142778E-2</v>
      </c>
      <c r="M2">
        <v>0.93358354304569369</v>
      </c>
    </row>
    <row r="3" spans="1:13">
      <c r="A3" s="1576" t="s">
        <v>167</v>
      </c>
      <c r="B3" t="s">
        <v>166</v>
      </c>
      <c r="C3">
        <v>119917.6</v>
      </c>
      <c r="D3">
        <v>117778</v>
      </c>
      <c r="E3">
        <f>VLOOKUP(A3,'MASTER DEFLATOR'!A:E,4,FALSE)</f>
        <v>80.325400000000002</v>
      </c>
      <c r="F3" s="260">
        <f t="shared" si="0"/>
        <v>94089.969287890272</v>
      </c>
      <c r="G3" s="260">
        <f t="shared" si="1"/>
        <v>92411.192375340572</v>
      </c>
      <c r="H3" s="78">
        <f t="shared" si="2"/>
        <v>1.8166380818149364E-2</v>
      </c>
      <c r="I3" s="130">
        <f t="shared" si="3"/>
        <v>1.6787769125496999</v>
      </c>
      <c r="K3" s="1207" t="s">
        <v>167</v>
      </c>
      <c r="L3">
        <v>1.8166380818149364E-2</v>
      </c>
      <c r="M3">
        <v>1.6862358875468344</v>
      </c>
    </row>
    <row r="4" spans="1:13">
      <c r="A4" s="1576" t="s">
        <v>168</v>
      </c>
      <c r="B4" t="s">
        <v>166</v>
      </c>
      <c r="C4">
        <v>123978.2</v>
      </c>
      <c r="D4">
        <v>120901.66666666701</v>
      </c>
      <c r="E4">
        <f>VLOOKUP(A4,'MASTER DEFLATOR'!A:E,4,FALSE)</f>
        <v>82.017099999999999</v>
      </c>
      <c r="F4" s="260">
        <f t="shared" si="0"/>
        <v>99324.694447111688</v>
      </c>
      <c r="G4" s="260">
        <f t="shared" si="1"/>
        <v>96859.940697745638</v>
      </c>
      <c r="H4" s="78">
        <f t="shared" si="2"/>
        <v>2.5446575040319219E-2</v>
      </c>
      <c r="I4" s="130">
        <f t="shared" si="3"/>
        <v>2.4647537493660492</v>
      </c>
      <c r="K4" s="1207" t="s">
        <v>168</v>
      </c>
      <c r="L4">
        <v>2.5446575040319219E-2</v>
      </c>
      <c r="M4">
        <v>2.475586302418451</v>
      </c>
    </row>
    <row r="5" spans="1:13">
      <c r="A5" s="1576" t="s">
        <v>169</v>
      </c>
      <c r="B5" t="s">
        <v>166</v>
      </c>
      <c r="C5">
        <v>132658.79999999999</v>
      </c>
      <c r="D5">
        <v>125679.25</v>
      </c>
      <c r="E5">
        <f>VLOOKUP(A5,'MASTER DEFLATOR'!A:E,4,FALSE)</f>
        <v>83.960499999999996</v>
      </c>
      <c r="F5" s="260">
        <f t="shared" si="0"/>
        <v>108797.41643333918</v>
      </c>
      <c r="G5" s="260">
        <f t="shared" si="1"/>
        <v>103073.28047049833</v>
      </c>
      <c r="H5" s="78">
        <f t="shared" si="2"/>
        <v>5.5534624848572856E-2</v>
      </c>
      <c r="I5" s="130">
        <f t="shared" si="3"/>
        <v>5.7241359628408537</v>
      </c>
      <c r="K5" s="1207" t="s">
        <v>169</v>
      </c>
      <c r="L5">
        <v>5.5534624848572633E-2</v>
      </c>
      <c r="M5">
        <v>5.7489171059391522</v>
      </c>
    </row>
    <row r="6" spans="1:13">
      <c r="A6" s="1576" t="s">
        <v>170</v>
      </c>
      <c r="B6" t="s">
        <v>166</v>
      </c>
      <c r="C6">
        <v>179156.25</v>
      </c>
      <c r="D6">
        <v>143873</v>
      </c>
      <c r="E6">
        <f>VLOOKUP(A6,'MASTER DEFLATOR'!A:E,4,FALSE)</f>
        <v>88.465500000000006</v>
      </c>
      <c r="F6" s="260">
        <f t="shared" si="0"/>
        <v>154815.1299703297</v>
      </c>
      <c r="G6" s="260">
        <f t="shared" si="1"/>
        <v>124325.64978459441</v>
      </c>
      <c r="H6" s="78">
        <f t="shared" si="2"/>
        <v>0.24523885649148913</v>
      </c>
      <c r="I6" s="130">
        <f t="shared" si="3"/>
        <v>30.489480185735285</v>
      </c>
      <c r="K6" s="1207" t="s">
        <v>170</v>
      </c>
      <c r="L6">
        <v>0.24523885649148913</v>
      </c>
      <c r="M6">
        <v>30.64181218972907</v>
      </c>
    </row>
    <row r="7" spans="1:13">
      <c r="A7" s="1576" t="s">
        <v>171</v>
      </c>
      <c r="B7" t="s">
        <v>166</v>
      </c>
      <c r="C7">
        <v>179011</v>
      </c>
      <c r="D7">
        <v>176516</v>
      </c>
      <c r="E7">
        <f>VLOOKUP(A7,'MASTER DEFLATOR'!A:E,4,FALSE)</f>
        <v>87.948599999999999</v>
      </c>
      <c r="F7" s="260">
        <f t="shared" si="0"/>
        <v>153785.76983844145</v>
      </c>
      <c r="G7" s="260">
        <f t="shared" si="1"/>
        <v>151642.35130132971</v>
      </c>
      <c r="H7" s="78">
        <f t="shared" si="2"/>
        <v>1.4134696004894698E-2</v>
      </c>
      <c r="I7" s="130">
        <f t="shared" si="3"/>
        <v>2.1434185371117493</v>
      </c>
      <c r="K7" s="1207" t="s">
        <v>171</v>
      </c>
      <c r="L7">
        <v>1.4134696004894698E-2</v>
      </c>
      <c r="M7">
        <v>2.1494454986380296</v>
      </c>
    </row>
    <row r="8" spans="1:13">
      <c r="A8" s="1576" t="s">
        <v>172</v>
      </c>
      <c r="B8" t="s">
        <v>166</v>
      </c>
      <c r="C8">
        <v>172040</v>
      </c>
      <c r="D8">
        <v>168207</v>
      </c>
      <c r="E8">
        <f>VLOOKUP(A8,'MASTER DEFLATOR'!A:E,4,FALSE)</f>
        <v>94.217500000000001</v>
      </c>
      <c r="F8" s="260">
        <f t="shared" si="0"/>
        <v>158331.93231432285</v>
      </c>
      <c r="G8" s="260">
        <f t="shared" si="1"/>
        <v>154804.3439827674</v>
      </c>
      <c r="H8" s="78">
        <f t="shared" si="2"/>
        <v>2.2787398859738239E-2</v>
      </c>
      <c r="I8" s="130">
        <f t="shared" si="3"/>
        <v>3.527588331555453</v>
      </c>
      <c r="K8" s="1207" t="s">
        <v>172</v>
      </c>
      <c r="L8">
        <v>2.2787398859738239E-2</v>
      </c>
      <c r="M8">
        <v>3.5246794523138085</v>
      </c>
    </row>
    <row r="9" spans="1:13">
      <c r="A9" s="1576" t="s">
        <v>173</v>
      </c>
      <c r="B9" t="s">
        <v>166</v>
      </c>
      <c r="C9">
        <v>177927</v>
      </c>
      <c r="D9">
        <v>173428</v>
      </c>
      <c r="E9">
        <f>VLOOKUP(A9,'MASTER DEFLATOR'!A:E,4,FALSE)</f>
        <v>100</v>
      </c>
      <c r="F9" s="260">
        <f t="shared" si="0"/>
        <v>173799.8342932114</v>
      </c>
      <c r="G9" s="260">
        <f t="shared" si="1"/>
        <v>169405.19236430147</v>
      </c>
      <c r="H9" s="78">
        <f t="shared" si="2"/>
        <v>2.5941601125539115E-2</v>
      </c>
      <c r="I9" s="130">
        <f t="shared" si="3"/>
        <v>4.3946419289099286</v>
      </c>
      <c r="K9" s="1207" t="s">
        <v>173</v>
      </c>
      <c r="L9">
        <v>2.5941601125539338E-2</v>
      </c>
      <c r="M9">
        <v>4.3946419289099579</v>
      </c>
    </row>
    <row r="10" spans="1:13">
      <c r="A10" s="1576" t="s">
        <v>174</v>
      </c>
      <c r="B10" t="s">
        <v>166</v>
      </c>
      <c r="C10" t="s">
        <v>175</v>
      </c>
      <c r="D10">
        <v>178960.66666666701</v>
      </c>
      <c r="E10">
        <f>VLOOKUP(A10,'MASTER DEFLATOR'!A:E,4,FALSE)</f>
        <v>102.37466607696864</v>
      </c>
      <c r="F10" s="1585">
        <v>190.2</v>
      </c>
      <c r="G10" s="260">
        <v>179.6</v>
      </c>
      <c r="H10" s="78">
        <f t="shared" si="2"/>
        <v>5.9020044543429906E-2</v>
      </c>
      <c r="I10" s="130">
        <f>(F10-G10)</f>
        <v>10.599999999999994</v>
      </c>
      <c r="K10" s="1207" t="s">
        <v>174</v>
      </c>
      <c r="L10">
        <v>5.9020044543429906E-2</v>
      </c>
      <c r="M10">
        <v>10.599999999999994</v>
      </c>
    </row>
    <row r="11" spans="1:13">
      <c r="K11" s="1207" t="s">
        <v>176</v>
      </c>
      <c r="L11">
        <v>0.47674918052827531</v>
      </c>
      <c r="M11">
        <v>62.154901908540985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6AA3A-A5AC-4ECC-9431-09E3248168CD}">
  <sheetPr>
    <tabColor theme="5"/>
  </sheetPr>
  <dimension ref="A1:Z99"/>
  <sheetViews>
    <sheetView zoomScale="71" zoomScaleNormal="70" workbookViewId="0">
      <pane xSplit="1" topLeftCell="F1" activePane="topRight" state="frozen"/>
      <selection activeCell="A4" sqref="A4"/>
      <selection pane="topRight" activeCell="F8" sqref="F8"/>
    </sheetView>
  </sheetViews>
  <sheetFormatPr defaultRowHeight="14.5"/>
  <cols>
    <col min="1" max="1" width="52.453125" bestFit="1" customWidth="1"/>
    <col min="2" max="5" width="18" hidden="1" customWidth="1"/>
    <col min="6" max="6" width="20.1796875" customWidth="1"/>
    <col min="7" max="7" width="18" customWidth="1"/>
    <col min="8" max="8" width="15.453125" customWidth="1"/>
    <col min="9" max="9" width="15.81640625" customWidth="1"/>
    <col min="10" max="10" width="16.453125" customWidth="1"/>
    <col min="11" max="11" width="15.1796875" customWidth="1"/>
    <col min="12" max="12" width="19.453125" customWidth="1"/>
    <col min="13" max="13" width="15.453125" bestFit="1" customWidth="1"/>
    <col min="14" max="15" width="10.54296875" bestFit="1" customWidth="1"/>
    <col min="16" max="16" width="15.54296875" bestFit="1" customWidth="1"/>
    <col min="17" max="17" width="15.26953125" customWidth="1"/>
    <col min="18" max="18" width="21.54296875" customWidth="1"/>
    <col min="19" max="19" width="45.1796875" customWidth="1"/>
    <col min="20" max="20" width="24.54296875" customWidth="1"/>
    <col min="21" max="21" width="21.81640625" customWidth="1"/>
    <col min="22" max="22" width="20.81640625" customWidth="1"/>
    <col min="23" max="23" width="22.54296875" customWidth="1"/>
    <col min="24" max="24" width="19.453125" customWidth="1"/>
    <col min="25" max="25" width="10.453125" bestFit="1" customWidth="1"/>
  </cols>
  <sheetData>
    <row r="1" spans="1:24">
      <c r="A1" t="s">
        <v>177</v>
      </c>
      <c r="F1" s="1611"/>
      <c r="G1" s="1612"/>
      <c r="H1" s="1612"/>
      <c r="K1" s="702" t="s">
        <v>178</v>
      </c>
      <c r="L1" s="702"/>
      <c r="M1" s="702"/>
      <c r="N1" s="702"/>
      <c r="O1" s="1033" t="s">
        <v>179</v>
      </c>
      <c r="P1" s="43" t="s">
        <v>180</v>
      </c>
      <c r="Q1" s="1033"/>
      <c r="R1" s="1033"/>
      <c r="S1" s="76" t="s">
        <v>181</v>
      </c>
    </row>
    <row r="2" spans="1:24">
      <c r="F2" s="1611"/>
      <c r="G2" s="1612"/>
      <c r="H2" s="1612"/>
      <c r="K2" s="1034" t="s">
        <v>182</v>
      </c>
      <c r="L2" s="702"/>
      <c r="M2" s="702"/>
      <c r="N2" s="702"/>
      <c r="O2" s="1032" t="s">
        <v>183</v>
      </c>
      <c r="P2" s="1112" t="s">
        <v>184</v>
      </c>
      <c r="Q2" s="1033"/>
      <c r="R2" s="1033"/>
    </row>
    <row r="3" spans="1:24">
      <c r="A3" s="76" t="s">
        <v>185</v>
      </c>
      <c r="B3" s="76"/>
      <c r="C3" s="76"/>
      <c r="D3" s="76"/>
      <c r="E3" s="76"/>
      <c r="F3" s="76"/>
      <c r="G3" s="76"/>
      <c r="H3" s="76"/>
      <c r="I3" s="76"/>
      <c r="J3" s="76"/>
    </row>
    <row r="4" spans="1:24" ht="15" thickBot="1">
      <c r="F4" s="136" t="s">
        <v>186</v>
      </c>
      <c r="P4" s="51">
        <f>R10-P10</f>
        <v>20.956378695077007</v>
      </c>
      <c r="Q4" s="900"/>
      <c r="R4" s="51"/>
    </row>
    <row r="5" spans="1:24">
      <c r="A5" s="1754" t="s">
        <v>187</v>
      </c>
      <c r="B5" s="1492"/>
      <c r="C5" s="1491" t="s">
        <v>188</v>
      </c>
      <c r="D5" s="1491" t="s">
        <v>189</v>
      </c>
      <c r="E5" s="1491" t="s">
        <v>190</v>
      </c>
      <c r="F5" s="1432" t="s">
        <v>191</v>
      </c>
      <c r="G5" s="1432" t="s">
        <v>192</v>
      </c>
      <c r="H5" s="1432" t="s">
        <v>193</v>
      </c>
      <c r="I5" s="1432" t="s">
        <v>165</v>
      </c>
      <c r="J5" s="1432" t="s">
        <v>167</v>
      </c>
      <c r="K5" s="1432" t="s">
        <v>168</v>
      </c>
      <c r="L5" s="1432" t="s">
        <v>169</v>
      </c>
      <c r="M5" s="1432" t="s">
        <v>170</v>
      </c>
      <c r="N5" s="1432" t="s">
        <v>171</v>
      </c>
      <c r="O5" s="1551" t="s">
        <v>172</v>
      </c>
      <c r="P5" s="1432" t="s">
        <v>173</v>
      </c>
      <c r="Q5" s="1432" t="s">
        <v>174</v>
      </c>
      <c r="R5" s="1431" t="s">
        <v>139</v>
      </c>
      <c r="S5" s="1450"/>
      <c r="U5" s="1756" t="s">
        <v>194</v>
      </c>
      <c r="V5" s="1757"/>
      <c r="W5" s="1757" t="s">
        <v>195</v>
      </c>
      <c r="X5" s="1758"/>
    </row>
    <row r="6" spans="1:24" ht="15" thickBot="1">
      <c r="A6" s="1755"/>
      <c r="B6" s="1490"/>
      <c r="C6" s="1489" t="s">
        <v>196</v>
      </c>
      <c r="D6" s="1489" t="s">
        <v>196</v>
      </c>
      <c r="E6" s="1489" t="s">
        <v>196</v>
      </c>
      <c r="F6" s="1534" t="s">
        <v>196</v>
      </c>
      <c r="G6" s="1534" t="s">
        <v>196</v>
      </c>
      <c r="H6" s="1534" t="s">
        <v>196</v>
      </c>
      <c r="I6" s="1534" t="s">
        <v>196</v>
      </c>
      <c r="J6" s="1534" t="s">
        <v>196</v>
      </c>
      <c r="K6" s="1534" t="s">
        <v>196</v>
      </c>
      <c r="L6" s="1534" t="s">
        <v>196</v>
      </c>
      <c r="M6" s="1534" t="s">
        <v>196</v>
      </c>
      <c r="N6" s="1534" t="s">
        <v>196</v>
      </c>
      <c r="O6" s="1552" t="s">
        <v>196</v>
      </c>
      <c r="P6" s="1534" t="s">
        <v>196</v>
      </c>
      <c r="Q6" s="1534" t="s">
        <v>197</v>
      </c>
      <c r="R6" s="1535" t="s">
        <v>152</v>
      </c>
      <c r="S6" s="1449"/>
      <c r="T6" s="1578"/>
      <c r="U6" s="1454" t="s">
        <v>198</v>
      </c>
      <c r="V6" s="1453" t="s">
        <v>199</v>
      </c>
      <c r="W6" s="1453" t="s">
        <v>200</v>
      </c>
      <c r="X6" s="1452" t="s">
        <v>201</v>
      </c>
    </row>
    <row r="7" spans="1:24" ht="15" thickBot="1">
      <c r="A7" s="1485" t="s">
        <v>202</v>
      </c>
      <c r="B7" s="76"/>
      <c r="C7" s="1602"/>
      <c r="D7" s="1602"/>
      <c r="E7" s="1602"/>
      <c r="F7" s="1470">
        <f t="shared" ref="F7:O7" si="0">F9+F17</f>
        <v>109.77430665328011</v>
      </c>
      <c r="G7" s="1470">
        <f t="shared" si="0"/>
        <v>113.344612</v>
      </c>
      <c r="H7" s="1470">
        <f t="shared" si="0"/>
        <v>117.247606</v>
      </c>
      <c r="I7" s="1470">
        <f t="shared" si="0"/>
        <v>121.556</v>
      </c>
      <c r="J7" s="1470">
        <f t="shared" si="0"/>
        <v>125.15600000000001</v>
      </c>
      <c r="K7" s="1470">
        <f t="shared" si="0"/>
        <v>128.39599999999999</v>
      </c>
      <c r="L7" s="1470">
        <f t="shared" si="0"/>
        <v>138.45499999999998</v>
      </c>
      <c r="M7" s="1470">
        <f t="shared" si="0"/>
        <v>190.61</v>
      </c>
      <c r="N7" s="1470">
        <f t="shared" si="0"/>
        <v>187.274</v>
      </c>
      <c r="O7" s="1567">
        <f t="shared" si="0"/>
        <v>182.131</v>
      </c>
      <c r="P7" s="1598">
        <f>P9+P17</f>
        <v>188.46899999999999</v>
      </c>
      <c r="Q7" s="1568">
        <f t="shared" ref="Q7" si="1">Q9+Q17</f>
        <v>201.905225</v>
      </c>
      <c r="R7" s="1569">
        <f>R9+R17</f>
        <v>214.09629687395767</v>
      </c>
      <c r="S7" s="1599"/>
      <c r="T7" s="1578"/>
      <c r="U7" s="1600"/>
      <c r="V7" s="1038"/>
      <c r="W7" s="1038"/>
      <c r="X7" s="1601"/>
    </row>
    <row r="8" spans="1:24">
      <c r="A8" s="1485" t="s">
        <v>203</v>
      </c>
      <c r="B8" s="1121"/>
      <c r="C8" s="1121"/>
      <c r="D8" s="1121"/>
      <c r="E8" s="1121"/>
      <c r="F8" s="1470">
        <f t="shared" ref="F8:O8" si="2">F14+F17</f>
        <v>109.77430665328011</v>
      </c>
      <c r="G8" s="1470">
        <f t="shared" si="2"/>
        <v>113.344612</v>
      </c>
      <c r="H8" s="1470">
        <f t="shared" si="2"/>
        <v>117.247606</v>
      </c>
      <c r="I8" s="1470">
        <f t="shared" si="2"/>
        <v>121.556</v>
      </c>
      <c r="J8" s="1470">
        <f t="shared" si="2"/>
        <v>125.15600000000001</v>
      </c>
      <c r="K8" s="1470">
        <f t="shared" si="2"/>
        <v>128.39599999999999</v>
      </c>
      <c r="L8" s="1470">
        <f t="shared" si="2"/>
        <v>135.60399999999998</v>
      </c>
      <c r="M8" s="1470">
        <f t="shared" si="2"/>
        <v>187.75900000000001</v>
      </c>
      <c r="N8" s="1470">
        <f t="shared" si="2"/>
        <v>184.423</v>
      </c>
      <c r="O8" s="1567">
        <f t="shared" si="2"/>
        <v>179.28</v>
      </c>
      <c r="P8" s="1598">
        <f>P14+P17</f>
        <v>185.61799999999999</v>
      </c>
      <c r="Q8" s="1568">
        <f>Q14+Q17</f>
        <v>197.089225</v>
      </c>
      <c r="R8" s="1569">
        <f>R14+R17</f>
        <v>209.28029687395767</v>
      </c>
      <c r="S8" s="1466"/>
      <c r="T8" s="900">
        <f>R10-Q10</f>
        <v>10.541078695077005</v>
      </c>
      <c r="U8" s="1460">
        <f t="shared" ref="U8:V17" si="3">P8/O8-1</f>
        <v>3.5352521195894715E-2</v>
      </c>
      <c r="V8" s="1459">
        <f t="shared" si="3"/>
        <v>6.1800175629518783E-2</v>
      </c>
      <c r="W8" s="1237">
        <f t="shared" ref="W8:X17" si="4">P8-O8</f>
        <v>6.3379999999999939</v>
      </c>
      <c r="X8" s="1458">
        <f t="shared" si="4"/>
        <v>11.471225000000004</v>
      </c>
    </row>
    <row r="9" spans="1:24" ht="43.5">
      <c r="A9" s="1484" t="s">
        <v>204</v>
      </c>
      <c r="B9" s="39"/>
      <c r="C9" s="39"/>
      <c r="D9" s="39"/>
      <c r="E9" s="39"/>
      <c r="F9" s="1470">
        <v>104.40736065328011</v>
      </c>
      <c r="G9" s="1470">
        <v>108.373357</v>
      </c>
      <c r="H9" s="1470">
        <v>112.595276</v>
      </c>
      <c r="I9" s="1470">
        <v>117</v>
      </c>
      <c r="J9" s="1470">
        <v>119.91800000000001</v>
      </c>
      <c r="K9" s="1470">
        <v>122.455</v>
      </c>
      <c r="L9" s="1470">
        <v>131.44</v>
      </c>
      <c r="M9" s="1470">
        <v>177.90600000000001</v>
      </c>
      <c r="N9" s="1470">
        <v>178.155</v>
      </c>
      <c r="O9" s="1561">
        <v>172.28299999999999</v>
      </c>
      <c r="P9" s="1562">
        <f>'T5.4'!C7</f>
        <v>177.92699999999999</v>
      </c>
      <c r="Q9" s="1562">
        <f>'T5.4'!D7</f>
        <v>190.12951799999999</v>
      </c>
      <c r="R9" s="1562">
        <f>'T5.4'!E7</f>
        <v>200.49934437966382</v>
      </c>
      <c r="S9" s="1465" t="s">
        <v>205</v>
      </c>
      <c r="T9" s="1688">
        <f>T8+10.4</f>
        <v>20.941078695077003</v>
      </c>
      <c r="U9" s="1460">
        <f>P9/O9-1</f>
        <v>3.2760051775276855E-2</v>
      </c>
      <c r="V9" s="1459">
        <f t="shared" si="3"/>
        <v>6.8581598071119076E-2</v>
      </c>
      <c r="W9" s="1237">
        <f t="shared" si="4"/>
        <v>5.6440000000000055</v>
      </c>
      <c r="X9" s="1458">
        <f t="shared" si="4"/>
        <v>12.202517999999998</v>
      </c>
    </row>
    <row r="10" spans="1:24" s="155" customFormat="1" ht="29">
      <c r="A10" s="1678" t="s">
        <v>129</v>
      </c>
      <c r="F10" s="1679">
        <v>93.695999999999998</v>
      </c>
      <c r="G10" s="1679">
        <v>97.097999999999999</v>
      </c>
      <c r="H10" s="1679">
        <v>100.572</v>
      </c>
      <c r="I10" s="1679">
        <v>105.735</v>
      </c>
      <c r="J10" s="1679">
        <v>109.605</v>
      </c>
      <c r="K10" s="1679">
        <v>112.42700000000001</v>
      </c>
      <c r="L10" s="1679">
        <v>126.44199999999999</v>
      </c>
      <c r="M10" s="1679">
        <v>146.018</v>
      </c>
      <c r="N10" s="1679">
        <v>152.31700000000001</v>
      </c>
      <c r="O10" s="1680">
        <v>160.93899999999999</v>
      </c>
      <c r="P10" s="1681">
        <f>'T5.4'!C8</f>
        <v>170.999</v>
      </c>
      <c r="Q10" s="1681">
        <f>'T5.4'!D8</f>
        <v>181.4143</v>
      </c>
      <c r="R10" s="1681">
        <f>'T5.4'!E8</f>
        <v>191.955378695077</v>
      </c>
      <c r="S10" s="1682" t="s">
        <v>206</v>
      </c>
      <c r="T10" s="1683">
        <f>T9/25.6</f>
        <v>0.81801088652644538</v>
      </c>
      <c r="U10" s="1684">
        <f t="shared" si="3"/>
        <v>6.2508155263795606E-2</v>
      </c>
      <c r="V10" s="1685">
        <f t="shared" si="3"/>
        <v>6.0908543324814879E-2</v>
      </c>
      <c r="W10" s="1200">
        <f t="shared" si="4"/>
        <v>10.060000000000002</v>
      </c>
      <c r="X10" s="1686">
        <f t="shared" si="4"/>
        <v>10.415300000000002</v>
      </c>
    </row>
    <row r="11" spans="1:24">
      <c r="A11" s="1484" t="s">
        <v>207</v>
      </c>
      <c r="B11" s="39"/>
      <c r="C11" s="39"/>
      <c r="D11" s="39"/>
      <c r="E11" s="39"/>
      <c r="F11" s="1470">
        <v>0</v>
      </c>
      <c r="G11" s="1470">
        <v>0</v>
      </c>
      <c r="H11" s="1470">
        <v>0</v>
      </c>
      <c r="I11" s="1470">
        <v>0</v>
      </c>
      <c r="J11" s="1470">
        <v>0</v>
      </c>
      <c r="K11" s="1470">
        <v>0</v>
      </c>
      <c r="L11" s="1470">
        <v>2.851</v>
      </c>
      <c r="M11" s="1470">
        <v>2.851</v>
      </c>
      <c r="N11" s="1470">
        <v>2.851</v>
      </c>
      <c r="O11" s="1561">
        <v>2.851</v>
      </c>
      <c r="P11" s="1562">
        <v>2.851</v>
      </c>
      <c r="Q11" s="1562">
        <v>2.851</v>
      </c>
      <c r="R11" s="1562">
        <v>2.851</v>
      </c>
      <c r="S11" s="1464"/>
      <c r="T11" s="171">
        <f>R10/R7</f>
        <v>0.8965843010731035</v>
      </c>
      <c r="U11" s="1460"/>
      <c r="V11" s="1459"/>
      <c r="W11" s="1237"/>
      <c r="X11" s="1458"/>
    </row>
    <row r="12" spans="1:24">
      <c r="A12" s="1484" t="s">
        <v>208</v>
      </c>
      <c r="B12" s="39"/>
      <c r="C12" s="39"/>
      <c r="D12" s="39"/>
      <c r="E12" s="39"/>
      <c r="F12" s="1470">
        <v>0</v>
      </c>
      <c r="G12" s="1470">
        <v>0</v>
      </c>
      <c r="H12" s="1470">
        <v>0</v>
      </c>
      <c r="I12" s="1470">
        <v>0</v>
      </c>
      <c r="J12" s="1470">
        <v>0</v>
      </c>
      <c r="K12" s="1470">
        <v>0</v>
      </c>
      <c r="L12" s="1470">
        <v>0</v>
      </c>
      <c r="M12" s="1470">
        <v>0</v>
      </c>
      <c r="N12" s="1470">
        <v>0</v>
      </c>
      <c r="O12" s="1561">
        <v>0</v>
      </c>
      <c r="P12" s="1562">
        <v>0</v>
      </c>
      <c r="Q12" s="1562">
        <v>1.9650000000000001</v>
      </c>
      <c r="R12" s="1562">
        <v>1.9650000000000001</v>
      </c>
      <c r="S12" s="1466" t="s">
        <v>209</v>
      </c>
      <c r="T12" s="171">
        <f>R10-P10</f>
        <v>20.956378695077007</v>
      </c>
      <c r="U12" s="1460" t="e">
        <f t="shared" si="3"/>
        <v>#DIV/0!</v>
      </c>
      <c r="V12" s="1459" t="e">
        <f t="shared" si="3"/>
        <v>#DIV/0!</v>
      </c>
      <c r="W12" s="1237">
        <f t="shared" si="4"/>
        <v>0</v>
      </c>
      <c r="X12" s="1458">
        <f t="shared" si="4"/>
        <v>1.9650000000000001</v>
      </c>
    </row>
    <row r="13" spans="1:24">
      <c r="A13" s="1484" t="s">
        <v>210</v>
      </c>
      <c r="B13" s="39"/>
      <c r="C13" s="39"/>
      <c r="D13" s="39"/>
      <c r="E13" s="39"/>
      <c r="F13" s="1470">
        <v>0</v>
      </c>
      <c r="G13" s="1470">
        <v>0</v>
      </c>
      <c r="H13" s="1470">
        <v>0</v>
      </c>
      <c r="I13" s="1470">
        <v>0</v>
      </c>
      <c r="J13" s="1470">
        <v>0</v>
      </c>
      <c r="K13" s="1470">
        <v>0</v>
      </c>
      <c r="L13" s="1470">
        <v>0</v>
      </c>
      <c r="M13" s="1470">
        <v>0</v>
      </c>
      <c r="N13" s="1470">
        <v>0</v>
      </c>
      <c r="O13" s="1562">
        <v>0</v>
      </c>
      <c r="P13" s="1562">
        <v>0</v>
      </c>
      <c r="Q13" s="1562">
        <v>0</v>
      </c>
      <c r="R13" s="1562">
        <v>0</v>
      </c>
      <c r="S13" s="1466"/>
      <c r="T13" s="171"/>
      <c r="U13" s="1460" t="e">
        <f t="shared" si="3"/>
        <v>#DIV/0!</v>
      </c>
      <c r="V13" s="1459"/>
      <c r="W13" s="1237">
        <f t="shared" si="4"/>
        <v>0</v>
      </c>
      <c r="X13" s="1458"/>
    </row>
    <row r="14" spans="1:24">
      <c r="A14" s="1484" t="s">
        <v>211</v>
      </c>
      <c r="B14" s="39"/>
      <c r="C14" s="39"/>
      <c r="D14" s="39"/>
      <c r="E14" s="39"/>
      <c r="F14" s="1470">
        <f t="shared" ref="F14:R14" si="5">F9-F11-F12-F13</f>
        <v>104.40736065328011</v>
      </c>
      <c r="G14" s="1470">
        <f t="shared" si="5"/>
        <v>108.373357</v>
      </c>
      <c r="H14" s="1470">
        <f t="shared" si="5"/>
        <v>112.595276</v>
      </c>
      <c r="I14" s="1470">
        <f t="shared" si="5"/>
        <v>117</v>
      </c>
      <c r="J14" s="1470">
        <f t="shared" si="5"/>
        <v>119.91800000000001</v>
      </c>
      <c r="K14" s="1470">
        <f t="shared" si="5"/>
        <v>122.455</v>
      </c>
      <c r="L14" s="1470">
        <f t="shared" si="5"/>
        <v>128.589</v>
      </c>
      <c r="M14" s="1470">
        <f t="shared" si="5"/>
        <v>175.05500000000001</v>
      </c>
      <c r="N14" s="1470">
        <f t="shared" si="5"/>
        <v>175.304</v>
      </c>
      <c r="O14" s="1603">
        <f t="shared" si="5"/>
        <v>169.43199999999999</v>
      </c>
      <c r="P14" s="1603">
        <f t="shared" si="5"/>
        <v>175.07599999999999</v>
      </c>
      <c r="Q14" s="1603">
        <f>Q9-Q11-Q12-Q13</f>
        <v>185.31351799999999</v>
      </c>
      <c r="R14" s="1603">
        <f t="shared" si="5"/>
        <v>195.68334437966382</v>
      </c>
      <c r="S14" s="1466"/>
      <c r="T14" s="171"/>
      <c r="U14" s="1460"/>
      <c r="V14" s="1459"/>
      <c r="W14" s="1237"/>
      <c r="X14" s="1458"/>
    </row>
    <row r="15" spans="1:24">
      <c r="A15" s="1484" t="s">
        <v>212</v>
      </c>
      <c r="B15" s="39"/>
      <c r="C15" s="39"/>
      <c r="D15" s="39"/>
      <c r="E15" s="39"/>
      <c r="F15" s="1470">
        <f t="shared" ref="F15:Q15" si="6">F10-F12-F11</f>
        <v>93.695999999999998</v>
      </c>
      <c r="G15" s="1470">
        <f t="shared" si="6"/>
        <v>97.097999999999999</v>
      </c>
      <c r="H15" s="1470">
        <f t="shared" si="6"/>
        <v>100.572</v>
      </c>
      <c r="I15" s="1470">
        <f t="shared" si="6"/>
        <v>105.735</v>
      </c>
      <c r="J15" s="1470">
        <f t="shared" si="6"/>
        <v>109.605</v>
      </c>
      <c r="K15" s="1467">
        <f t="shared" si="6"/>
        <v>112.42700000000001</v>
      </c>
      <c r="L15" s="1470">
        <f t="shared" si="6"/>
        <v>123.59099999999999</v>
      </c>
      <c r="M15" s="1470">
        <f t="shared" si="6"/>
        <v>143.167</v>
      </c>
      <c r="N15" s="1470">
        <f t="shared" si="6"/>
        <v>149.46600000000001</v>
      </c>
      <c r="O15" s="1561">
        <f t="shared" si="6"/>
        <v>158.08799999999999</v>
      </c>
      <c r="P15" s="1562">
        <f t="shared" si="6"/>
        <v>168.148</v>
      </c>
      <c r="Q15" s="1562">
        <f t="shared" si="6"/>
        <v>176.59829999999999</v>
      </c>
      <c r="R15" s="1570">
        <f>R10-R12-R11</f>
        <v>187.139378695077</v>
      </c>
      <c r="S15" s="1466"/>
      <c r="T15" s="171"/>
      <c r="U15" s="1460">
        <f t="shared" si="3"/>
        <v>6.3635443550427606E-2</v>
      </c>
      <c r="V15" s="1459">
        <f t="shared" si="3"/>
        <v>5.0255132383376644E-2</v>
      </c>
      <c r="W15" s="1237">
        <f t="shared" si="4"/>
        <v>10.060000000000002</v>
      </c>
      <c r="X15" s="1458">
        <f t="shared" si="4"/>
        <v>8.4502999999999986</v>
      </c>
    </row>
    <row r="16" spans="1:24">
      <c r="A16" s="1484" t="s">
        <v>213</v>
      </c>
      <c r="B16" s="39"/>
      <c r="C16" s="39"/>
      <c r="D16" s="39"/>
      <c r="E16" s="39"/>
      <c r="F16" s="1470">
        <f>F9-F10</f>
        <v>10.71136065328011</v>
      </c>
      <c r="G16" s="1470">
        <f t="shared" ref="G16:P16" si="7">G9-G10</f>
        <v>11.275357</v>
      </c>
      <c r="H16" s="1470">
        <f t="shared" si="7"/>
        <v>12.023275999999996</v>
      </c>
      <c r="I16" s="1470">
        <f t="shared" si="7"/>
        <v>11.265000000000001</v>
      </c>
      <c r="J16" s="1470">
        <f t="shared" si="7"/>
        <v>10.313000000000002</v>
      </c>
      <c r="K16" s="1470">
        <f t="shared" si="7"/>
        <v>10.027999999999992</v>
      </c>
      <c r="L16" s="1470">
        <f>L9-L10</f>
        <v>4.9980000000000047</v>
      </c>
      <c r="M16" s="1470">
        <f>M9-M10</f>
        <v>31.888000000000005</v>
      </c>
      <c r="N16" s="1470">
        <f t="shared" si="7"/>
        <v>25.837999999999994</v>
      </c>
      <c r="O16" s="1561">
        <f t="shared" si="7"/>
        <v>11.343999999999994</v>
      </c>
      <c r="P16" s="1562">
        <f t="shared" si="7"/>
        <v>6.9279999999999973</v>
      </c>
      <c r="Q16" s="1562">
        <f>Q9-Q10</f>
        <v>8.715217999999993</v>
      </c>
      <c r="R16" s="1570">
        <f>R9-R10</f>
        <v>8.5439656845868228</v>
      </c>
      <c r="S16" s="1466"/>
      <c r="T16" s="171"/>
      <c r="U16" s="1460">
        <f t="shared" si="3"/>
        <v>-0.38928067700987301</v>
      </c>
      <c r="V16" s="1459">
        <f t="shared" si="3"/>
        <v>0.25797026558891401</v>
      </c>
      <c r="W16" s="1237">
        <f t="shared" si="4"/>
        <v>-4.4159999999999968</v>
      </c>
      <c r="X16" s="1458">
        <f t="shared" si="4"/>
        <v>1.7872179999999958</v>
      </c>
    </row>
    <row r="17" spans="1:24" ht="45.65" customHeight="1" thickBot="1">
      <c r="A17" s="1484" t="s">
        <v>214</v>
      </c>
      <c r="B17" s="39">
        <v>5.3760000000000003</v>
      </c>
      <c r="C17" s="39">
        <v>5.78</v>
      </c>
      <c r="D17" s="39"/>
      <c r="E17" s="39"/>
      <c r="F17" s="1470">
        <v>5.3669460000000004</v>
      </c>
      <c r="G17" s="1470">
        <v>4.9712550000000002</v>
      </c>
      <c r="H17" s="1470">
        <v>4.6523300000000001</v>
      </c>
      <c r="I17" s="1470">
        <v>4.556</v>
      </c>
      <c r="J17" s="1470">
        <v>5.2380000000000004</v>
      </c>
      <c r="K17" s="1470">
        <v>5.9409999999999998</v>
      </c>
      <c r="L17" s="1470">
        <v>7.0149999999999997</v>
      </c>
      <c r="M17" s="1470">
        <v>12.704000000000001</v>
      </c>
      <c r="N17" s="1470">
        <v>9.1189999999999998</v>
      </c>
      <c r="O17" s="1561">
        <v>9.8480000000000008</v>
      </c>
      <c r="P17" s="1562">
        <f>'T5.6'!C7</f>
        <v>10.542</v>
      </c>
      <c r="Q17" s="1562">
        <f>'T5.6'!D7</f>
        <v>11.775707000000001</v>
      </c>
      <c r="R17" s="1562">
        <f>'T5.6'!E7</f>
        <v>13.596952494293854</v>
      </c>
      <c r="S17" s="1465" t="s">
        <v>215</v>
      </c>
      <c r="T17" s="171"/>
      <c r="U17" s="1457">
        <f t="shared" si="3"/>
        <v>7.0471161657189141E-2</v>
      </c>
      <c r="V17" s="1479">
        <f t="shared" si="3"/>
        <v>0.11702779358755455</v>
      </c>
      <c r="W17" s="1456">
        <f t="shared" si="4"/>
        <v>0.69399999999999906</v>
      </c>
      <c r="X17" s="1455">
        <f t="shared" si="4"/>
        <v>1.2337070000000008</v>
      </c>
    </row>
    <row r="18" spans="1:24" ht="15" thickBot="1">
      <c r="A18" s="1483" t="s">
        <v>216</v>
      </c>
      <c r="B18" s="1477"/>
      <c r="C18" s="1477"/>
      <c r="D18" s="1477"/>
      <c r="E18" s="1477"/>
      <c r="F18" s="1480"/>
      <c r="G18" s="1479"/>
      <c r="H18" s="1478"/>
      <c r="I18" s="1477"/>
      <c r="J18" s="1477"/>
      <c r="K18" s="1476"/>
      <c r="L18" s="1476"/>
      <c r="M18" s="1476"/>
      <c r="N18" s="1476"/>
      <c r="O18" s="1563"/>
      <c r="P18" s="1564"/>
      <c r="Q18" s="1565">
        <v>3.6</v>
      </c>
      <c r="R18" s="1566"/>
      <c r="S18" s="1475"/>
      <c r="T18" s="1016"/>
    </row>
    <row r="19" spans="1:24">
      <c r="F19" s="1262"/>
      <c r="G19" s="583"/>
      <c r="H19" s="162"/>
      <c r="K19" s="1344"/>
      <c r="L19" s="1016"/>
      <c r="M19" s="1016"/>
      <c r="N19" s="1244"/>
      <c r="O19" s="1016"/>
      <c r="P19" s="1016"/>
      <c r="Q19" s="1016"/>
      <c r="R19" s="562">
        <f ca="1">R45/K45</f>
        <v>1.7908264450874081</v>
      </c>
      <c r="S19" s="590"/>
      <c r="T19" s="1578">
        <f>(R7-P7)/P7</f>
        <v>0.13597619170238967</v>
      </c>
    </row>
    <row r="20" spans="1:24" ht="15" thickBot="1">
      <c r="F20" s="1262"/>
      <c r="G20" s="583"/>
      <c r="H20" s="162"/>
      <c r="K20" s="1344"/>
      <c r="L20" s="1016"/>
      <c r="M20" s="1016"/>
      <c r="N20" s="1016"/>
      <c r="O20" s="1016"/>
      <c r="P20" s="1016"/>
      <c r="Q20" s="1016"/>
      <c r="R20" s="1016"/>
      <c r="S20" s="1689"/>
      <c r="T20" s="483">
        <f ca="1">R38/P38-1</f>
        <v>7.566073480876212E-2</v>
      </c>
      <c r="U20">
        <f ca="1">(R45/P45)^(1/2)-1</f>
        <v>0.10928416916091299</v>
      </c>
    </row>
    <row r="21" spans="1:24">
      <c r="A21" s="1436" t="s">
        <v>217</v>
      </c>
      <c r="B21" s="1488"/>
      <c r="C21" s="1488"/>
      <c r="D21" s="1488"/>
      <c r="E21" s="1488"/>
      <c r="F21" s="1446"/>
      <c r="G21" s="1463"/>
      <c r="H21" s="1445"/>
      <c r="I21" s="1488"/>
      <c r="J21" s="1488"/>
      <c r="K21" s="1444"/>
      <c r="L21" s="1443"/>
      <c r="M21" s="1443"/>
      <c r="N21" s="1672">
        <f>O21/O9</f>
        <v>0.49583221211611134</v>
      </c>
      <c r="O21" s="1553">
        <v>85.423461000000003</v>
      </c>
      <c r="P21" s="1443"/>
      <c r="Q21" s="1443"/>
      <c r="R21" s="1442"/>
      <c r="S21" s="1371" t="s">
        <v>218</v>
      </c>
    </row>
    <row r="22" spans="1:24">
      <c r="A22" s="1435" t="s">
        <v>219</v>
      </c>
      <c r="B22" s="39"/>
      <c r="C22" s="39"/>
      <c r="D22" s="39"/>
      <c r="E22" s="39"/>
      <c r="F22" s="1441"/>
      <c r="G22" s="1459"/>
      <c r="H22" s="1440"/>
      <c r="I22" s="39"/>
      <c r="J22" s="39"/>
      <c r="K22" s="1439"/>
      <c r="L22" s="1470"/>
      <c r="M22" s="1470"/>
      <c r="N22" s="1673">
        <f>O22/O9</f>
        <v>0.39735927514612585</v>
      </c>
      <c r="O22" s="1554">
        <v>68.458247999999998</v>
      </c>
      <c r="P22" s="39"/>
      <c r="Q22" s="1470"/>
      <c r="R22" s="1482"/>
      <c r="S22" s="1369" t="s">
        <v>220</v>
      </c>
    </row>
    <row r="23" spans="1:24">
      <c r="A23" s="1435" t="s">
        <v>221</v>
      </c>
      <c r="B23" s="39"/>
      <c r="C23" s="39"/>
      <c r="D23" s="39"/>
      <c r="E23" s="39"/>
      <c r="F23" s="1441"/>
      <c r="G23" s="1459"/>
      <c r="H23" s="1440"/>
      <c r="I23" s="39"/>
      <c r="J23" s="39"/>
      <c r="K23" s="1439"/>
      <c r="L23" s="1470"/>
      <c r="M23" s="1470"/>
      <c r="N23" s="1470"/>
      <c r="O23" s="1554">
        <v>9.9370499999999993</v>
      </c>
      <c r="P23" s="39"/>
      <c r="Q23" s="1470">
        <f>Q24-P24</f>
        <v>0</v>
      </c>
      <c r="R23" s="1482"/>
      <c r="S23" s="1370" t="s">
        <v>222</v>
      </c>
    </row>
    <row r="24" spans="1:24">
      <c r="A24" s="1435" t="s">
        <v>145</v>
      </c>
      <c r="B24" s="39"/>
      <c r="C24" s="39"/>
      <c r="D24" s="39"/>
      <c r="E24" s="39"/>
      <c r="F24" s="1441"/>
      <c r="G24" s="1459"/>
      <c r="H24" s="1440"/>
      <c r="I24" s="39"/>
      <c r="J24" s="39"/>
      <c r="K24" s="1439"/>
      <c r="L24" s="1470"/>
      <c r="M24" s="1470"/>
      <c r="N24" s="1470"/>
      <c r="O24" s="1554">
        <v>6.8586989999999997</v>
      </c>
      <c r="P24" s="39"/>
      <c r="Q24" s="1470">
        <f>Q25-P25</f>
        <v>0</v>
      </c>
      <c r="R24" s="1482">
        <f>R25-Q25</f>
        <v>0</v>
      </c>
      <c r="S24" s="1371"/>
      <c r="T24" s="1370"/>
      <c r="U24" s="51"/>
    </row>
    <row r="25" spans="1:24" ht="15" thickBot="1">
      <c r="A25" s="1434" t="s">
        <v>223</v>
      </c>
      <c r="B25" s="1477"/>
      <c r="C25" s="1477"/>
      <c r="D25" s="1477"/>
      <c r="E25" s="1477"/>
      <c r="F25" s="1480"/>
      <c r="G25" s="1479"/>
      <c r="H25" s="1478"/>
      <c r="I25" s="1477"/>
      <c r="J25" s="1477"/>
      <c r="K25" s="1438"/>
      <c r="L25" s="1476"/>
      <c r="M25" s="1476"/>
      <c r="N25" s="1476"/>
      <c r="O25" s="1473">
        <f>'[176]Notes for Budget'!C$13/1000000000</f>
        <v>0</v>
      </c>
      <c r="P25" s="1474">
        <f>'[176]Notes for Budget'!D$13/1000000000</f>
        <v>0</v>
      </c>
      <c r="Q25" s="1474">
        <f>'[176]Notes for Budget'!E$13/1000000000</f>
        <v>0</v>
      </c>
      <c r="R25" s="1468">
        <f>'[176]Notes for Budget'!F$13/1000000000</f>
        <v>0</v>
      </c>
      <c r="S25" s="1493" t="s">
        <v>224</v>
      </c>
      <c r="T25" s="1674">
        <f>Q25/Q10</f>
        <v>0</v>
      </c>
      <c r="U25" s="1674">
        <f>R25/R10</f>
        <v>0</v>
      </c>
    </row>
    <row r="26" spans="1:24" ht="15" thickBot="1">
      <c r="U26" s="51"/>
      <c r="V26" s="51"/>
    </row>
    <row r="27" spans="1:24" hidden="1">
      <c r="F27" s="1262"/>
      <c r="G27" s="583"/>
      <c r="H27" s="162"/>
      <c r="K27" s="1344"/>
      <c r="L27" s="1016"/>
      <c r="M27" s="1016"/>
      <c r="N27" s="1016"/>
      <c r="O27" s="583"/>
      <c r="P27" s="583" t="e">
        <f>P25/O25-1</f>
        <v>#DIV/0!</v>
      </c>
      <c r="Q27" s="583" t="e">
        <f>Q25/P25-1</f>
        <v>#DIV/0!</v>
      </c>
      <c r="R27" s="583" t="e">
        <f>R25/Q25-1</f>
        <v>#DIV/0!</v>
      </c>
      <c r="S27" s="590"/>
      <c r="T27" s="1016"/>
    </row>
    <row r="28" spans="1:24" hidden="1">
      <c r="C28">
        <v>71.814700000000002</v>
      </c>
      <c r="D28">
        <v>73.084400000000002</v>
      </c>
      <c r="E28">
        <v>74.433499999999995</v>
      </c>
      <c r="F28" s="1262">
        <v>75.8566</v>
      </c>
      <c r="G28" s="583">
        <v>76.783500000000004</v>
      </c>
      <c r="H28" s="162">
        <v>77.334699999999998</v>
      </c>
      <c r="I28">
        <v>79.081299999999999</v>
      </c>
      <c r="J28">
        <v>80.325400000000002</v>
      </c>
      <c r="K28" s="1016">
        <v>82.017099999999999</v>
      </c>
      <c r="L28" s="1016">
        <v>83.960499999999996</v>
      </c>
      <c r="M28" s="1016">
        <v>88.465500000000006</v>
      </c>
      <c r="N28" s="1016">
        <v>87.948599999999999</v>
      </c>
      <c r="O28" s="1016">
        <v>94.217500000000001</v>
      </c>
      <c r="P28" s="1016">
        <v>100</v>
      </c>
      <c r="Q28" s="1016">
        <v>100.80384499127271</v>
      </c>
      <c r="R28" s="1016">
        <v>102.16285310604569</v>
      </c>
      <c r="S28" s="590"/>
      <c r="T28" s="1016"/>
    </row>
    <row r="29" spans="1:24" ht="15" hidden="1" thickBot="1">
      <c r="G29" s="583"/>
      <c r="H29" s="583"/>
      <c r="I29" s="583"/>
      <c r="J29" s="583"/>
      <c r="K29" s="583"/>
      <c r="L29" s="583"/>
      <c r="M29" s="583"/>
      <c r="N29" s="583"/>
      <c r="O29" s="583"/>
      <c r="P29" s="583"/>
      <c r="Q29" s="1343">
        <f>Q18/Q10</f>
        <v>1.9844080648548656E-2</v>
      </c>
      <c r="R29" s="1343"/>
      <c r="S29" s="590"/>
      <c r="T29" s="1016"/>
    </row>
    <row r="30" spans="1:24" s="39" customFormat="1" ht="15" thickBot="1">
      <c r="A30" s="1433" t="s">
        <v>225</v>
      </c>
      <c r="B30" s="1472"/>
      <c r="C30" s="1472"/>
      <c r="D30" s="1472"/>
      <c r="E30" s="1472"/>
      <c r="F30" s="1448">
        <f t="shared" ref="F30:R30" si="8">F10/F8</f>
        <v>0.85353306121018724</v>
      </c>
      <c r="G30" s="1448">
        <f t="shared" si="8"/>
        <v>0.85666180585628549</v>
      </c>
      <c r="H30" s="1448">
        <f t="shared" si="8"/>
        <v>0.85777444359930044</v>
      </c>
      <c r="I30" s="1448">
        <f t="shared" si="8"/>
        <v>0.86984599690677544</v>
      </c>
      <c r="J30" s="1448">
        <f t="shared" si="8"/>
        <v>0.8757470676595609</v>
      </c>
      <c r="K30" s="1448">
        <f t="shared" si="8"/>
        <v>0.87562696657216754</v>
      </c>
      <c r="L30" s="1448">
        <f t="shared" si="8"/>
        <v>0.93243562136810132</v>
      </c>
      <c r="M30" s="1448">
        <f t="shared" si="8"/>
        <v>0.77768841972954683</v>
      </c>
      <c r="N30" s="1448">
        <f t="shared" si="8"/>
        <v>0.8259110848429968</v>
      </c>
      <c r="O30" s="1555">
        <f t="shared" si="8"/>
        <v>0.89769634091923245</v>
      </c>
      <c r="P30" s="1448">
        <f>P10/P8</f>
        <v>0.9212414744259716</v>
      </c>
      <c r="Q30" s="1448">
        <f t="shared" si="8"/>
        <v>0.92046787438531963</v>
      </c>
      <c r="R30" s="1447">
        <f t="shared" si="8"/>
        <v>0.91721667812180685</v>
      </c>
      <c r="S30" s="1471"/>
      <c r="T30" s="1676"/>
      <c r="U30" s="1237"/>
    </row>
    <row r="31" spans="1:24" ht="15" thickBot="1">
      <c r="A31" s="1016">
        <v>2</v>
      </c>
      <c r="B31" s="1016">
        <v>3</v>
      </c>
      <c r="C31" s="1016">
        <v>4</v>
      </c>
      <c r="D31" s="1016">
        <v>5</v>
      </c>
      <c r="E31" s="1016">
        <v>6</v>
      </c>
      <c r="F31" s="1016">
        <v>7</v>
      </c>
      <c r="G31" s="1016">
        <v>8</v>
      </c>
      <c r="H31" s="1016">
        <v>9</v>
      </c>
      <c r="I31" s="1016">
        <v>10</v>
      </c>
      <c r="J31" s="1016">
        <v>11</v>
      </c>
      <c r="K31" s="1016">
        <v>12</v>
      </c>
      <c r="L31" s="1016">
        <v>13</v>
      </c>
      <c r="M31" s="1016">
        <v>14</v>
      </c>
      <c r="N31" s="1016">
        <v>15</v>
      </c>
      <c r="O31" s="1016">
        <v>16</v>
      </c>
      <c r="P31" s="1016">
        <v>17</v>
      </c>
      <c r="Q31" s="1016">
        <v>18</v>
      </c>
      <c r="R31" s="1016">
        <v>19</v>
      </c>
      <c r="S31" s="1016"/>
      <c r="T31" s="1016"/>
    </row>
    <row r="32" spans="1:24" s="76" customFormat="1" ht="15" thickBot="1">
      <c r="A32" s="1754" t="s">
        <v>226</v>
      </c>
      <c r="B32" s="1509"/>
      <c r="C32" s="1520" t="s">
        <v>188</v>
      </c>
      <c r="D32" s="1520" t="s">
        <v>189</v>
      </c>
      <c r="E32" s="1520" t="s">
        <v>190</v>
      </c>
      <c r="F32" s="1521" t="str" cm="1">
        <f t="array" aca="1" ref="F32" ca="1">INDIRECT(_xlfn.CONCAT("'MASTER DEFLATOR'!A",F31))</f>
        <v>2013-14</v>
      </c>
      <c r="G32" s="1522" t="str" cm="1">
        <f t="array" aca="1" ref="G32" ca="1">INDIRECT(_xlfn.CONCAT("'MASTER DEFLATOR'!A",G31))</f>
        <v>2014-15</v>
      </c>
      <c r="H32" s="1522" t="str" cm="1">
        <f t="array" aca="1" ref="H32" ca="1">INDIRECT(_xlfn.CONCAT("'MASTER DEFLATOR'!A",H31))</f>
        <v>2015-16</v>
      </c>
      <c r="I32" s="1522" t="str" cm="1">
        <f t="array" aca="1" ref="I32" ca="1">INDIRECT(_xlfn.CONCAT("'MASTER DEFLATOR'!A",I31))</f>
        <v>2016-17</v>
      </c>
      <c r="J32" s="1522" t="str" cm="1">
        <f t="array" aca="1" ref="J32" ca="1">INDIRECT(_xlfn.CONCAT("'MASTER DEFLATOR'!A",J31))</f>
        <v>2017-18</v>
      </c>
      <c r="K32" s="1522" t="str" cm="1">
        <f t="array" aca="1" ref="K32" ca="1">INDIRECT(_xlfn.CONCAT("'MASTER DEFLATOR'!A",K31))</f>
        <v>2018-19</v>
      </c>
      <c r="L32" s="1522" t="str" cm="1">
        <f t="array" aca="1" ref="L32" ca="1">INDIRECT(_xlfn.CONCAT("'MASTER DEFLATOR'!A",L31))</f>
        <v>2019-20</v>
      </c>
      <c r="M32" s="1522" t="str" cm="1">
        <f t="array" aca="1" ref="M32" ca="1">INDIRECT(_xlfn.CONCAT("'MASTER DEFLATOR'!A",M31))</f>
        <v>2020-21</v>
      </c>
      <c r="N32" s="1522" t="str" cm="1">
        <f t="array" aca="1" ref="N32" ca="1">INDIRECT(_xlfn.CONCAT("'MASTER DEFLATOR'!A",N31))</f>
        <v>2021-22</v>
      </c>
      <c r="O32" s="1522" t="str" cm="1">
        <f t="array" aca="1" ref="O32" ca="1">INDIRECT(_xlfn.CONCAT("'MASTER DEFLATOR'!A",O31))</f>
        <v>2022-23</v>
      </c>
      <c r="P32" s="1522" t="str" cm="1">
        <f t="array" aca="1" ref="P32" ca="1">INDIRECT(_xlfn.CONCAT("'MASTER DEFLATOR'!A",P31))</f>
        <v>2023-24</v>
      </c>
      <c r="Q32" s="1522" t="str" cm="1">
        <f t="array" aca="1" ref="Q32" ca="1">INDIRECT(_xlfn.CONCAT("'MASTER DEFLATOR'!A",Q31))</f>
        <v>2024-25</v>
      </c>
      <c r="R32" s="1523" t="str" cm="1">
        <f t="array" aca="1" ref="R32" ca="1">INDIRECT(_xlfn.CONCAT("'MASTER DEFLATOR'!A",R31))</f>
        <v>2025-26</v>
      </c>
      <c r="S32" s="1524"/>
    </row>
    <row r="33" spans="1:24" ht="15" thickBot="1">
      <c r="A33" s="1755"/>
      <c r="B33" s="1451">
        <v>70.480500000000006</v>
      </c>
      <c r="C33" s="1451">
        <v>71.814700000000002</v>
      </c>
      <c r="D33" s="1451">
        <v>73.084400000000002</v>
      </c>
      <c r="E33" s="1451">
        <v>74.433499999999995</v>
      </c>
      <c r="F33" s="1538" cm="1">
        <f t="array" aca="1" ref="F33" ca="1">INDIRECT(_xlfn.CONCAT("'MASTER DEFLATOR'!D",F31))</f>
        <v>75.8566</v>
      </c>
      <c r="G33" s="1538" cm="1">
        <f t="array" aca="1" ref="G33" ca="1">INDIRECT(_xlfn.CONCAT("'MASTER DEFLATOR'!D",G31))</f>
        <v>76.783500000000004</v>
      </c>
      <c r="H33" s="1538" cm="1">
        <f t="array" aca="1" ref="H33" ca="1">INDIRECT(_xlfn.CONCAT("'MASTER DEFLATOR'!D",H31))</f>
        <v>77.334699999999998</v>
      </c>
      <c r="I33" s="1538" cm="1">
        <f t="array" aca="1" ref="I33" ca="1">INDIRECT(_xlfn.CONCAT("'MASTER DEFLATOR'!D",I31))</f>
        <v>79.081299999999999</v>
      </c>
      <c r="J33" s="1538" cm="1">
        <f t="array" aca="1" ref="J33" ca="1">INDIRECT(_xlfn.CONCAT("'MASTER DEFLATOR'!D",J31))</f>
        <v>80.325400000000002</v>
      </c>
      <c r="K33" s="1538" cm="1">
        <f t="array" aca="1" ref="K33" ca="1">INDIRECT(_xlfn.CONCAT("'MASTER DEFLATOR'!D",K31))</f>
        <v>82.017099999999999</v>
      </c>
      <c r="L33" s="1538" cm="1">
        <f t="array" aca="1" ref="L33" ca="1">INDIRECT(_xlfn.CONCAT("'MASTER DEFLATOR'!D",L31))</f>
        <v>83.960499999999996</v>
      </c>
      <c r="M33" s="1538" cm="1">
        <f t="array" aca="1" ref="M33" ca="1">INDIRECT(_xlfn.CONCAT("'MASTER DEFLATOR'!D",M31))</f>
        <v>88.465500000000006</v>
      </c>
      <c r="N33" s="1538" cm="1">
        <f t="array" aca="1" ref="N33" ca="1">INDIRECT(_xlfn.CONCAT("'MASTER DEFLATOR'!D",N31))</f>
        <v>87.948599999999999</v>
      </c>
      <c r="O33" s="1538" cm="1">
        <f t="array" aca="1" ref="O33" ca="1">INDIRECT(_xlfn.CONCAT("'MASTER DEFLATOR'!D",O31))</f>
        <v>94.217500000000001</v>
      </c>
      <c r="P33" s="1538" cm="1">
        <f t="array" aca="1" ref="P33" ca="1">INDIRECT(_xlfn.CONCAT("'MASTER DEFLATOR'!D",P31))</f>
        <v>100</v>
      </c>
      <c r="Q33" s="1539" cm="1">
        <f t="array" aca="1" ref="Q33" ca="1">INDIRECT(_xlfn.CONCAT("'MASTER DEFLATOR'!D",Q31))</f>
        <v>102.37466607696864</v>
      </c>
      <c r="R33" s="1540" cm="1">
        <f t="array" aca="1" ref="R33" ca="1">INDIRECT(_xlfn.CONCAT("'MASTER DEFLATOR'!D",R31))</f>
        <v>104.81729266263783</v>
      </c>
      <c r="S33" s="1573" t="s">
        <v>227</v>
      </c>
    </row>
    <row r="34" spans="1:24" hidden="1">
      <c r="A34" t="s">
        <v>228</v>
      </c>
      <c r="C34" s="174"/>
      <c r="P34" s="98"/>
    </row>
    <row r="35" spans="1:24" ht="15" thickBot="1">
      <c r="C35" s="174"/>
      <c r="M35">
        <f ca="1">R43/K43</f>
        <v>1.3024649118666849</v>
      </c>
      <c r="P35" s="51"/>
      <c r="Q35" s="51">
        <f ca="1">(Q7/Q$33)*$Q$33</f>
        <v>201.905225</v>
      </c>
      <c r="R35" s="51">
        <f ca="1">Q35-192.2</f>
        <v>9.7052250000000129</v>
      </c>
    </row>
    <row r="36" spans="1:24" s="76" customFormat="1">
      <c r="A36" s="1501" t="s">
        <v>229</v>
      </c>
      <c r="B36" s="1426"/>
      <c r="C36" s="1525"/>
      <c r="D36" s="1426"/>
      <c r="E36" s="1426"/>
      <c r="F36" s="1526" t="s">
        <v>191</v>
      </c>
      <c r="G36" s="1526" t="s">
        <v>192</v>
      </c>
      <c r="H36" s="1526" t="s">
        <v>193</v>
      </c>
      <c r="I36" s="1526" t="s">
        <v>165</v>
      </c>
      <c r="J36" s="1526" t="s">
        <v>167</v>
      </c>
      <c r="K36" s="1526" t="s">
        <v>168</v>
      </c>
      <c r="L36" s="1526" t="s">
        <v>169</v>
      </c>
      <c r="M36" s="1526" t="s">
        <v>170</v>
      </c>
      <c r="N36" s="1526" t="s">
        <v>171</v>
      </c>
      <c r="O36" s="1526" t="s">
        <v>172</v>
      </c>
      <c r="P36" s="1526" t="s">
        <v>173</v>
      </c>
      <c r="Q36" s="1526" t="s">
        <v>174</v>
      </c>
      <c r="R36" s="1527" t="s">
        <v>230</v>
      </c>
      <c r="S36" s="1607"/>
      <c r="U36" s="1541" t="s">
        <v>194</v>
      </c>
      <c r="V36" s="1542"/>
      <c r="W36" s="1542" t="s">
        <v>195</v>
      </c>
      <c r="X36" s="1543"/>
    </row>
    <row r="37" spans="1:24" s="76" customFormat="1" ht="15" thickBot="1">
      <c r="A37" s="1502" t="s">
        <v>231</v>
      </c>
      <c r="B37" s="1500"/>
      <c r="C37" s="1528"/>
      <c r="D37" s="1500"/>
      <c r="E37" s="1500"/>
      <c r="F37" s="1529" t="s">
        <v>196</v>
      </c>
      <c r="G37" s="1529" t="s">
        <v>196</v>
      </c>
      <c r="H37" s="1529" t="s">
        <v>196</v>
      </c>
      <c r="I37" s="1529" t="s">
        <v>196</v>
      </c>
      <c r="J37" s="1529" t="s">
        <v>196</v>
      </c>
      <c r="K37" s="1530" t="s">
        <v>196</v>
      </c>
      <c r="L37" s="1530" t="s">
        <v>196</v>
      </c>
      <c r="M37" s="1530" t="s">
        <v>196</v>
      </c>
      <c r="N37" s="1530" t="s">
        <v>196</v>
      </c>
      <c r="O37" s="1530" t="s">
        <v>196</v>
      </c>
      <c r="P37" s="1530" t="s">
        <v>152</v>
      </c>
      <c r="Q37" s="1530" t="s">
        <v>152</v>
      </c>
      <c r="R37" s="1531" t="s">
        <v>152</v>
      </c>
      <c r="S37" s="1532"/>
      <c r="U37" s="1544" t="s">
        <v>198</v>
      </c>
      <c r="V37" s="1545" t="s">
        <v>199</v>
      </c>
      <c r="W37" s="1545" t="s">
        <v>200</v>
      </c>
      <c r="X37" s="1546" t="s">
        <v>201</v>
      </c>
    </row>
    <row r="38" spans="1:24" s="481" customFormat="1">
      <c r="A38" s="1663" t="s">
        <v>202</v>
      </c>
      <c r="B38" s="1664"/>
      <c r="C38" s="1653"/>
      <c r="D38" s="1664"/>
      <c r="E38" s="1664"/>
      <c r="F38" s="1504">
        <f t="shared" ref="F38:N38" ca="1" si="9">(F8/F$33)*$Q$33</f>
        <v>148.14937642156789</v>
      </c>
      <c r="G38" s="1504">
        <f t="shared" ca="1" si="9"/>
        <v>151.12122793469393</v>
      </c>
      <c r="H38" s="1504">
        <f t="shared" ca="1" si="9"/>
        <v>155.21084988464409</v>
      </c>
      <c r="I38" s="1504">
        <f t="shared" ca="1" si="9"/>
        <v>157.36027239880983</v>
      </c>
      <c r="J38" s="1504">
        <f t="shared" ca="1" si="9"/>
        <v>159.51123439819892</v>
      </c>
      <c r="K38" s="1504">
        <f t="shared" ca="1" si="9"/>
        <v>160.26533034718938</v>
      </c>
      <c r="L38" s="1504">
        <f t="shared" ca="1" si="9"/>
        <v>165.34458726069107</v>
      </c>
      <c r="M38" s="1504">
        <f t="shared" ca="1" si="9"/>
        <v>217.27978622113201</v>
      </c>
      <c r="N38" s="1504">
        <f t="shared" ca="1" si="9"/>
        <v>214.67360528664227</v>
      </c>
      <c r="O38" s="1504">
        <f ca="1">(O8/O$33)*$Q$33</f>
        <v>194.80171023725887</v>
      </c>
      <c r="P38" s="1504">
        <f ca="1">(P8/P$33)*$Q$33</f>
        <v>190.02580767874764</v>
      </c>
      <c r="Q38" s="1504">
        <f ca="1">(Q8/Q$33)*$Q$33</f>
        <v>197.089225</v>
      </c>
      <c r="R38" s="1505">
        <f ca="1">(R8/R$33)*$Q$33</f>
        <v>204.40329992035018</v>
      </c>
      <c r="S38" s="1665">
        <f ca="1">R38-P38</f>
        <v>14.377492241602539</v>
      </c>
      <c r="U38" s="1547">
        <f t="shared" ref="U38:V45" ca="1" si="10">P38/O38-1</f>
        <v>-2.4516738342257982E-2</v>
      </c>
      <c r="V38" s="1548">
        <f t="shared" ca="1" si="10"/>
        <v>3.7170831728254417E-2</v>
      </c>
      <c r="W38" s="1549">
        <f t="shared" ref="W38:X45" ca="1" si="11">P38-O38</f>
        <v>-4.775902558511234</v>
      </c>
      <c r="X38" s="1550">
        <f ca="1">Q38-P38</f>
        <v>7.0634173212523592</v>
      </c>
    </row>
    <row r="39" spans="1:24" s="481" customFormat="1" hidden="1">
      <c r="A39" s="1503" t="s">
        <v>204</v>
      </c>
      <c r="B39" s="1469"/>
      <c r="C39" s="1653"/>
      <c r="D39" s="1469"/>
      <c r="E39" s="1469"/>
      <c r="F39" s="1504">
        <f t="shared" ref="F39:Q39" ca="1" si="12">(F9/F$33)*$Q$33</f>
        <v>140.90624524243356</v>
      </c>
      <c r="G39" s="1504">
        <f t="shared" ca="1" si="12"/>
        <v>144.49310378551525</v>
      </c>
      <c r="H39" s="1504">
        <f t="shared" ca="1" si="12"/>
        <v>149.05215617755186</v>
      </c>
      <c r="I39" s="1504">
        <f t="shared" ca="1" si="12"/>
        <v>151.46230437543807</v>
      </c>
      <c r="J39" s="1504">
        <f t="shared" ca="1" si="12"/>
        <v>152.83540706448926</v>
      </c>
      <c r="K39" s="1504">
        <f t="shared" ca="1" si="12"/>
        <v>152.84970737145295</v>
      </c>
      <c r="L39" s="1504">
        <f t="shared" ca="1" si="12"/>
        <v>160.26734129926282</v>
      </c>
      <c r="M39" s="1504">
        <f t="shared" ca="1" si="12"/>
        <v>205.87762848894974</v>
      </c>
      <c r="N39" s="1504">
        <f t="shared" ca="1" si="12"/>
        <v>207.37747542248937</v>
      </c>
      <c r="O39" s="1504">
        <f t="shared" ca="1" si="12"/>
        <v>187.19892372158449</v>
      </c>
      <c r="P39" s="1504">
        <f ca="1">(P9/P$33)*$Q$33</f>
        <v>182.15217211076796</v>
      </c>
      <c r="Q39" s="1504">
        <f t="shared" ca="1" si="12"/>
        <v>190.12951799999999</v>
      </c>
      <c r="R39" s="1505">
        <f ca="1">(R9/R$33)*$Q$33</f>
        <v>195.82697576041994</v>
      </c>
      <c r="S39" s="1666"/>
      <c r="U39" s="1547">
        <f t="shared" ca="1" si="10"/>
        <v>-2.6959298218628747E-2</v>
      </c>
      <c r="V39" s="1548">
        <f t="shared" ca="1" si="10"/>
        <v>4.3794953399627579E-2</v>
      </c>
      <c r="W39" s="1549">
        <f t="shared" ca="1" si="11"/>
        <v>-5.0467516108165285</v>
      </c>
      <c r="X39" s="1550">
        <f t="shared" ca="1" si="11"/>
        <v>7.9773458892320264</v>
      </c>
    </row>
    <row r="40" spans="1:24" s="481" customFormat="1" hidden="1">
      <c r="A40" s="1503" t="s">
        <v>129</v>
      </c>
      <c r="B40" s="1469"/>
      <c r="C40" s="1653"/>
      <c r="D40" s="1469"/>
      <c r="E40" s="1469"/>
      <c r="F40" s="1504">
        <f t="shared" ref="F40:Q40" ca="1" si="13">(F10/F$33)*$Q$33</f>
        <v>126.45039077348119</v>
      </c>
      <c r="G40" s="1504">
        <f t="shared" ca="1" si="13"/>
        <v>129.45978402575423</v>
      </c>
      <c r="H40" s="1504">
        <f t="shared" ca="1" si="13"/>
        <v>133.13590040037511</v>
      </c>
      <c r="I40" s="1504">
        <f t="shared" ca="1" si="13"/>
        <v>136.87920301826449</v>
      </c>
      <c r="J40" s="1504">
        <f t="shared" ca="1" si="13"/>
        <v>139.69149578297959</v>
      </c>
      <c r="K40" s="1504">
        <f t="shared" ca="1" si="13"/>
        <v>140.33264505859574</v>
      </c>
      <c r="L40" s="1504">
        <f t="shared" ca="1" si="13"/>
        <v>154.17318296227472</v>
      </c>
      <c r="M40" s="1504">
        <f t="shared" ca="1" si="13"/>
        <v>168.97597358548592</v>
      </c>
      <c r="N40" s="1504">
        <f t="shared" ca="1" si="13"/>
        <v>177.30131022944803</v>
      </c>
      <c r="O40" s="1504">
        <f t="shared" ca="1" si="13"/>
        <v>174.87278248479586</v>
      </c>
      <c r="P40" s="1504">
        <f ca="1">(P10/P$33)*$Q$33</f>
        <v>175.05965524495559</v>
      </c>
      <c r="Q40" s="1504">
        <f t="shared" ca="1" si="13"/>
        <v>181.4143</v>
      </c>
      <c r="R40" s="1505">
        <f ca="1">(R10/R$33)*$Q$33</f>
        <v>187.48211575007898</v>
      </c>
      <c r="S40" s="1654"/>
      <c r="U40" s="1547">
        <f t="shared" ca="1" si="10"/>
        <v>1.0686211856667516E-3</v>
      </c>
      <c r="V40" s="1548">
        <f t="shared" ca="1" si="10"/>
        <v>3.629988158123898E-2</v>
      </c>
      <c r="W40" s="1549">
        <f t="shared" ca="1" si="11"/>
        <v>0.18687276015972998</v>
      </c>
      <c r="X40" s="1550">
        <f t="shared" ca="1" si="11"/>
        <v>6.3546447550444043</v>
      </c>
    </row>
    <row r="41" spans="1:24" s="481" customFormat="1" hidden="1">
      <c r="A41" s="1503" t="s">
        <v>232</v>
      </c>
      <c r="B41" s="1469"/>
      <c r="C41" s="1653"/>
      <c r="D41" s="1469"/>
      <c r="E41" s="1469"/>
      <c r="F41" s="1504">
        <f t="shared" ref="F41:Q41" ca="1" si="14">(F12/F$33)*$Q$33</f>
        <v>0</v>
      </c>
      <c r="G41" s="1504">
        <f t="shared" ca="1" si="14"/>
        <v>0</v>
      </c>
      <c r="H41" s="1504">
        <f t="shared" ca="1" si="14"/>
        <v>0</v>
      </c>
      <c r="I41" s="1504">
        <f t="shared" ca="1" si="14"/>
        <v>0</v>
      </c>
      <c r="J41" s="1504">
        <f t="shared" ca="1" si="14"/>
        <v>0</v>
      </c>
      <c r="K41" s="1504">
        <f t="shared" ca="1" si="14"/>
        <v>0</v>
      </c>
      <c r="L41" s="1504">
        <f t="shared" ca="1" si="14"/>
        <v>0</v>
      </c>
      <c r="M41" s="1504">
        <f t="shared" ca="1" si="14"/>
        <v>0</v>
      </c>
      <c r="N41" s="1504">
        <f t="shared" ca="1" si="14"/>
        <v>0</v>
      </c>
      <c r="O41" s="1504">
        <f t="shared" ca="1" si="14"/>
        <v>0</v>
      </c>
      <c r="P41" s="1504">
        <f t="shared" ca="1" si="14"/>
        <v>0</v>
      </c>
      <c r="Q41" s="1504">
        <f t="shared" ca="1" si="14"/>
        <v>1.9650000000000001</v>
      </c>
      <c r="R41" s="1505">
        <f ca="1">(R12/R$33)*$Q$33</f>
        <v>1.919208307437511</v>
      </c>
      <c r="S41" s="1667"/>
      <c r="U41" s="1547" t="e">
        <f ca="1">P41/O41-1</f>
        <v>#DIV/0!</v>
      </c>
      <c r="V41" s="1548" t="e">
        <f t="shared" ca="1" si="10"/>
        <v>#DIV/0!</v>
      </c>
      <c r="W41" s="1549">
        <f t="shared" ca="1" si="11"/>
        <v>0</v>
      </c>
      <c r="X41" s="1550">
        <f t="shared" ca="1" si="11"/>
        <v>1.9650000000000001</v>
      </c>
    </row>
    <row r="42" spans="1:24" s="481" customFormat="1">
      <c r="A42" s="1503" t="s">
        <v>233</v>
      </c>
      <c r="B42" s="1469"/>
      <c r="C42" s="1653"/>
      <c r="D42" s="1469"/>
      <c r="E42" s="1469"/>
      <c r="F42" s="1504">
        <f t="shared" ref="F42:Q43" ca="1" si="15">(F14/F$33)*$Q$33</f>
        <v>140.90624524243356</v>
      </c>
      <c r="G42" s="1504">
        <f t="shared" ca="1" si="15"/>
        <v>144.49310378551525</v>
      </c>
      <c r="H42" s="1504">
        <f t="shared" ca="1" si="15"/>
        <v>149.05215617755186</v>
      </c>
      <c r="I42" s="1504">
        <f t="shared" ca="1" si="15"/>
        <v>151.46230437543807</v>
      </c>
      <c r="J42" s="1504">
        <f t="shared" ca="1" si="15"/>
        <v>152.83540706448926</v>
      </c>
      <c r="K42" s="1504">
        <f t="shared" ca="1" si="15"/>
        <v>152.84970737145295</v>
      </c>
      <c r="L42" s="1504">
        <f t="shared" ca="1" si="15"/>
        <v>156.79106170367399</v>
      </c>
      <c r="M42" s="1504">
        <f t="shared" ca="1" si="15"/>
        <v>202.57837428267229</v>
      </c>
      <c r="N42" s="1504">
        <f t="shared" ca="1" si="15"/>
        <v>204.05883052097374</v>
      </c>
      <c r="O42" s="1504">
        <f t="shared" ca="1" si="15"/>
        <v>184.10108974185206</v>
      </c>
      <c r="P42" s="1504">
        <f ca="1">(P14/P$33)*$Q$33</f>
        <v>179.23347038091359</v>
      </c>
      <c r="Q42" s="1504">
        <f t="shared" ca="1" si="15"/>
        <v>185.31351799999999</v>
      </c>
      <c r="R42" s="1505">
        <f ca="1">(R14/R$33)*$Q$33</f>
        <v>191.12320618860366</v>
      </c>
      <c r="S42" s="1235">
        <f ca="1">R42/P42</f>
        <v>1.0663365820146291</v>
      </c>
      <c r="U42" s="1547"/>
      <c r="V42" s="1548"/>
      <c r="W42" s="1549"/>
      <c r="X42" s="1550"/>
    </row>
    <row r="43" spans="1:24" s="481" customFormat="1">
      <c r="A43" s="1503" t="s">
        <v>212</v>
      </c>
      <c r="B43" s="1469"/>
      <c r="C43" s="1653"/>
      <c r="D43" s="1469"/>
      <c r="E43" s="1469"/>
      <c r="F43" s="1504">
        <f t="shared" ca="1" si="15"/>
        <v>126.45039077348119</v>
      </c>
      <c r="G43" s="1504">
        <f t="shared" ca="1" si="15"/>
        <v>129.45978402575423</v>
      </c>
      <c r="H43" s="1504">
        <f t="shared" ca="1" si="15"/>
        <v>133.13590040037511</v>
      </c>
      <c r="I43" s="1504">
        <f t="shared" ca="1" si="15"/>
        <v>136.87920301826449</v>
      </c>
      <c r="J43" s="1504">
        <f t="shared" ca="1" si="15"/>
        <v>139.69149578297959</v>
      </c>
      <c r="K43" s="1504">
        <f t="shared" ca="1" si="15"/>
        <v>140.33264505859574</v>
      </c>
      <c r="L43" s="1504">
        <f t="shared" ca="1" si="15"/>
        <v>150.69690336668589</v>
      </c>
      <c r="M43" s="1504">
        <f t="shared" ca="1" si="15"/>
        <v>165.67671937920849</v>
      </c>
      <c r="N43" s="1504">
        <f t="shared" ca="1" si="15"/>
        <v>173.98266532793238</v>
      </c>
      <c r="O43" s="1504">
        <f t="shared" ca="1" si="15"/>
        <v>171.77494850506346</v>
      </c>
      <c r="P43" s="1504">
        <f ca="1">(P15/P$33)*$Q$33</f>
        <v>172.14095351510122</v>
      </c>
      <c r="Q43" s="1504">
        <f t="shared" ca="1" si="15"/>
        <v>176.59829999999999</v>
      </c>
      <c r="R43" s="1505">
        <f ca="1">(R15/R$33)*$Q$33</f>
        <v>182.77834617826267</v>
      </c>
      <c r="S43" s="1668">
        <f ca="1">R43/P43</f>
        <v>1.0617946656269002</v>
      </c>
      <c r="U43" s="1547">
        <f t="shared" ca="1" si="10"/>
        <v>2.13072402712422E-3</v>
      </c>
      <c r="V43" s="1548">
        <f t="shared" ca="1" si="10"/>
        <v>2.5893585424503707E-2</v>
      </c>
      <c r="W43" s="1549">
        <f t="shared" ca="1" si="11"/>
        <v>0.36600501003775321</v>
      </c>
      <c r="X43" s="1550">
        <f t="shared" ca="1" si="11"/>
        <v>4.4573464848987783</v>
      </c>
    </row>
    <row r="44" spans="1:24" s="481" customFormat="1">
      <c r="A44" s="1503" t="s">
        <v>234</v>
      </c>
      <c r="B44" s="1469"/>
      <c r="C44" s="1653"/>
      <c r="D44" s="1469"/>
      <c r="E44" s="1469"/>
      <c r="F44" s="1504">
        <f t="shared" ref="F44:Q44" ca="1" si="16">(F16/F$33)*$Q$33</f>
        <v>14.455854468952364</v>
      </c>
      <c r="G44" s="1504">
        <f t="shared" ca="1" si="16"/>
        <v>15.033319759761026</v>
      </c>
      <c r="H44" s="1504">
        <f t="shared" ca="1" si="16"/>
        <v>15.916255777176749</v>
      </c>
      <c r="I44" s="1504">
        <f ca="1">(I16/I$33)*$Q$33</f>
        <v>14.583101357173589</v>
      </c>
      <c r="J44" s="1504">
        <f t="shared" ca="1" si="16"/>
        <v>13.143911281509681</v>
      </c>
      <c r="K44" s="1504">
        <f t="shared" ca="1" si="16"/>
        <v>12.517062312857204</v>
      </c>
      <c r="L44" s="1504">
        <f t="shared" ca="1" si="16"/>
        <v>6.0941583369881052</v>
      </c>
      <c r="M44" s="1504">
        <f t="shared" ca="1" si="16"/>
        <v>36.901654903463793</v>
      </c>
      <c r="N44" s="1504">
        <f t="shared" ca="1" si="16"/>
        <v>30.076165193041334</v>
      </c>
      <c r="O44" s="1504">
        <f t="shared" ca="1" si="16"/>
        <v>12.326141236788619</v>
      </c>
      <c r="P44" s="1504">
        <f ca="1">(P16/P$33)*$Q$33</f>
        <v>7.0925168658123834</v>
      </c>
      <c r="Q44" s="1504">
        <f t="shared" ca="1" si="16"/>
        <v>8.715217999999993</v>
      </c>
      <c r="R44" s="1505">
        <f ca="1">(R16/R$33)*$Q$33</f>
        <v>8.3448600103409927</v>
      </c>
      <c r="S44" s="1654"/>
      <c r="U44" s="1547">
        <f t="shared" ca="1" si="10"/>
        <v>-0.42459552186177718</v>
      </c>
      <c r="V44" s="1548">
        <f t="shared" ca="1" si="10"/>
        <v>0.22879059223805509</v>
      </c>
      <c r="W44" s="1549">
        <f t="shared" ca="1" si="11"/>
        <v>-5.2336243709762353</v>
      </c>
      <c r="X44" s="1550">
        <f t="shared" ca="1" si="11"/>
        <v>1.6227011341876096</v>
      </c>
    </row>
    <row r="45" spans="1:24" s="481" customFormat="1" ht="15" thickBot="1">
      <c r="A45" s="1655" t="s">
        <v>214</v>
      </c>
      <c r="B45" s="1656">
        <f ca="1">(B17/B$33)*$Q$33</f>
        <v>7.8087727077671616</v>
      </c>
      <c r="C45" s="1656">
        <f ca="1">(C17/C$33)*$Q$33</f>
        <v>8.2396162613626291</v>
      </c>
      <c r="D45" s="1656">
        <f ca="1">(D17/D$33)*$Q$33</f>
        <v>0</v>
      </c>
      <c r="E45" s="1656">
        <f ca="1">(E17/E$33)*$Q$33</f>
        <v>0</v>
      </c>
      <c r="F45" s="1656">
        <f t="shared" ref="F45:R45" ca="1" si="17">(F17/F$33)*$Q$33</f>
        <v>7.2431311791343482</v>
      </c>
      <c r="G45" s="1656">
        <f t="shared" ca="1" si="17"/>
        <v>6.6281241491786735</v>
      </c>
      <c r="H45" s="1656">
        <f t="shared" ca="1" si="17"/>
        <v>6.1586937070922048</v>
      </c>
      <c r="I45" s="1656">
        <f t="shared" ca="1" si="17"/>
        <v>5.8979680233717593</v>
      </c>
      <c r="J45" s="1656">
        <f ca="1">(J17/J$33)*$Q$33</f>
        <v>6.6758273337096581</v>
      </c>
      <c r="K45" s="1656">
        <f t="shared" ca="1" si="17"/>
        <v>7.4156229757364089</v>
      </c>
      <c r="L45" s="1656">
        <f t="shared" ca="1" si="17"/>
        <v>8.5535255570171085</v>
      </c>
      <c r="M45" s="1656">
        <f t="shared" ca="1" si="17"/>
        <v>14.701411938459733</v>
      </c>
      <c r="N45" s="1656">
        <f t="shared" ca="1" si="17"/>
        <v>10.61477476566855</v>
      </c>
      <c r="O45" s="1656">
        <f t="shared" ca="1" si="17"/>
        <v>10.700620495406769</v>
      </c>
      <c r="P45" s="1656">
        <f t="shared" ca="1" si="17"/>
        <v>10.792337297834033</v>
      </c>
      <c r="Q45" s="1656">
        <f t="shared" ca="1" si="17"/>
        <v>11.775707000000001</v>
      </c>
      <c r="R45" s="1657">
        <f t="shared" ca="1" si="17"/>
        <v>13.28009373174654</v>
      </c>
      <c r="S45" s="1658"/>
      <c r="U45" s="1659">
        <f t="shared" ca="1" si="10"/>
        <v>8.5711667343622011E-3</v>
      </c>
      <c r="V45" s="1660">
        <f t="shared" ca="1" si="10"/>
        <v>9.1117398856995102E-2</v>
      </c>
      <c r="W45" s="1661">
        <f t="shared" ca="1" si="11"/>
        <v>9.1716802427264099E-2</v>
      </c>
      <c r="X45" s="1662">
        <f t="shared" ca="1" si="11"/>
        <v>0.98336970216596775</v>
      </c>
    </row>
    <row r="46" spans="1:24" s="171" customFormat="1" ht="15" thickBot="1">
      <c r="C46" s="1699"/>
      <c r="F46" s="1355"/>
      <c r="G46" s="1355"/>
      <c r="H46" s="1355"/>
      <c r="I46" s="1355"/>
      <c r="J46" s="1355">
        <f ca="1">K46^(1/COUNT(G43:K43))</f>
        <v>1.0210516396199263</v>
      </c>
      <c r="K46" s="1355">
        <f ca="1">K43/F43</f>
        <v>1.1097841944196341</v>
      </c>
      <c r="L46" s="1355"/>
      <c r="M46" s="1355"/>
      <c r="N46" s="1355"/>
      <c r="O46" s="1355"/>
      <c r="P46" s="1355"/>
      <c r="Q46" s="1355"/>
      <c r="R46" s="1355">
        <f ca="1">R43/P43</f>
        <v>1.0617946656269002</v>
      </c>
      <c r="U46" s="1355"/>
      <c r="V46" s="1355"/>
    </row>
    <row r="47" spans="1:24" ht="20.9" customHeight="1">
      <c r="A47" s="1754" t="s">
        <v>231</v>
      </c>
      <c r="B47" s="1069"/>
      <c r="C47" s="1700"/>
      <c r="D47" s="1069"/>
      <c r="E47" s="1069"/>
      <c r="F47" s="1759" t="s">
        <v>235</v>
      </c>
      <c r="G47" s="1759"/>
      <c r="H47" s="1759"/>
      <c r="I47" s="1759"/>
      <c r="J47" s="1759"/>
      <c r="K47" s="1759"/>
      <c r="L47" s="1760"/>
      <c r="M47" s="1356"/>
      <c r="N47" s="1356"/>
      <c r="O47" s="1356"/>
      <c r="P47" s="1356"/>
      <c r="Q47" s="1597"/>
      <c r="R47" s="1690">
        <f ca="1">R46^(1/2)</f>
        <v>1.0304342121780024</v>
      </c>
      <c r="S47" s="1355">
        <f ca="1">R42/Q42</f>
        <v>1.0313505903471309</v>
      </c>
      <c r="T47" s="51"/>
      <c r="U47" s="78"/>
      <c r="V47" s="51"/>
    </row>
    <row r="48" spans="1:24" s="76" customFormat="1" ht="15" thickBot="1">
      <c r="A48" s="1755"/>
      <c r="B48" s="1490"/>
      <c r="C48" s="1533"/>
      <c r="D48" s="1490"/>
      <c r="E48" s="1490"/>
      <c r="F48" s="1534" t="s">
        <v>236</v>
      </c>
      <c r="G48" s="1534" t="s">
        <v>237</v>
      </c>
      <c r="H48" s="1534" t="s">
        <v>238</v>
      </c>
      <c r="I48" s="1534" t="s">
        <v>239</v>
      </c>
      <c r="J48" s="1534" t="s">
        <v>240</v>
      </c>
      <c r="K48" s="1534" t="s">
        <v>241</v>
      </c>
      <c r="L48" s="1535" t="s">
        <v>242</v>
      </c>
      <c r="N48"/>
      <c r="P48" s="1536"/>
      <c r="Q48" s="1677"/>
      <c r="R48" s="1669">
        <f ca="1">Q38/P38</f>
        <v>1.0371708317282544</v>
      </c>
      <c r="S48" s="1355">
        <f ca="1">Q42/P42</f>
        <v>1.0339225012279507</v>
      </c>
      <c r="T48" s="1536"/>
      <c r="U48" s="76" t="str">
        <f>A47</f>
        <v>Health and Social Care</v>
      </c>
      <c r="V48" s="76" t="str">
        <f>F48</f>
        <v>2013/14-2018/19</v>
      </c>
      <c r="W48" s="1537" t="str">
        <f>I48</f>
        <v>2018/19-2024/25</v>
      </c>
    </row>
    <row r="49" spans="1:26">
      <c r="A49" s="1485" t="s">
        <v>202</v>
      </c>
      <c r="B49" s="1121"/>
      <c r="C49" s="1701"/>
      <c r="D49" s="1121"/>
      <c r="E49" s="1121"/>
      <c r="F49" s="1430">
        <f ca="1">(K38/F38)^(1/COUNTA(G38:K38))-1</f>
        <v>1.5846178217339357E-2</v>
      </c>
      <c r="G49" s="1459">
        <f ca="1">(O38/K38)^(1/COUNTA(L38:O38))-1</f>
        <v>4.999757385337511E-2</v>
      </c>
      <c r="H49" s="1459">
        <f ca="1">(P38/K38)^(1/COUNTA(L38:P38))-1</f>
        <v>3.4652712861621193E-2</v>
      </c>
      <c r="I49" s="1459">
        <f ca="1">(Q38/K38)^(1/COUNTA(L38:Q38))-1</f>
        <v>3.5071974377427706E-2</v>
      </c>
      <c r="J49" s="1459">
        <f ca="1">(O38/L38)^(1/COUNTA(M38:O38))-1</f>
        <v>5.6171054496490624E-2</v>
      </c>
      <c r="K49" s="1459">
        <f ca="1">(P38/L38)^(1/COUNTA(M38:P38))-1</f>
        <v>3.5394017225679697E-2</v>
      </c>
      <c r="L49" s="1429">
        <f ca="1">(Q38/L38)^(1/COUNTA(M38:Q38))-1</f>
        <v>3.5749136445202723E-2</v>
      </c>
      <c r="Q49" s="171"/>
      <c r="R49" s="1578">
        <f ca="1">R38/Q38</f>
        <v>1.0371104758281442</v>
      </c>
      <c r="S49" s="78">
        <f ca="1">R42/P42</f>
        <v>1.0663365820146291</v>
      </c>
      <c r="T49" s="98"/>
      <c r="U49" t="str">
        <f>A49</f>
        <v>DHSC total budget</v>
      </c>
      <c r="V49" s="172">
        <f ca="1">F49</f>
        <v>1.5846178217339357E-2</v>
      </c>
      <c r="W49" s="172">
        <f ca="1">I49</f>
        <v>3.5071974377427706E-2</v>
      </c>
      <c r="Z49" s="51"/>
    </row>
    <row r="50" spans="1:26">
      <c r="A50" s="1484" t="s">
        <v>204</v>
      </c>
      <c r="B50" s="39"/>
      <c r="C50" s="1701"/>
      <c r="D50" s="39"/>
      <c r="E50" s="39"/>
      <c r="F50" s="1430">
        <f ca="1">(K39/F39)^(1/COUNTA(G39:K39))-1</f>
        <v>1.6405189685892774E-2</v>
      </c>
      <c r="G50" s="1459">
        <f ca="1">(O39/K39)^(1/COUNTA(L39:O39))-1</f>
        <v>5.1985330898868698E-2</v>
      </c>
      <c r="H50" s="1459">
        <f ca="1">(P39/K39)^(1/COUNTA(L39:P39))-1</f>
        <v>3.5699933987215493E-2</v>
      </c>
      <c r="I50" s="1459">
        <f ca="1">(Q39/K39)^(1/COUNTA(L39:Q39))-1</f>
        <v>3.7044730969924444E-2</v>
      </c>
      <c r="J50" s="1459">
        <f ca="1">(O39/L39)^(1/COUNTA(M39:O39))-1</f>
        <v>5.3139992049719753E-2</v>
      </c>
      <c r="K50" s="1459">
        <f ca="1">(P39/L39)^(1/COUNTA(M39:P39))-1</f>
        <v>3.2517284410367386E-2</v>
      </c>
      <c r="L50" s="1429">
        <f ca="1">(Q39/L39)^(1/COUNTA(M39:Q39))-1</f>
        <v>3.476302787324359E-2</v>
      </c>
      <c r="Q50" s="1263"/>
      <c r="R50" s="1263">
        <f ca="1">R38/P38</f>
        <v>1.0756607348087621</v>
      </c>
      <c r="S50">
        <f ca="1">S49^(1/2)</f>
        <v>1.0326357450788874</v>
      </c>
      <c r="U50" t="str">
        <f>A50</f>
        <v>Resource DEL excluding depreciation</v>
      </c>
      <c r="V50" s="172">
        <f t="shared" ref="V50" ca="1" si="18">F50</f>
        <v>1.6405189685892774E-2</v>
      </c>
      <c r="W50" s="172">
        <f t="shared" ref="W50" ca="1" si="19">I50</f>
        <v>3.7044730969924444E-2</v>
      </c>
      <c r="Z50" s="51"/>
    </row>
    <row r="51" spans="1:26">
      <c r="A51" s="1484" t="s">
        <v>129</v>
      </c>
      <c r="B51" s="39"/>
      <c r="C51" s="1701"/>
      <c r="D51" s="39"/>
      <c r="E51" s="39"/>
      <c r="F51" s="1459">
        <f ca="1">(K40/F40)^(1/COUNTA(G40:K40))-1</f>
        <v>2.1051639619926288E-2</v>
      </c>
      <c r="G51" s="1459" t="s">
        <v>243</v>
      </c>
      <c r="H51" s="1459" t="s">
        <v>243</v>
      </c>
      <c r="I51" s="1459" t="s">
        <v>243</v>
      </c>
      <c r="J51" s="1459">
        <f ca="1">(O40/L40)^(1/COUNTA(M40:O40))-1</f>
        <v>4.2888296865267739E-2</v>
      </c>
      <c r="K51" s="1459">
        <f ca="1">(P40/L40)^(1/COUNTA(M40:P40))-1</f>
        <v>3.2272380598859174E-2</v>
      </c>
      <c r="L51" s="1429">
        <f ca="1">(Q40/L40)^(1/COUNTA(M40:Q40))-1</f>
        <v>3.3076626638325335E-2</v>
      </c>
      <c r="Q51" s="983"/>
      <c r="R51" s="1595">
        <f ca="1">R50^(1/2)</f>
        <v>1.0371406533391516</v>
      </c>
      <c r="U51" t="str">
        <f>A53</f>
        <v>NHS England (excl. pensions)</v>
      </c>
      <c r="V51" s="172">
        <f t="shared" ref="V51:V53" ca="1" si="20">F53</f>
        <v>2.1051639619926288E-2</v>
      </c>
      <c r="W51" s="172">
        <f ca="1">I53</f>
        <v>3.90536395370773E-2</v>
      </c>
      <c r="Z51" s="51"/>
    </row>
    <row r="52" spans="1:26">
      <c r="A52" s="1484" t="s">
        <v>232</v>
      </c>
      <c r="B52" s="39"/>
      <c r="C52" s="1701"/>
      <c r="D52" s="39"/>
      <c r="E52" s="39"/>
      <c r="F52" s="1459" t="s">
        <v>243</v>
      </c>
      <c r="G52" s="1459" t="s">
        <v>243</v>
      </c>
      <c r="H52" s="1459" t="s">
        <v>243</v>
      </c>
      <c r="I52" s="1459" t="s">
        <v>243</v>
      </c>
      <c r="J52" s="1459" t="s">
        <v>243</v>
      </c>
      <c r="K52" s="1459" t="s">
        <v>243</v>
      </c>
      <c r="L52" s="1429" t="s">
        <v>243</v>
      </c>
      <c r="Q52" s="51"/>
      <c r="U52" t="str">
        <f>A54</f>
        <v>Of which: Other (non-NHS England)</v>
      </c>
      <c r="V52" s="172">
        <f t="shared" ca="1" si="20"/>
        <v>-2.8390551766735772E-2</v>
      </c>
      <c r="W52" s="172">
        <f ca="1">I54</f>
        <v>-5.8552788468972383E-2</v>
      </c>
      <c r="Z52" s="51"/>
    </row>
    <row r="53" spans="1:26">
      <c r="A53" s="1484" t="s">
        <v>212</v>
      </c>
      <c r="B53" s="39"/>
      <c r="C53" s="39"/>
      <c r="D53" s="39"/>
      <c r="E53" s="39"/>
      <c r="F53" s="1459">
        <f ca="1">(K43/F43)^(1/COUNTA(G43:K43))-1</f>
        <v>2.1051639619926288E-2</v>
      </c>
      <c r="G53" s="1459">
        <f ca="1">(O43/K43)^(1/COUNTA(L43:O43))-1</f>
        <v>5.1841444894992206E-2</v>
      </c>
      <c r="H53" s="1459">
        <f ca="1">(P43/K43)^(1/COUNTA(L43:P43))-1</f>
        <v>4.1705839352552676E-2</v>
      </c>
      <c r="I53" s="1459">
        <f ca="1">(Q43/K43)^(1/COUNTA(L43:Q43))-1</f>
        <v>3.90536395370773E-2</v>
      </c>
      <c r="J53" s="1459">
        <f ca="1">(O43/L43)^(1/COUNTA(M43:O43))-1</f>
        <v>4.460435703016663E-2</v>
      </c>
      <c r="K53" s="1459">
        <f ca="1">(P43/L43)^(1/COUNTA(M43:P43))-1</f>
        <v>3.3820093695276388E-2</v>
      </c>
      <c r="L53" s="1429">
        <f ca="1">(Q43/L43)^(1/COUNTA(M43:Q43))-1</f>
        <v>3.2229907622242537E-2</v>
      </c>
      <c r="P53" s="172"/>
      <c r="R53" s="1505">
        <f ca="1">(R10/R$33)*$Q$33</f>
        <v>187.48211575007898</v>
      </c>
      <c r="U53" t="str">
        <f>A55</f>
        <v>Capital DEL</v>
      </c>
      <c r="V53" s="172">
        <f t="shared" ca="1" si="20"/>
        <v>4.7181739875628015E-3</v>
      </c>
      <c r="W53" s="172">
        <f ca="1">I55</f>
        <v>8.012302730058285E-2</v>
      </c>
      <c r="Z53" s="51"/>
    </row>
    <row r="54" spans="1:26">
      <c r="A54" s="1484" t="s">
        <v>234</v>
      </c>
      <c r="B54" s="39"/>
      <c r="C54" s="39"/>
      <c r="D54" s="39"/>
      <c r="E54" s="39"/>
      <c r="F54" s="1459">
        <f t="shared" ref="F54:F55" ca="1" si="21">(K44/F44)^(1/COUNTA(G44:K44))-1</f>
        <v>-2.8390551766735772E-2</v>
      </c>
      <c r="G54" s="1459">
        <f ca="1">(O44/K44)^(1/COUNTA(L44:O44))-1</f>
        <v>-3.8352235898779785E-3</v>
      </c>
      <c r="H54" s="1459">
        <f ca="1">(P44/K44)^(1/COUNTA(L44:P44))-1</f>
        <v>-0.10739442997658033</v>
      </c>
      <c r="I54" s="1459">
        <f ca="1">(Q44/K44)^(1/COUNTA(L44:Q44))-1</f>
        <v>-5.8552788468972383E-2</v>
      </c>
      <c r="J54" s="1459">
        <f ca="1">(O44/L44)^(1/COUNTA(M44:O44))-1</f>
        <v>0.26465229158551939</v>
      </c>
      <c r="K54" s="1459">
        <f ca="1">(P44/L44)^(1/COUNTA(M44:P44))-1</f>
        <v>3.8655824510159364E-2</v>
      </c>
      <c r="L54" s="1429">
        <f ca="1">(Q44/L44)^(1/COUNTA(M44:Q44))-1</f>
        <v>7.4169716127248986E-2</v>
      </c>
      <c r="Z54" s="51"/>
    </row>
    <row r="55" spans="1:26" ht="15" thickBot="1">
      <c r="A55" s="1483" t="s">
        <v>214</v>
      </c>
      <c r="B55" s="1477"/>
      <c r="C55" s="1477"/>
      <c r="D55" s="1477"/>
      <c r="E55" s="1477"/>
      <c r="F55" s="1479">
        <f t="shared" ca="1" si="21"/>
        <v>4.7181739875628015E-3</v>
      </c>
      <c r="G55" s="1479">
        <f ca="1">(O45/K45)^(1/COUNTA(L45:O45))-1</f>
        <v>9.6012052843739815E-2</v>
      </c>
      <c r="H55" s="1479">
        <f ca="1">(P45/K45)^(1/COUNTA(L45:P45))-1</f>
        <v>7.7937482716952999E-2</v>
      </c>
      <c r="I55" s="1479">
        <f ca="1">(Q45/K45)^(1/COUNTA(L45:Q45))-1</f>
        <v>8.012302730058285E-2</v>
      </c>
      <c r="J55" s="1479">
        <f ca="1">(O45/L45)^(1/COUNTA(M45:O45))-1</f>
        <v>7.7509897679119977E-2</v>
      </c>
      <c r="K55" s="1479">
        <f ca="1">(P45/L45)^(1/COUNTA(M45:P45))-1</f>
        <v>5.9845568335394228E-2</v>
      </c>
      <c r="L55" s="1428">
        <f ca="1">(Q45/L45)^(1/COUNTA(M45:Q45))-1</f>
        <v>6.602739826560855E-2</v>
      </c>
      <c r="Z55" s="51"/>
    </row>
    <row r="56" spans="1:26" ht="15" thickBot="1">
      <c r="P56" s="900"/>
      <c r="Q56" s="900"/>
      <c r="R56" s="900"/>
      <c r="U56" s="51"/>
      <c r="V56" s="51"/>
      <c r="W56" s="51"/>
      <c r="Z56" s="51"/>
    </row>
    <row r="57" spans="1:26" ht="15" thickBot="1">
      <c r="A57" s="1433" t="s">
        <v>244</v>
      </c>
      <c r="B57" s="1510"/>
      <c r="C57" s="1510"/>
      <c r="D57" s="1510"/>
      <c r="E57" s="1510"/>
      <c r="F57" s="1510" t="s">
        <v>245</v>
      </c>
      <c r="G57" s="1510" t="s">
        <v>192</v>
      </c>
      <c r="H57" s="1510" t="s">
        <v>193</v>
      </c>
      <c r="I57" s="1510" t="s">
        <v>165</v>
      </c>
      <c r="J57" s="1510" t="s">
        <v>167</v>
      </c>
      <c r="K57" s="1510" t="s">
        <v>168</v>
      </c>
      <c r="L57" s="1510" t="s">
        <v>169</v>
      </c>
      <c r="M57" s="1510" t="s">
        <v>170</v>
      </c>
      <c r="N57" s="1510" t="s">
        <v>171</v>
      </c>
      <c r="O57" s="1510" t="s">
        <v>172</v>
      </c>
      <c r="P57" s="1510" t="s">
        <v>173</v>
      </c>
      <c r="Q57" s="1510" t="s">
        <v>174</v>
      </c>
      <c r="R57" s="1511" t="s">
        <v>139</v>
      </c>
      <c r="U57" s="51"/>
      <c r="V57" s="51"/>
      <c r="W57" s="51"/>
      <c r="Z57" s="51"/>
    </row>
    <row r="58" spans="1:26">
      <c r="A58" s="1484" t="s">
        <v>178</v>
      </c>
      <c r="B58" s="39"/>
      <c r="C58" s="39"/>
      <c r="D58" s="39"/>
      <c r="E58" s="39"/>
      <c r="F58" s="39"/>
      <c r="G58" s="39"/>
      <c r="H58" s="39"/>
      <c r="I58" s="39"/>
      <c r="J58" s="39"/>
      <c r="K58" s="1237">
        <f>K10</f>
        <v>112.42700000000001</v>
      </c>
      <c r="L58" s="1237">
        <f>L10</f>
        <v>126.44199999999999</v>
      </c>
      <c r="M58" s="1237">
        <f>M10</f>
        <v>146.018</v>
      </c>
      <c r="N58" s="1237">
        <f>N10</f>
        <v>152.31700000000001</v>
      </c>
      <c r="O58" s="1237">
        <f>O10</f>
        <v>160.93899999999999</v>
      </c>
      <c r="P58" s="1237"/>
      <c r="Q58" s="1237"/>
      <c r="R58" s="1481"/>
      <c r="T58" s="428"/>
      <c r="U58" s="51"/>
      <c r="V58" s="51"/>
      <c r="W58" s="51"/>
    </row>
    <row r="59" spans="1:26">
      <c r="A59" s="1484" t="s">
        <v>246</v>
      </c>
      <c r="B59" s="39"/>
      <c r="C59" s="39"/>
      <c r="D59" s="39"/>
      <c r="E59" s="39"/>
      <c r="F59" s="39"/>
      <c r="G59" s="39"/>
      <c r="H59" s="39"/>
      <c r="I59" s="39"/>
      <c r="J59" s="39"/>
      <c r="K59" s="1237">
        <f>'Autumn 23'!G9</f>
        <v>112.42700000000001</v>
      </c>
      <c r="L59" s="1237">
        <f>'Autumn 23'!H9</f>
        <v>121.70699999999999</v>
      </c>
      <c r="M59" s="1237">
        <f>'Autumn 23'!I9</f>
        <v>141.02600000000001</v>
      </c>
      <c r="N59" s="1237">
        <f>'Autumn 23'!J9</f>
        <v>146.68100000000001</v>
      </c>
      <c r="O59" s="1237">
        <f>'Autumn 23'!K9</f>
        <v>155.1</v>
      </c>
      <c r="P59" s="39"/>
      <c r="Q59" s="39"/>
      <c r="R59" s="1481"/>
    </row>
    <row r="60" spans="1:26">
      <c r="A60" s="1484" t="s">
        <v>247</v>
      </c>
      <c r="B60" s="39"/>
      <c r="C60" s="39"/>
      <c r="D60" s="39"/>
      <c r="E60" s="39"/>
      <c r="F60" s="39"/>
      <c r="G60" s="39"/>
      <c r="H60" s="39"/>
      <c r="I60" s="39"/>
      <c r="J60" s="39"/>
      <c r="K60" s="287">
        <f>K59-K58</f>
        <v>0</v>
      </c>
      <c r="L60" s="287">
        <f>L59-L58</f>
        <v>-4.7349999999999994</v>
      </c>
      <c r="M60" s="287">
        <f>M59-M58</f>
        <v>-4.9919999999999902</v>
      </c>
      <c r="N60" s="287">
        <f>N59-N58</f>
        <v>-5.6359999999999957</v>
      </c>
      <c r="O60" s="287">
        <v>3.3</v>
      </c>
      <c r="P60" s="287">
        <v>3.3</v>
      </c>
      <c r="Q60" s="287">
        <v>3.4</v>
      </c>
      <c r="R60" s="1506"/>
      <c r="S60" s="428"/>
      <c r="U60" s="51"/>
      <c r="V60" s="51"/>
      <c r="W60" s="51"/>
      <c r="Z60" s="51"/>
    </row>
    <row r="61" spans="1:26" ht="15" thickBot="1">
      <c r="A61" s="1483" t="s">
        <v>248</v>
      </c>
      <c r="B61" s="1477"/>
      <c r="C61" s="1477"/>
      <c r="D61" s="1477"/>
      <c r="E61" s="1477"/>
      <c r="F61" s="1507">
        <f>G61/(1+$S$60)</f>
        <v>0</v>
      </c>
      <c r="G61" s="1507">
        <f>H61/(1+$S$60)</f>
        <v>0</v>
      </c>
      <c r="H61" s="1507">
        <f>I61/(1+$S$60)</f>
        <v>0</v>
      </c>
      <c r="I61" s="1507">
        <f>J61/(1+$S$60)</f>
        <v>0</v>
      </c>
      <c r="J61" s="1507">
        <f>K60/(1+$S$60)</f>
        <v>0</v>
      </c>
      <c r="K61" s="1507">
        <f t="shared" ref="K61:O61" si="22">K60</f>
        <v>0</v>
      </c>
      <c r="L61" s="1507">
        <f t="shared" si="22"/>
        <v>-4.7349999999999994</v>
      </c>
      <c r="M61" s="1507">
        <f t="shared" si="22"/>
        <v>-4.9919999999999902</v>
      </c>
      <c r="N61" s="1507">
        <f t="shared" si="22"/>
        <v>-5.6359999999999957</v>
      </c>
      <c r="O61" s="1507">
        <f t="shared" si="22"/>
        <v>3.3</v>
      </c>
      <c r="P61" s="1507">
        <f>P60</f>
        <v>3.3</v>
      </c>
      <c r="Q61" s="1507">
        <f>Q60</f>
        <v>3.4</v>
      </c>
      <c r="R61" s="1508"/>
      <c r="S61" s="428"/>
      <c r="U61" s="51"/>
      <c r="V61" s="51"/>
      <c r="W61" s="51"/>
      <c r="Z61" s="51"/>
    </row>
    <row r="62" spans="1:26" ht="15" thickBot="1">
      <c r="K62" s="96"/>
      <c r="L62" s="96"/>
      <c r="M62" s="96"/>
      <c r="N62" s="96"/>
      <c r="O62" s="96"/>
      <c r="P62" s="96"/>
      <c r="Q62" s="96"/>
      <c r="R62" s="96"/>
      <c r="S62" s="428"/>
      <c r="U62" s="51"/>
      <c r="V62" s="51"/>
      <c r="W62" s="51"/>
      <c r="Z62" s="51"/>
    </row>
    <row r="63" spans="1:26">
      <c r="A63" s="1487" t="s">
        <v>212</v>
      </c>
      <c r="B63" s="1488"/>
      <c r="C63" s="1488"/>
      <c r="D63" s="1488"/>
      <c r="E63" s="1488"/>
      <c r="F63" s="1558">
        <f>F15</f>
        <v>93.695999999999998</v>
      </c>
      <c r="G63" s="1462">
        <f t="shared" ref="G63:O63" si="23">G15</f>
        <v>97.097999999999999</v>
      </c>
      <c r="H63" s="1462">
        <f t="shared" si="23"/>
        <v>100.572</v>
      </c>
      <c r="I63" s="1462">
        <f t="shared" si="23"/>
        <v>105.735</v>
      </c>
      <c r="J63" s="1462">
        <f t="shared" si="23"/>
        <v>109.605</v>
      </c>
      <c r="K63" s="1512">
        <f t="shared" si="23"/>
        <v>112.42700000000001</v>
      </c>
      <c r="L63" s="1462">
        <f>L15</f>
        <v>123.59099999999999</v>
      </c>
      <c r="M63" s="1462">
        <f t="shared" si="23"/>
        <v>143.167</v>
      </c>
      <c r="N63" s="1462">
        <f t="shared" si="23"/>
        <v>149.46600000000001</v>
      </c>
      <c r="O63" s="1462">
        <f t="shared" si="23"/>
        <v>158.08799999999999</v>
      </c>
      <c r="P63" s="1462">
        <f>P15</f>
        <v>168.148</v>
      </c>
      <c r="Q63" s="1462">
        <f>Q15</f>
        <v>176.59829999999999</v>
      </c>
      <c r="R63" s="1461">
        <f>R15</f>
        <v>187.139378695077</v>
      </c>
      <c r="S63" s="51"/>
      <c r="T63" s="428"/>
      <c r="U63" s="51"/>
      <c r="V63" s="51"/>
      <c r="W63" s="51"/>
      <c r="Z63" s="51"/>
    </row>
    <row r="64" spans="1:26">
      <c r="A64" s="1514" t="s">
        <v>249</v>
      </c>
      <c r="B64" s="39"/>
      <c r="C64" s="39"/>
      <c r="D64" s="39"/>
      <c r="E64" s="39"/>
      <c r="F64" s="1559">
        <f>F63-F61</f>
        <v>93.695999999999998</v>
      </c>
      <c r="G64" s="287">
        <f>G63-G61</f>
        <v>97.097999999999999</v>
      </c>
      <c r="H64" s="287">
        <f>H63-H61</f>
        <v>100.572</v>
      </c>
      <c r="I64" s="287">
        <f>I63-I61</f>
        <v>105.735</v>
      </c>
      <c r="J64" s="287">
        <f>J63-J61</f>
        <v>109.605</v>
      </c>
      <c r="K64" s="287">
        <f t="shared" ref="K64:Q64" si="24">K63</f>
        <v>112.42700000000001</v>
      </c>
      <c r="L64" s="287">
        <f t="shared" si="24"/>
        <v>123.59099999999999</v>
      </c>
      <c r="M64" s="287">
        <f t="shared" si="24"/>
        <v>143.167</v>
      </c>
      <c r="N64" s="287">
        <f t="shared" si="24"/>
        <v>149.46600000000001</v>
      </c>
      <c r="O64" s="287">
        <f t="shared" si="24"/>
        <v>158.08799999999999</v>
      </c>
      <c r="P64" s="287">
        <f>P63</f>
        <v>168.148</v>
      </c>
      <c r="Q64" s="287">
        <f t="shared" si="24"/>
        <v>176.59829999999999</v>
      </c>
      <c r="R64" s="1506">
        <f>R63</f>
        <v>187.139378695077</v>
      </c>
      <c r="T64" s="428"/>
      <c r="U64" s="51"/>
      <c r="V64" s="51"/>
      <c r="W64" s="51"/>
      <c r="Z64" s="78"/>
    </row>
    <row r="65" spans="1:26" ht="15" thickBot="1">
      <c r="A65" s="1486" t="s">
        <v>250</v>
      </c>
      <c r="B65" s="1477"/>
      <c r="C65" s="1477"/>
      <c r="D65" s="1477"/>
      <c r="E65" s="1477"/>
      <c r="F65" s="1560">
        <f>F63</f>
        <v>93.695999999999998</v>
      </c>
      <c r="G65" s="1507">
        <f>G63</f>
        <v>97.097999999999999</v>
      </c>
      <c r="H65" s="1507">
        <f>H63</f>
        <v>100.572</v>
      </c>
      <c r="I65" s="1507">
        <f>I63</f>
        <v>105.735</v>
      </c>
      <c r="J65" s="1507">
        <f>J63</f>
        <v>109.605</v>
      </c>
      <c r="K65" s="1513">
        <f t="shared" ref="K65:Q65" si="25">K63+K61</f>
        <v>112.42700000000001</v>
      </c>
      <c r="L65" s="1507">
        <f>L63+L61</f>
        <v>118.85599999999999</v>
      </c>
      <c r="M65" s="1507">
        <f t="shared" si="25"/>
        <v>138.17500000000001</v>
      </c>
      <c r="N65" s="1507">
        <f t="shared" si="25"/>
        <v>143.83000000000001</v>
      </c>
      <c r="O65" s="1507">
        <f t="shared" si="25"/>
        <v>161.38800000000001</v>
      </c>
      <c r="P65" s="1507">
        <f>P63+P61</f>
        <v>171.44800000000001</v>
      </c>
      <c r="Q65" s="1507">
        <f t="shared" si="25"/>
        <v>179.9983</v>
      </c>
      <c r="R65" s="1508">
        <f>R63+R61</f>
        <v>187.139378695077</v>
      </c>
      <c r="S65" s="96"/>
      <c r="T65" s="428"/>
      <c r="U65" s="51"/>
      <c r="V65" s="51"/>
      <c r="W65" s="51"/>
      <c r="Z65" s="78"/>
    </row>
    <row r="66" spans="1:26" ht="15" thickBot="1"/>
    <row r="67" spans="1:26" ht="15" thickBot="1">
      <c r="A67" s="1754" t="s">
        <v>226</v>
      </c>
      <c r="B67" s="1488"/>
      <c r="C67" s="1488"/>
      <c r="D67" s="1488"/>
      <c r="E67" s="1488"/>
      <c r="F67" s="1516" t="s">
        <v>245</v>
      </c>
      <c r="G67" s="1517" t="s">
        <v>192</v>
      </c>
      <c r="H67" s="1517" t="s">
        <v>193</v>
      </c>
      <c r="I67" s="1517" t="s">
        <v>165</v>
      </c>
      <c r="J67" s="1517" t="s">
        <v>167</v>
      </c>
      <c r="K67" s="1517" t="s">
        <v>168</v>
      </c>
      <c r="L67" s="1517" t="s">
        <v>169</v>
      </c>
      <c r="M67" s="1517" t="s">
        <v>170</v>
      </c>
      <c r="N67" s="1517" t="s">
        <v>171</v>
      </c>
      <c r="O67" s="1517" t="s">
        <v>172</v>
      </c>
      <c r="P67" s="1517" t="s">
        <v>173</v>
      </c>
      <c r="Q67" s="1517" t="s">
        <v>174</v>
      </c>
      <c r="R67" s="1518" t="s">
        <v>139</v>
      </c>
      <c r="S67" s="1427"/>
    </row>
    <row r="68" spans="1:26" ht="15" thickBot="1">
      <c r="A68" s="1755"/>
      <c r="B68" s="1490"/>
      <c r="C68" s="1490"/>
      <c r="D68" s="1490"/>
      <c r="E68" s="1490"/>
      <c r="F68" s="1476">
        <f t="shared" ref="F68:R68" ca="1" si="26">F33</f>
        <v>75.8566</v>
      </c>
      <c r="G68" s="1476">
        <f t="shared" ca="1" si="26"/>
        <v>76.783500000000004</v>
      </c>
      <c r="H68" s="1476">
        <f t="shared" ca="1" si="26"/>
        <v>77.334699999999998</v>
      </c>
      <c r="I68" s="1476">
        <f t="shared" ca="1" si="26"/>
        <v>79.081299999999999</v>
      </c>
      <c r="J68" s="1476">
        <f t="shared" ca="1" si="26"/>
        <v>80.325400000000002</v>
      </c>
      <c r="K68" s="1476">
        <f t="shared" ca="1" si="26"/>
        <v>82.017099999999999</v>
      </c>
      <c r="L68" s="1476">
        <f t="shared" ca="1" si="26"/>
        <v>83.960499999999996</v>
      </c>
      <c r="M68" s="1476">
        <f t="shared" ca="1" si="26"/>
        <v>88.465500000000006</v>
      </c>
      <c r="N68" s="1476">
        <f t="shared" ca="1" si="26"/>
        <v>87.948599999999999</v>
      </c>
      <c r="O68" s="1476">
        <f t="shared" ca="1" si="26"/>
        <v>94.217500000000001</v>
      </c>
      <c r="P68" s="1476">
        <f t="shared" ca="1" si="26"/>
        <v>100</v>
      </c>
      <c r="Q68" s="1476">
        <f t="shared" ca="1" si="26"/>
        <v>102.37466607696864</v>
      </c>
      <c r="R68" s="1437">
        <f t="shared" ca="1" si="26"/>
        <v>104.81729266263783</v>
      </c>
    </row>
    <row r="69" spans="1:26" ht="15" thickBot="1">
      <c r="F69" s="583"/>
      <c r="G69" s="583"/>
      <c r="H69" s="583"/>
    </row>
    <row r="70" spans="1:26" ht="15" thickBot="1">
      <c r="A70" s="1519" t="s">
        <v>251</v>
      </c>
      <c r="B70" s="1515"/>
      <c r="C70" s="1515"/>
      <c r="D70" s="1515"/>
      <c r="E70" s="1515"/>
      <c r="F70" s="1510" t="s">
        <v>245</v>
      </c>
      <c r="G70" s="1510" t="s">
        <v>192</v>
      </c>
      <c r="H70" s="1510" t="s">
        <v>193</v>
      </c>
      <c r="I70" s="1510" t="s">
        <v>165</v>
      </c>
      <c r="J70" s="1510" t="s">
        <v>167</v>
      </c>
      <c r="K70" s="1510" t="s">
        <v>168</v>
      </c>
      <c r="L70" s="1510" t="s">
        <v>169</v>
      </c>
      <c r="M70" s="1510" t="s">
        <v>170</v>
      </c>
      <c r="N70" s="1510" t="s">
        <v>171</v>
      </c>
      <c r="O70" s="1510" t="s">
        <v>172</v>
      </c>
      <c r="P70" s="1510" t="s">
        <v>173</v>
      </c>
      <c r="Q70" s="1510" t="s">
        <v>174</v>
      </c>
      <c r="R70" s="1511" t="s">
        <v>139</v>
      </c>
    </row>
    <row r="71" spans="1:26">
      <c r="A71" s="1484" t="s">
        <v>249</v>
      </c>
      <c r="B71" s="39"/>
      <c r="C71" s="39"/>
      <c r="D71" s="39"/>
      <c r="E71" s="39"/>
      <c r="F71" s="1237">
        <f ca="1">(F64/F68)*$Q68</f>
        <v>126.45039077348119</v>
      </c>
      <c r="G71" s="1237">
        <f t="shared" ref="G71:O71" ca="1" si="27">(G64/G68)*$Q68</f>
        <v>129.45978402575423</v>
      </c>
      <c r="H71" s="1237">
        <f t="shared" ca="1" si="27"/>
        <v>133.13590040037511</v>
      </c>
      <c r="I71" s="1237">
        <f t="shared" ca="1" si="27"/>
        <v>136.87920301826449</v>
      </c>
      <c r="J71" s="1237">
        <f t="shared" ca="1" si="27"/>
        <v>139.69149578297959</v>
      </c>
      <c r="K71" s="1237">
        <f t="shared" ca="1" si="27"/>
        <v>140.33264505859574</v>
      </c>
      <c r="L71" s="1237">
        <f t="shared" ca="1" si="27"/>
        <v>150.69690336668589</v>
      </c>
      <c r="M71" s="1237">
        <f t="shared" ca="1" si="27"/>
        <v>165.67671937920849</v>
      </c>
      <c r="N71" s="1237">
        <f t="shared" ca="1" si="27"/>
        <v>173.98266532793238</v>
      </c>
      <c r="O71" s="1237">
        <f t="shared" ca="1" si="27"/>
        <v>171.77494850506346</v>
      </c>
      <c r="P71" s="1237">
        <f ca="1">(P64/P68)*$Q68</f>
        <v>172.14095351510122</v>
      </c>
      <c r="Q71" s="1237">
        <f ca="1">(Q64/Q68)*$Q68</f>
        <v>176.59829999999999</v>
      </c>
      <c r="R71" s="1458">
        <f ca="1">(R64/R68)*$Q68</f>
        <v>182.77834617826267</v>
      </c>
      <c r="S71" s="428"/>
      <c r="T71" s="428"/>
    </row>
    <row r="72" spans="1:26" ht="15" thickBot="1">
      <c r="A72" s="1483" t="s">
        <v>250</v>
      </c>
      <c r="B72" s="1477"/>
      <c r="C72" s="1477"/>
      <c r="D72" s="1477"/>
      <c r="E72" s="1477"/>
      <c r="F72" s="1456">
        <f t="shared" ref="F72:Q72" ca="1" si="28">(F65/F68)*$Q68</f>
        <v>126.45039077348119</v>
      </c>
      <c r="G72" s="1456">
        <f t="shared" ca="1" si="28"/>
        <v>129.45978402575423</v>
      </c>
      <c r="H72" s="1456">
        <f t="shared" ca="1" si="28"/>
        <v>133.13590040037511</v>
      </c>
      <c r="I72" s="1456">
        <f t="shared" ca="1" si="28"/>
        <v>136.87920301826449</v>
      </c>
      <c r="J72" s="1456">
        <f t="shared" ca="1" si="28"/>
        <v>139.69149578297959</v>
      </c>
      <c r="K72" s="1456">
        <f t="shared" ca="1" si="28"/>
        <v>140.33264505859574</v>
      </c>
      <c r="L72" s="1456">
        <f t="shared" ca="1" si="28"/>
        <v>144.92342603062374</v>
      </c>
      <c r="M72" s="1456">
        <f t="shared" ca="1" si="28"/>
        <v>159.89984214394471</v>
      </c>
      <c r="N72" s="1456">
        <f t="shared" ca="1" si="28"/>
        <v>167.42220139775279</v>
      </c>
      <c r="O72" s="1456">
        <f t="shared" ca="1" si="28"/>
        <v>175.36065602281758</v>
      </c>
      <c r="P72" s="1456">
        <f t="shared" ca="1" si="28"/>
        <v>175.51931749564119</v>
      </c>
      <c r="Q72" s="1456">
        <f t="shared" ca="1" si="28"/>
        <v>179.9983</v>
      </c>
      <c r="R72" s="1455">
        <f ca="1">(R65/R68)*$Q68</f>
        <v>182.77834617826267</v>
      </c>
      <c r="S72" s="428"/>
      <c r="T72" s="428"/>
    </row>
    <row r="73" spans="1:26">
      <c r="P73" s="51"/>
      <c r="R73">
        <f ca="1">R71/P71</f>
        <v>1.0617946656269002</v>
      </c>
    </row>
    <row r="74" spans="1:26">
      <c r="F74" s="51"/>
      <c r="G74" s="51"/>
      <c r="H74" s="51"/>
      <c r="I74" s="51"/>
      <c r="J74" s="51"/>
      <c r="K74" s="51"/>
      <c r="L74" s="51"/>
      <c r="M74" s="51"/>
      <c r="N74" s="51"/>
      <c r="O74" s="51"/>
      <c r="P74" s="51"/>
      <c r="Q74" s="51"/>
      <c r="R74" s="805">
        <f ca="1">R73^(1/2)</f>
        <v>1.0304342121780024</v>
      </c>
    </row>
    <row r="75" spans="1:26">
      <c r="F75" s="51"/>
      <c r="G75" s="51"/>
      <c r="H75" s="51"/>
      <c r="I75" s="51"/>
      <c r="J75" s="51"/>
      <c r="K75" s="51"/>
      <c r="L75" s="51"/>
      <c r="M75" s="51"/>
      <c r="N75" s="51"/>
      <c r="O75" s="51"/>
      <c r="P75" s="51"/>
      <c r="Q75" s="51"/>
      <c r="R75" s="51"/>
    </row>
    <row r="76" spans="1:26">
      <c r="P76" s="51"/>
    </row>
    <row r="77" spans="1:26">
      <c r="F77" s="1556"/>
      <c r="Q77" s="1016"/>
      <c r="R77" s="1016"/>
    </row>
    <row r="78" spans="1:26">
      <c r="F78" s="1557"/>
      <c r="Q78" s="1557"/>
      <c r="R78" s="1557"/>
    </row>
    <row r="80" spans="1:26">
      <c r="J80" t="s">
        <v>252</v>
      </c>
    </row>
    <row r="82" spans="9:22">
      <c r="I82" s="1702" t="s">
        <v>253</v>
      </c>
      <c r="J82" s="1702" t="str">
        <f>J70</f>
        <v>2017-18</v>
      </c>
      <c r="K82" s="1702" t="str">
        <f t="shared" ref="K82:R82" si="29">K70</f>
        <v>2018-19</v>
      </c>
      <c r="L82" s="1702" t="str">
        <f t="shared" si="29"/>
        <v>2019-20</v>
      </c>
      <c r="M82" s="1702" t="str">
        <f t="shared" si="29"/>
        <v>2020-21</v>
      </c>
      <c r="N82" s="1702" t="str">
        <f t="shared" si="29"/>
        <v>2021-22</v>
      </c>
      <c r="O82" s="1702" t="str">
        <f t="shared" si="29"/>
        <v>2022-23</v>
      </c>
      <c r="P82" s="1702" t="str">
        <f t="shared" si="29"/>
        <v>2023-24</v>
      </c>
      <c r="Q82" s="1702" t="str">
        <f t="shared" si="29"/>
        <v>2024-25</v>
      </c>
      <c r="R82" s="1702" t="str">
        <f t="shared" si="29"/>
        <v>2025-26</v>
      </c>
    </row>
    <row r="83" spans="9:22">
      <c r="I83" s="1702" t="s">
        <v>131</v>
      </c>
      <c r="J83" s="1703">
        <f>J7</f>
        <v>125.15600000000001</v>
      </c>
      <c r="K83" s="1703">
        <f t="shared" ref="K83:R83" si="30">K7</f>
        <v>128.39599999999999</v>
      </c>
      <c r="L83" s="1703">
        <f t="shared" si="30"/>
        <v>138.45499999999998</v>
      </c>
      <c r="M83" s="1703">
        <f t="shared" si="30"/>
        <v>190.61</v>
      </c>
      <c r="N83" s="1703">
        <f t="shared" si="30"/>
        <v>187.274</v>
      </c>
      <c r="O83" s="1703">
        <f t="shared" si="30"/>
        <v>182.131</v>
      </c>
      <c r="P83" s="1703">
        <f t="shared" si="30"/>
        <v>188.46899999999999</v>
      </c>
      <c r="Q83" s="1703">
        <f t="shared" si="30"/>
        <v>201.905225</v>
      </c>
      <c r="R83" s="1703">
        <f t="shared" si="30"/>
        <v>214.09629687395767</v>
      </c>
    </row>
    <row r="84" spans="9:22">
      <c r="I84" s="1702" t="s">
        <v>254</v>
      </c>
      <c r="J84" s="1703">
        <f>J8</f>
        <v>125.15600000000001</v>
      </c>
      <c r="K84" s="1703">
        <f t="shared" ref="K84:R84" si="31">K8</f>
        <v>128.39599999999999</v>
      </c>
      <c r="L84" s="1703">
        <f t="shared" si="31"/>
        <v>135.60399999999998</v>
      </c>
      <c r="M84" s="1703">
        <f t="shared" si="31"/>
        <v>187.75900000000001</v>
      </c>
      <c r="N84" s="1703">
        <f t="shared" si="31"/>
        <v>184.423</v>
      </c>
      <c r="O84" s="1703">
        <f t="shared" si="31"/>
        <v>179.28</v>
      </c>
      <c r="P84" s="1703">
        <f t="shared" si="31"/>
        <v>185.61799999999999</v>
      </c>
      <c r="Q84" s="1703">
        <f t="shared" si="31"/>
        <v>197.089225</v>
      </c>
      <c r="R84" s="1703">
        <f t="shared" si="31"/>
        <v>209.28029687395767</v>
      </c>
    </row>
    <row r="85" spans="9:22">
      <c r="I85" s="1702" t="s">
        <v>128</v>
      </c>
      <c r="J85" s="1703">
        <f>J9</f>
        <v>119.91800000000001</v>
      </c>
      <c r="K85" s="1703">
        <f t="shared" ref="K85:R85" si="32">K9</f>
        <v>122.455</v>
      </c>
      <c r="L85" s="1703">
        <f t="shared" si="32"/>
        <v>131.44</v>
      </c>
      <c r="M85" s="1703">
        <f t="shared" si="32"/>
        <v>177.90600000000001</v>
      </c>
      <c r="N85" s="1703">
        <f t="shared" si="32"/>
        <v>178.155</v>
      </c>
      <c r="O85" s="1703">
        <f t="shared" si="32"/>
        <v>172.28299999999999</v>
      </c>
      <c r="P85" s="1703">
        <f t="shared" si="32"/>
        <v>177.92699999999999</v>
      </c>
      <c r="Q85" s="1703">
        <f t="shared" si="32"/>
        <v>190.12951799999999</v>
      </c>
      <c r="R85" s="1703">
        <f t="shared" si="32"/>
        <v>200.49934437966382</v>
      </c>
    </row>
    <row r="86" spans="9:22">
      <c r="I86" s="1702" t="s">
        <v>255</v>
      </c>
      <c r="J86" s="1703">
        <f>J14</f>
        <v>119.91800000000001</v>
      </c>
      <c r="K86" s="1703">
        <f t="shared" ref="K86:R86" si="33">K14</f>
        <v>122.455</v>
      </c>
      <c r="L86" s="1703">
        <f t="shared" si="33"/>
        <v>128.589</v>
      </c>
      <c r="M86" s="1703">
        <f t="shared" si="33"/>
        <v>175.05500000000001</v>
      </c>
      <c r="N86" s="1703">
        <f t="shared" si="33"/>
        <v>175.304</v>
      </c>
      <c r="O86" s="1703">
        <f t="shared" si="33"/>
        <v>169.43199999999999</v>
      </c>
      <c r="P86" s="1703">
        <f t="shared" si="33"/>
        <v>175.07599999999999</v>
      </c>
      <c r="Q86" s="1703">
        <f t="shared" si="33"/>
        <v>185.31351799999999</v>
      </c>
      <c r="R86" s="1703">
        <f t="shared" si="33"/>
        <v>195.68334437966382</v>
      </c>
    </row>
    <row r="87" spans="9:22">
      <c r="I87" s="1702" t="s">
        <v>256</v>
      </c>
      <c r="J87" s="1703">
        <f>J10</f>
        <v>109.605</v>
      </c>
      <c r="K87" s="1703">
        <f t="shared" ref="K87:R87" si="34">K10</f>
        <v>112.42700000000001</v>
      </c>
      <c r="L87" s="1703">
        <f t="shared" si="34"/>
        <v>126.44199999999999</v>
      </c>
      <c r="M87" s="1703">
        <f t="shared" si="34"/>
        <v>146.018</v>
      </c>
      <c r="N87" s="1703">
        <f t="shared" si="34"/>
        <v>152.31700000000001</v>
      </c>
      <c r="O87" s="1703">
        <f t="shared" si="34"/>
        <v>160.93899999999999</v>
      </c>
      <c r="P87" s="1703">
        <f t="shared" si="34"/>
        <v>170.999</v>
      </c>
      <c r="Q87" s="1703">
        <f t="shared" si="34"/>
        <v>181.4143</v>
      </c>
      <c r="R87" s="1703">
        <f t="shared" si="34"/>
        <v>191.955378695077</v>
      </c>
    </row>
    <row r="88" spans="9:22">
      <c r="I88" s="1702" t="s">
        <v>257</v>
      </c>
      <c r="J88" s="1703">
        <f>J15</f>
        <v>109.605</v>
      </c>
      <c r="K88" s="1703">
        <f t="shared" ref="K88:R88" si="35">K15</f>
        <v>112.42700000000001</v>
      </c>
      <c r="L88" s="1703">
        <f t="shared" si="35"/>
        <v>123.59099999999999</v>
      </c>
      <c r="M88" s="1703">
        <f t="shared" si="35"/>
        <v>143.167</v>
      </c>
      <c r="N88" s="1703">
        <f t="shared" si="35"/>
        <v>149.46600000000001</v>
      </c>
      <c r="O88" s="1703">
        <f t="shared" si="35"/>
        <v>158.08799999999999</v>
      </c>
      <c r="P88" s="1703">
        <f t="shared" si="35"/>
        <v>168.148</v>
      </c>
      <c r="Q88" s="1703">
        <f t="shared" si="35"/>
        <v>176.59829999999999</v>
      </c>
      <c r="R88" s="1703">
        <f t="shared" si="35"/>
        <v>187.139378695077</v>
      </c>
    </row>
    <row r="89" spans="9:22">
      <c r="I89" s="1702" t="s">
        <v>130</v>
      </c>
      <c r="J89" s="1703">
        <f>J17</f>
        <v>5.2380000000000004</v>
      </c>
      <c r="K89" s="1703">
        <f t="shared" ref="K89:R89" si="36">K17</f>
        <v>5.9409999999999998</v>
      </c>
      <c r="L89" s="1703">
        <f t="shared" si="36"/>
        <v>7.0149999999999997</v>
      </c>
      <c r="M89" s="1703">
        <f t="shared" si="36"/>
        <v>12.704000000000001</v>
      </c>
      <c r="N89" s="1703">
        <f t="shared" si="36"/>
        <v>9.1189999999999998</v>
      </c>
      <c r="O89" s="1703">
        <f t="shared" si="36"/>
        <v>9.8480000000000008</v>
      </c>
      <c r="P89" s="1703">
        <f t="shared" si="36"/>
        <v>10.542</v>
      </c>
      <c r="Q89" s="1703">
        <f t="shared" si="36"/>
        <v>11.775707000000001</v>
      </c>
      <c r="R89" s="1703">
        <f t="shared" si="36"/>
        <v>13.596952494293854</v>
      </c>
    </row>
    <row r="92" spans="9:22">
      <c r="I92" s="1702" t="s">
        <v>258</v>
      </c>
      <c r="J92" s="1702" t="str">
        <f>J82</f>
        <v>2017-18</v>
      </c>
      <c r="K92" s="1702" t="str">
        <f t="shared" ref="K92:R92" si="37">K82</f>
        <v>2018-19</v>
      </c>
      <c r="L92" s="1702" t="str">
        <f t="shared" si="37"/>
        <v>2019-20</v>
      </c>
      <c r="M92" s="1702" t="str">
        <f t="shared" si="37"/>
        <v>2020-21</v>
      </c>
      <c r="N92" s="1702" t="str">
        <f t="shared" si="37"/>
        <v>2021-22</v>
      </c>
      <c r="O92" s="1702" t="str">
        <f t="shared" si="37"/>
        <v>2022-23</v>
      </c>
      <c r="P92" s="1702" t="str">
        <f t="shared" si="37"/>
        <v>2023-24</v>
      </c>
      <c r="Q92" s="1702" t="str">
        <f t="shared" si="37"/>
        <v>2024-25</v>
      </c>
      <c r="R92" s="1702" t="str">
        <f t="shared" si="37"/>
        <v>2025-26</v>
      </c>
      <c r="T92" s="1702" t="s">
        <v>259</v>
      </c>
      <c r="U92" s="1702" t="s">
        <v>260</v>
      </c>
      <c r="V92" s="1702" t="s">
        <v>261</v>
      </c>
    </row>
    <row r="93" spans="9:22">
      <c r="I93" s="1702" t="s">
        <v>131</v>
      </c>
      <c r="J93" s="1703">
        <f ca="1">J83*($Q$33/J$33)</f>
        <v>159.51123439819889</v>
      </c>
      <c r="K93" s="1703">
        <f t="shared" ref="K93:R93" ca="1" si="38">K83*($Q$33/K$33)</f>
        <v>160.26533034718935</v>
      </c>
      <c r="L93" s="1703">
        <f t="shared" ca="1" si="38"/>
        <v>168.82086685627993</v>
      </c>
      <c r="M93" s="1703">
        <f t="shared" ca="1" si="38"/>
        <v>220.57904042740947</v>
      </c>
      <c r="N93" s="1703">
        <f t="shared" ca="1" si="38"/>
        <v>217.9922501881579</v>
      </c>
      <c r="O93" s="1703">
        <f t="shared" ca="1" si="38"/>
        <v>197.89954421699125</v>
      </c>
      <c r="P93" s="1703">
        <f t="shared" ca="1" si="38"/>
        <v>192.94450940860202</v>
      </c>
      <c r="Q93" s="1703">
        <f t="shared" ca="1" si="38"/>
        <v>201.905225</v>
      </c>
      <c r="R93" s="1703">
        <f t="shared" ca="1" si="38"/>
        <v>209.10706949216649</v>
      </c>
      <c r="T93" s="1704">
        <f ca="1">Q93/P93-1</f>
        <v>4.6441930992821012E-2</v>
      </c>
      <c r="U93" s="1704">
        <f ca="1">R93/Q93-1</f>
        <v>3.5669431002424368E-2</v>
      </c>
      <c r="V93" s="1704">
        <f ca="1">(R93/P93)^(1/2)-1</f>
        <v>4.1041747120841077E-2</v>
      </c>
    </row>
    <row r="94" spans="9:22">
      <c r="I94" s="1702" t="s">
        <v>254</v>
      </c>
      <c r="J94" s="1703">
        <f t="shared" ref="J94:R99" ca="1" si="39">J84*($Q$33/J$33)</f>
        <v>159.51123439819889</v>
      </c>
      <c r="K94" s="1703">
        <f t="shared" ca="1" si="39"/>
        <v>160.26533034718935</v>
      </c>
      <c r="L94" s="1703">
        <f t="shared" ca="1" si="39"/>
        <v>165.34458726069107</v>
      </c>
      <c r="M94" s="1703">
        <f t="shared" ca="1" si="39"/>
        <v>217.27978622113201</v>
      </c>
      <c r="N94" s="1703">
        <f t="shared" ca="1" si="39"/>
        <v>214.67360528664227</v>
      </c>
      <c r="O94" s="1703">
        <f t="shared" ca="1" si="39"/>
        <v>194.80171023725885</v>
      </c>
      <c r="P94" s="1703">
        <f t="shared" ca="1" si="39"/>
        <v>190.02580767874764</v>
      </c>
      <c r="Q94" s="1703">
        <f t="shared" ca="1" si="39"/>
        <v>197.089225</v>
      </c>
      <c r="R94" s="1703">
        <f t="shared" ca="1" si="39"/>
        <v>204.40329992035018</v>
      </c>
      <c r="T94" s="1704">
        <f t="shared" ref="T94:T99" ca="1" si="40">Q94/P94-1</f>
        <v>3.7170831728254417E-2</v>
      </c>
      <c r="U94" s="1704">
        <f t="shared" ref="U94:U99" ca="1" si="41">R94/Q94-1</f>
        <v>3.7110475828144196E-2</v>
      </c>
      <c r="V94" s="1704">
        <f t="shared" ref="V94:V99" ca="1" si="42">(R94/P94)^(1/2)-1</f>
        <v>3.7140653339151619E-2</v>
      </c>
    </row>
    <row r="95" spans="9:22">
      <c r="I95" s="1702" t="s">
        <v>128</v>
      </c>
      <c r="J95" s="1703">
        <f t="shared" ca="1" si="39"/>
        <v>152.83540706448926</v>
      </c>
      <c r="K95" s="1703">
        <f t="shared" ca="1" si="39"/>
        <v>152.84970737145295</v>
      </c>
      <c r="L95" s="1703">
        <f t="shared" ca="1" si="39"/>
        <v>160.26734129926285</v>
      </c>
      <c r="M95" s="1703">
        <f t="shared" ca="1" si="39"/>
        <v>205.87762848894971</v>
      </c>
      <c r="N95" s="1703">
        <f t="shared" ca="1" si="39"/>
        <v>207.37747542248934</v>
      </c>
      <c r="O95" s="1703">
        <f t="shared" ca="1" si="39"/>
        <v>187.19892372158446</v>
      </c>
      <c r="P95" s="1703">
        <f t="shared" ca="1" si="39"/>
        <v>182.15217211076796</v>
      </c>
      <c r="Q95" s="1703">
        <f t="shared" ca="1" si="39"/>
        <v>190.12951799999999</v>
      </c>
      <c r="R95" s="1703">
        <f t="shared" ca="1" si="39"/>
        <v>195.82697576041997</v>
      </c>
      <c r="T95" s="1704">
        <f t="shared" ca="1" si="40"/>
        <v>4.3794953399627579E-2</v>
      </c>
      <c r="U95" s="1704">
        <f t="shared" ca="1" si="41"/>
        <v>2.9966192626754484E-2</v>
      </c>
      <c r="V95" s="1704">
        <f t="shared" ca="1" si="42"/>
        <v>3.6857518676522316E-2</v>
      </c>
    </row>
    <row r="96" spans="9:22">
      <c r="I96" s="1702" t="s">
        <v>255</v>
      </c>
      <c r="J96" s="1703">
        <f t="shared" ca="1" si="39"/>
        <v>152.83540706448926</v>
      </c>
      <c r="K96" s="1703">
        <f t="shared" ca="1" si="39"/>
        <v>152.84970737145295</v>
      </c>
      <c r="L96" s="1703">
        <f t="shared" ca="1" si="39"/>
        <v>156.79106170367399</v>
      </c>
      <c r="M96" s="1703">
        <f t="shared" ca="1" si="39"/>
        <v>202.57837428267229</v>
      </c>
      <c r="N96" s="1703">
        <f t="shared" ca="1" si="39"/>
        <v>204.05883052097371</v>
      </c>
      <c r="O96" s="1703">
        <f t="shared" ca="1" si="39"/>
        <v>184.10108974185206</v>
      </c>
      <c r="P96" s="1703">
        <f t="shared" ca="1" si="39"/>
        <v>179.23347038091359</v>
      </c>
      <c r="Q96" s="1703">
        <f t="shared" ca="1" si="39"/>
        <v>185.31351799999999</v>
      </c>
      <c r="R96" s="1703">
        <f t="shared" ca="1" si="39"/>
        <v>191.12320618860363</v>
      </c>
      <c r="T96" s="1704">
        <f t="shared" ca="1" si="40"/>
        <v>3.3922501227950708E-2</v>
      </c>
      <c r="U96" s="1704">
        <f t="shared" ca="1" si="41"/>
        <v>3.1350590347130725E-2</v>
      </c>
      <c r="V96" s="1704">
        <f t="shared" ca="1" si="42"/>
        <v>3.2635745078887446E-2</v>
      </c>
    </row>
    <row r="97" spans="9:22">
      <c r="I97" s="1702" t="s">
        <v>256</v>
      </c>
      <c r="J97" s="1703">
        <f t="shared" ca="1" si="39"/>
        <v>139.69149578297956</v>
      </c>
      <c r="K97" s="1703">
        <f t="shared" ca="1" si="39"/>
        <v>140.33264505859574</v>
      </c>
      <c r="L97" s="1703">
        <f t="shared" ca="1" si="39"/>
        <v>154.17318296227472</v>
      </c>
      <c r="M97" s="1703">
        <f t="shared" ca="1" si="39"/>
        <v>168.97597358548592</v>
      </c>
      <c r="N97" s="1703">
        <f t="shared" ca="1" si="39"/>
        <v>177.30131022944801</v>
      </c>
      <c r="O97" s="1703">
        <f t="shared" ca="1" si="39"/>
        <v>174.87278248479586</v>
      </c>
      <c r="P97" s="1703">
        <f t="shared" ca="1" si="39"/>
        <v>175.05965524495559</v>
      </c>
      <c r="Q97" s="1703">
        <f t="shared" ca="1" si="39"/>
        <v>181.4143</v>
      </c>
      <c r="R97" s="1703">
        <f t="shared" ca="1" si="39"/>
        <v>187.48211575007898</v>
      </c>
      <c r="T97" s="1704">
        <f t="shared" ca="1" si="40"/>
        <v>3.629988158123898E-2</v>
      </c>
      <c r="U97" s="1704">
        <f t="shared" ca="1" si="41"/>
        <v>3.3447284751416895E-2</v>
      </c>
      <c r="V97" s="1704">
        <f t="shared" ca="1" si="42"/>
        <v>3.4872600279061583E-2</v>
      </c>
    </row>
    <row r="98" spans="9:22">
      <c r="I98" s="1702" t="s">
        <v>257</v>
      </c>
      <c r="J98" s="1703">
        <f t="shared" ca="1" si="39"/>
        <v>139.69149578297956</v>
      </c>
      <c r="K98" s="1703">
        <f t="shared" ca="1" si="39"/>
        <v>140.33264505859574</v>
      </c>
      <c r="L98" s="1703">
        <f t="shared" ca="1" si="39"/>
        <v>150.69690336668589</v>
      </c>
      <c r="M98" s="1703">
        <f t="shared" ca="1" si="39"/>
        <v>165.67671937920849</v>
      </c>
      <c r="N98" s="1703">
        <f t="shared" ca="1" si="39"/>
        <v>173.98266532793238</v>
      </c>
      <c r="O98" s="1703">
        <f t="shared" ca="1" si="39"/>
        <v>171.77494850506346</v>
      </c>
      <c r="P98" s="1703">
        <f t="shared" ca="1" si="39"/>
        <v>172.14095351510122</v>
      </c>
      <c r="Q98" s="1703">
        <f t="shared" ca="1" si="39"/>
        <v>176.59829999999999</v>
      </c>
      <c r="R98" s="1703">
        <f t="shared" ca="1" si="39"/>
        <v>182.77834617826264</v>
      </c>
      <c r="T98" s="1704">
        <f t="shared" ca="1" si="40"/>
        <v>2.5893585424503707E-2</v>
      </c>
      <c r="U98" s="1704">
        <f t="shared" ca="1" si="41"/>
        <v>3.499493584175295E-2</v>
      </c>
      <c r="V98" s="1704">
        <f t="shared" ca="1" si="42"/>
        <v>3.0434212178002129E-2</v>
      </c>
    </row>
    <row r="99" spans="9:22">
      <c r="I99" s="1702" t="s">
        <v>130</v>
      </c>
      <c r="J99" s="1703">
        <f t="shared" ca="1" si="39"/>
        <v>6.6758273337096572</v>
      </c>
      <c r="K99" s="1703">
        <f t="shared" ca="1" si="39"/>
        <v>7.4156229757364089</v>
      </c>
      <c r="L99" s="1703">
        <f t="shared" ca="1" si="39"/>
        <v>8.5535255570171085</v>
      </c>
      <c r="M99" s="1703">
        <f t="shared" ca="1" si="39"/>
        <v>14.701411938459733</v>
      </c>
      <c r="N99" s="1703">
        <f t="shared" ca="1" si="39"/>
        <v>10.614774765668548</v>
      </c>
      <c r="O99" s="1703">
        <f t="shared" ca="1" si="39"/>
        <v>10.700620495406769</v>
      </c>
      <c r="P99" s="1703">
        <f t="shared" ca="1" si="39"/>
        <v>10.792337297834033</v>
      </c>
      <c r="Q99" s="1703">
        <f t="shared" ca="1" si="39"/>
        <v>11.775707000000001</v>
      </c>
      <c r="R99" s="1703">
        <f t="shared" ca="1" si="39"/>
        <v>13.280093731746538</v>
      </c>
      <c r="T99" s="1704">
        <f t="shared" ca="1" si="40"/>
        <v>9.1117398856995102E-2</v>
      </c>
      <c r="U99" s="1704">
        <f t="shared" ca="1" si="41"/>
        <v>0.1277534106229492</v>
      </c>
      <c r="V99" s="1704">
        <f t="shared" ca="1" si="42"/>
        <v>0.10928416916091299</v>
      </c>
    </row>
  </sheetData>
  <mergeCells count="7">
    <mergeCell ref="A67:A68"/>
    <mergeCell ref="U5:V5"/>
    <mergeCell ref="W5:X5"/>
    <mergeCell ref="A5:A6"/>
    <mergeCell ref="A32:A33"/>
    <mergeCell ref="A47:A48"/>
    <mergeCell ref="F47:L47"/>
  </mergeCells>
  <phoneticPr fontId="21" type="noConversion"/>
  <hyperlinks>
    <hyperlink ref="P2" r:id="rId1" location=":~:text=The%20Supplementary%20Estimates%2C%20presented%20to,for%20any%20necessary%20new%20services." xr:uid="{78A87F4F-4BF7-4B73-8ADA-175D5790A260}"/>
    <hyperlink ref="O2" r:id="rId2" xr:uid="{21E3BA70-138F-4FD2-8D5F-9A4209F3A97C}"/>
    <hyperlink ref="K2" r:id="rId3" xr:uid="{FE73FC4B-8A63-4C06-B1D4-35CC9BE57D22}"/>
    <hyperlink ref="S33" r:id="rId4" xr:uid="{53928265-C16D-48EC-8055-1704C3D1AE05}"/>
  </hyperlinks>
  <pageMargins left="0.7" right="0.7" top="0.75" bottom="0.75" header="0.3" footer="0.3"/>
  <pageSetup paperSize="9" orientation="portrait" r:id="rId5"/>
  <legacyDrawing r:id="rId6"/>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FBA5-CFF6-43F1-ACE1-FC2BB5020A9F}">
  <sheetPr>
    <tabColor theme="5" tint="0.79998168889431442"/>
  </sheetPr>
  <dimension ref="A1:V59"/>
  <sheetViews>
    <sheetView topLeftCell="A7" zoomScale="71" workbookViewId="0">
      <selection activeCell="M13" sqref="M13"/>
    </sheetView>
  </sheetViews>
  <sheetFormatPr defaultRowHeight="14.5"/>
  <cols>
    <col min="1" max="1" width="31.453125" bestFit="1" customWidth="1"/>
    <col min="2" max="2" width="20.1796875" customWidth="1"/>
    <col min="3" max="3" width="18" customWidth="1"/>
    <col min="4" max="4" width="15.453125" customWidth="1"/>
    <col min="5" max="5" width="14.1796875" customWidth="1"/>
    <col min="6" max="6" width="16.453125" customWidth="1"/>
    <col min="7" max="7" width="15.1796875" customWidth="1"/>
    <col min="8" max="9" width="15.453125" bestFit="1" customWidth="1"/>
    <col min="10" max="11" width="10.54296875" bestFit="1" customWidth="1"/>
    <col min="12" max="13" width="15.54296875" bestFit="1" customWidth="1"/>
    <col min="14" max="15" width="10.453125" customWidth="1"/>
    <col min="16" max="16" width="21.81640625" customWidth="1"/>
    <col min="17" max="17" width="20.81640625" customWidth="1"/>
    <col min="18" max="18" width="22.54296875" customWidth="1"/>
    <col min="19" max="19" width="19.453125" customWidth="1"/>
    <col min="20" max="20" width="10.453125" bestFit="1" customWidth="1"/>
  </cols>
  <sheetData>
    <row r="1" spans="1:19">
      <c r="A1" t="s">
        <v>177</v>
      </c>
      <c r="G1" s="702" t="s">
        <v>246</v>
      </c>
      <c r="H1" s="702"/>
      <c r="I1" s="702"/>
      <c r="J1" s="702"/>
      <c r="K1" s="1033" t="s">
        <v>179</v>
      </c>
      <c r="L1" s="43" t="s">
        <v>180</v>
      </c>
      <c r="M1" s="1033"/>
      <c r="N1" s="76" t="s">
        <v>181</v>
      </c>
    </row>
    <row r="2" spans="1:19">
      <c r="G2" s="1034" t="s">
        <v>262</v>
      </c>
      <c r="H2" s="702"/>
      <c r="I2" s="702"/>
      <c r="J2" s="702"/>
      <c r="K2" s="1032" t="s">
        <v>183</v>
      </c>
      <c r="L2" s="1112" t="s">
        <v>184</v>
      </c>
      <c r="M2" s="1033"/>
    </row>
    <row r="3" spans="1:19">
      <c r="A3" s="76" t="s">
        <v>185</v>
      </c>
      <c r="B3" s="76"/>
      <c r="C3" s="76"/>
      <c r="D3" s="76"/>
      <c r="E3" s="76"/>
      <c r="F3" s="76"/>
      <c r="G3" s="702"/>
      <c r="H3" s="702"/>
      <c r="I3" s="702"/>
      <c r="J3" s="702"/>
      <c r="K3" s="1033"/>
      <c r="L3" s="43"/>
      <c r="M3" s="1033"/>
    </row>
    <row r="4" spans="1:19">
      <c r="B4" t="s">
        <v>186</v>
      </c>
      <c r="G4" s="702"/>
      <c r="H4" s="702"/>
      <c r="I4" s="702"/>
      <c r="J4" s="702"/>
      <c r="K4" s="1033"/>
      <c r="L4" s="43"/>
      <c r="M4" s="1033"/>
    </row>
    <row r="5" spans="1:19">
      <c r="A5" s="76" t="s">
        <v>263</v>
      </c>
      <c r="B5" s="1014" t="s">
        <v>191</v>
      </c>
      <c r="C5" s="1014" t="s">
        <v>192</v>
      </c>
      <c r="D5" s="1014" t="s">
        <v>193</v>
      </c>
      <c r="E5" s="1014" t="s">
        <v>165</v>
      </c>
      <c r="F5" s="1014" t="s">
        <v>167</v>
      </c>
      <c r="G5" s="1014" t="s">
        <v>168</v>
      </c>
      <c r="H5" s="1014" t="s">
        <v>169</v>
      </c>
      <c r="I5" s="1014" t="s">
        <v>170</v>
      </c>
      <c r="J5" s="1014" t="s">
        <v>171</v>
      </c>
      <c r="K5" s="1014" t="s">
        <v>172</v>
      </c>
      <c r="L5" s="1014" t="s">
        <v>173</v>
      </c>
      <c r="M5" s="1014" t="s">
        <v>174</v>
      </c>
      <c r="N5" s="1014"/>
      <c r="P5" s="1761" t="s">
        <v>194</v>
      </c>
      <c r="Q5" s="1761"/>
      <c r="R5" s="1761" t="s">
        <v>195</v>
      </c>
      <c r="S5" s="1761"/>
    </row>
    <row r="6" spans="1:19">
      <c r="A6" s="76" t="s">
        <v>231</v>
      </c>
      <c r="B6" s="1015" t="s">
        <v>196</v>
      </c>
      <c r="C6" s="1015" t="s">
        <v>196</v>
      </c>
      <c r="D6" s="1015" t="s">
        <v>196</v>
      </c>
      <c r="E6" s="1015" t="s">
        <v>196</v>
      </c>
      <c r="F6" s="1015" t="s">
        <v>196</v>
      </c>
      <c r="G6" s="1015" t="s">
        <v>196</v>
      </c>
      <c r="H6" s="1015" t="s">
        <v>196</v>
      </c>
      <c r="I6" s="1015" t="s">
        <v>196</v>
      </c>
      <c r="J6" s="1015" t="s">
        <v>196</v>
      </c>
      <c r="K6" s="1015" t="s">
        <v>196</v>
      </c>
      <c r="L6" s="1015" t="s">
        <v>152</v>
      </c>
      <c r="M6" s="1015" t="s">
        <v>152</v>
      </c>
      <c r="N6" s="1015"/>
      <c r="P6" s="1038" t="s">
        <v>198</v>
      </c>
      <c r="Q6" s="1038" t="s">
        <v>199</v>
      </c>
      <c r="R6" s="1038" t="s">
        <v>200</v>
      </c>
      <c r="S6" s="1038" t="s">
        <v>201</v>
      </c>
    </row>
    <row r="7" spans="1:19">
      <c r="A7" s="1705" t="s">
        <v>202</v>
      </c>
      <c r="B7" s="1016">
        <f>'Autumn 24'!F8-'Spring 24'!B7</f>
        <v>0</v>
      </c>
      <c r="C7" s="1016">
        <f>'Autumn 24'!G8-'Spring 24'!C7</f>
        <v>0</v>
      </c>
      <c r="D7" s="1016">
        <f>'Autumn 24'!H8-'Spring 24'!D7</f>
        <v>0</v>
      </c>
      <c r="E7" s="1016">
        <f>'Autumn 24'!I8-'Spring 24'!E7</f>
        <v>0</v>
      </c>
      <c r="F7" s="1016">
        <f>'Autumn 24'!J8-'Spring 24'!F7</f>
        <v>0</v>
      </c>
      <c r="G7" s="1016">
        <f>'Autumn 24'!K8-'Spring 24'!G7</f>
        <v>0</v>
      </c>
      <c r="H7" s="1016">
        <f>'Autumn 24'!L8-'Spring 24'!H7</f>
        <v>-2.8509999999999991</v>
      </c>
      <c r="I7" s="1016">
        <f>'Autumn 24'!M8-'Spring 24'!I7</f>
        <v>-2.8509999999999991</v>
      </c>
      <c r="J7" s="1016">
        <f>'Autumn 24'!N8-'Spring 24'!J7</f>
        <v>-2.8509999999999991</v>
      </c>
      <c r="K7" s="1016">
        <f>'Autumn 24'!O8-'Spring 24'!K7</f>
        <v>-2.4200000000000159</v>
      </c>
      <c r="L7" s="1016">
        <f>'Autumn 24'!P8-'Spring 24'!L7</f>
        <v>-3.882000000000005</v>
      </c>
      <c r="M7" s="1706">
        <f>'Autumn 24'!Q8-'Spring 24'!M7</f>
        <v>4.8892250000000104</v>
      </c>
      <c r="N7" s="583">
        <f>M7/'Spring 24'!M7</f>
        <v>2.5438215400624405E-2</v>
      </c>
      <c r="O7" s="583"/>
      <c r="P7" s="583">
        <f t="shared" ref="P7:Q13" si="0">L7/K7-1</f>
        <v>0.6041322314049502</v>
      </c>
      <c r="Q7" s="583">
        <f t="shared" si="0"/>
        <v>-2.259460329726946</v>
      </c>
      <c r="R7" s="51">
        <f t="shared" ref="R7:S13" si="1">L7-K7</f>
        <v>-1.4619999999999891</v>
      </c>
      <c r="S7" s="51">
        <f t="shared" si="1"/>
        <v>8.7712250000000154</v>
      </c>
    </row>
    <row r="8" spans="1:19">
      <c r="A8" s="1702" t="s">
        <v>204</v>
      </c>
      <c r="B8" s="1016">
        <f>'Autumn 24'!F9-'Spring 24'!B8</f>
        <v>0</v>
      </c>
      <c r="C8" s="1016">
        <f>'Autumn 24'!G9-'Spring 24'!C8</f>
        <v>0</v>
      </c>
      <c r="D8" s="1016">
        <f>'Autumn 24'!H9-'Spring 24'!D8</f>
        <v>0</v>
      </c>
      <c r="E8" s="1016">
        <f>'Autumn 24'!I9-'Spring 24'!E8</f>
        <v>0</v>
      </c>
      <c r="F8" s="1016">
        <f>'Autumn 24'!J9-'Spring 24'!F8</f>
        <v>0</v>
      </c>
      <c r="G8" s="1016">
        <f>'Autumn 24'!K9-'Spring 24'!G8</f>
        <v>0</v>
      </c>
      <c r="H8" s="1016">
        <f>'Autumn 24'!L9-'Spring 24'!H8</f>
        <v>0</v>
      </c>
      <c r="I8" s="1016">
        <f>'Autumn 24'!M9-'Spring 24'!I8</f>
        <v>0</v>
      </c>
      <c r="J8" s="1016">
        <f>'Autumn 24'!N9-'Spring 24'!J8</f>
        <v>0</v>
      </c>
      <c r="K8" s="1016">
        <f>'Autumn 24'!O9-'Spring 24'!K8</f>
        <v>0.48299999999997567</v>
      </c>
      <c r="L8" s="1016">
        <f>'Autumn 24'!P9-'Spring 24'!L8</f>
        <v>-0.5730000000000075</v>
      </c>
      <c r="M8" s="1706">
        <f>'Autumn 24'!Q9-'Spring 24'!M8</f>
        <v>10.529517999999996</v>
      </c>
      <c r="N8" s="583">
        <f>M8/'Spring 24'!M8</f>
        <v>5.8627605790645861E-2</v>
      </c>
      <c r="P8" s="583">
        <f t="shared" si="0"/>
        <v>-2.1863354037267833</v>
      </c>
      <c r="Q8" s="583">
        <f t="shared" si="0"/>
        <v>-19.376122164048617</v>
      </c>
      <c r="R8" s="51">
        <f t="shared" si="1"/>
        <v>-1.0559999999999832</v>
      </c>
      <c r="S8" s="51">
        <f t="shared" si="1"/>
        <v>11.102518000000003</v>
      </c>
    </row>
    <row r="9" spans="1:19">
      <c r="A9" s="1702" t="s">
        <v>129</v>
      </c>
      <c r="B9" s="1016">
        <f>'Autumn 24'!F10-'Spring 24'!B9</f>
        <v>0</v>
      </c>
      <c r="C9" s="1016">
        <f>'Autumn 24'!G10-'Spring 24'!C9</f>
        <v>0</v>
      </c>
      <c r="D9" s="1016">
        <f>'Autumn 24'!H10-'Spring 24'!D9</f>
        <v>0</v>
      </c>
      <c r="E9" s="1016">
        <f>'Autumn 24'!I10-'Spring 24'!E9</f>
        <v>0</v>
      </c>
      <c r="F9" s="1016">
        <f>'Autumn 24'!J10-'Spring 24'!F9</f>
        <v>0</v>
      </c>
      <c r="G9" s="1016">
        <f>'Autumn 24'!K10-'Spring 24'!G9</f>
        <v>0</v>
      </c>
      <c r="H9" s="1016">
        <f>'Autumn 24'!L10-'Spring 24'!H9</f>
        <v>4.7349999999999994</v>
      </c>
      <c r="I9" s="1016">
        <f>'Autumn 24'!M10-'Spring 24'!I9</f>
        <v>4.9919999999999902</v>
      </c>
      <c r="J9" s="1016">
        <f>'Autumn 24'!N10-'Spring 24'!J9</f>
        <v>5.6359999999999957</v>
      </c>
      <c r="K9" s="1016">
        <f>'Autumn 24'!O10-'Spring 24'!K9</f>
        <v>5.8389999999999986</v>
      </c>
      <c r="L9" s="1016">
        <f>'Autumn 24'!P10-'Spring 24'!L9</f>
        <v>7.7990000000000066</v>
      </c>
      <c r="M9" s="1706">
        <f>'Autumn 24'!Q10-'Spring 24'!M9</f>
        <v>16.514299999999992</v>
      </c>
      <c r="N9" s="583">
        <f>M9/'Spring 24'!M9</f>
        <v>0.10014736203759848</v>
      </c>
      <c r="P9" s="583">
        <f t="shared" si="0"/>
        <v>0.33567391676657099</v>
      </c>
      <c r="Q9" s="583">
        <f t="shared" si="0"/>
        <v>1.1174894217207307</v>
      </c>
      <c r="R9" s="51">
        <f t="shared" si="1"/>
        <v>1.960000000000008</v>
      </c>
      <c r="S9" s="51">
        <f t="shared" si="1"/>
        <v>8.7152999999999849</v>
      </c>
    </row>
    <row r="10" spans="1:19">
      <c r="A10" s="1702" t="s">
        <v>232</v>
      </c>
      <c r="B10" s="1016">
        <f>'Autumn 24'!F12-'Spring 24'!B10</f>
        <v>0</v>
      </c>
      <c r="C10" s="1016">
        <f>'Autumn 24'!G12-'Spring 24'!C10</f>
        <v>0</v>
      </c>
      <c r="D10" s="1016">
        <f>'Autumn 24'!H12-'Spring 24'!D10</f>
        <v>0</v>
      </c>
      <c r="E10" s="1016">
        <f>'Autumn 24'!I12-'Spring 24'!E10</f>
        <v>0</v>
      </c>
      <c r="F10" s="1016">
        <f>'Autumn 24'!J12-'Spring 24'!F10</f>
        <v>0</v>
      </c>
      <c r="G10" s="1016">
        <f>'Autumn 24'!K12-'Spring 24'!G10</f>
        <v>0</v>
      </c>
      <c r="H10" s="1016">
        <f>'Autumn 24'!L12-'Spring 24'!H10</f>
        <v>-2.851</v>
      </c>
      <c r="I10" s="1016">
        <f>'Autumn 24'!M12-'Spring 24'!I10</f>
        <v>-2.851</v>
      </c>
      <c r="J10" s="1016">
        <f>'Autumn 24'!N12-'Spring 24'!J10</f>
        <v>-2.851</v>
      </c>
      <c r="K10" s="1016">
        <f>'Autumn 24'!O12-'Spring 24'!K10</f>
        <v>-2.851</v>
      </c>
      <c r="L10" s="1016">
        <f>'Autumn 24'!P12-'Spring 24'!L10</f>
        <v>-2.851</v>
      </c>
      <c r="M10" s="1706">
        <f>'Autumn 24'!Q12-'Spring 24'!M10</f>
        <v>-0.8859999999999999</v>
      </c>
      <c r="N10" s="583">
        <f>M10/'Spring 24'!M10</f>
        <v>-0.31076815152578041</v>
      </c>
      <c r="O10" s="1016"/>
      <c r="P10" s="583">
        <f t="shared" si="0"/>
        <v>0</v>
      </c>
      <c r="Q10" s="583">
        <f t="shared" si="0"/>
        <v>-0.68923184847421959</v>
      </c>
      <c r="R10" s="51">
        <f t="shared" si="1"/>
        <v>0</v>
      </c>
      <c r="S10" s="51">
        <f t="shared" si="1"/>
        <v>1.9650000000000001</v>
      </c>
    </row>
    <row r="11" spans="1:19">
      <c r="A11" s="1702" t="s">
        <v>212</v>
      </c>
      <c r="B11" s="1016">
        <f>'Autumn 24'!F15-'Spring 24'!B11</f>
        <v>0</v>
      </c>
      <c r="C11" s="1016">
        <f>'Autumn 24'!G15-'Spring 24'!C11</f>
        <v>0</v>
      </c>
      <c r="D11" s="1016">
        <f>'Autumn 24'!H15-'Spring 24'!D11</f>
        <v>0</v>
      </c>
      <c r="E11" s="1016">
        <f>'Autumn 24'!I15-'Spring 24'!E11</f>
        <v>0</v>
      </c>
      <c r="F11" s="1016">
        <f>'Autumn 24'!J15-'Spring 24'!F11</f>
        <v>0</v>
      </c>
      <c r="G11" s="1016">
        <f>'Autumn 24'!K15-'Spring 24'!G11</f>
        <v>0</v>
      </c>
      <c r="H11" s="1016">
        <f>'Autumn 24'!L15-'Spring 24'!H11</f>
        <v>4.7349999999999994</v>
      </c>
      <c r="I11" s="1016">
        <f>'Autumn 24'!M15-'Spring 24'!I11</f>
        <v>4.9919999999999902</v>
      </c>
      <c r="J11" s="1016">
        <f>'Autumn 24'!N15-'Spring 24'!J11</f>
        <v>5.6359999999999957</v>
      </c>
      <c r="K11" s="1016">
        <f>'Autumn 24'!O15-'Spring 24'!K11</f>
        <v>5.8389999999999986</v>
      </c>
      <c r="L11" s="1016">
        <f>'Autumn 24'!P15-'Spring 24'!L11</f>
        <v>7.7990000000000066</v>
      </c>
      <c r="M11" s="1706">
        <f>'Autumn 24'!Q15-'Spring 24'!M11</f>
        <v>14.549299999999988</v>
      </c>
      <c r="N11" s="583">
        <f>M11/'Spring 24'!M11</f>
        <v>8.9783337138766586E-2</v>
      </c>
      <c r="O11" s="1016"/>
      <c r="P11" s="583">
        <f t="shared" si="0"/>
        <v>0.33567391676657099</v>
      </c>
      <c r="Q11" s="583">
        <f t="shared" si="0"/>
        <v>0.86553404282600033</v>
      </c>
      <c r="R11" s="51">
        <f t="shared" si="1"/>
        <v>1.960000000000008</v>
      </c>
      <c r="S11" s="51">
        <f t="shared" si="1"/>
        <v>6.7502999999999815</v>
      </c>
    </row>
    <row r="12" spans="1:19">
      <c r="A12" s="1702" t="s">
        <v>234</v>
      </c>
      <c r="B12" s="1016">
        <f>'Autumn 24'!F16-'Spring 24'!B12</f>
        <v>0</v>
      </c>
      <c r="C12" s="1016">
        <f>'Autumn 24'!G16-'Spring 24'!C12</f>
        <v>0</v>
      </c>
      <c r="D12" s="1016">
        <f>'Autumn 24'!H16-'Spring 24'!D12</f>
        <v>0</v>
      </c>
      <c r="E12" s="1016">
        <f>'Autumn 24'!I16-'Spring 24'!E12</f>
        <v>0</v>
      </c>
      <c r="F12" s="1016">
        <f>'Autumn 24'!J16-'Spring 24'!F12</f>
        <v>0</v>
      </c>
      <c r="G12" s="1016">
        <f>'Autumn 24'!K16-'Spring 24'!G12</f>
        <v>0</v>
      </c>
      <c r="H12" s="1016">
        <f>'Autumn 24'!L16-'Spring 24'!H12</f>
        <v>-4.7349999999999994</v>
      </c>
      <c r="I12" s="1016">
        <f>'Autumn 24'!M16-'Spring 24'!I12</f>
        <v>-4.9919999999999902</v>
      </c>
      <c r="J12" s="1016">
        <f>'Autumn 24'!N16-'Spring 24'!J12</f>
        <v>-5.6359999999999957</v>
      </c>
      <c r="K12" s="1016">
        <f>'Autumn 24'!O16-'Spring 24'!K12</f>
        <v>-5.356000000000023</v>
      </c>
      <c r="L12" s="1016">
        <f>'Autumn 24'!P16-'Spring 24'!L12</f>
        <v>-8.3720000000000141</v>
      </c>
      <c r="M12" s="1706">
        <f>'Autumn 24'!Q16-'Spring 24'!M12</f>
        <v>-5.9847819999999956</v>
      </c>
      <c r="N12" s="583">
        <f>M12/'Spring 24'!M12</f>
        <v>-0.40712802721088437</v>
      </c>
      <c r="O12" s="1016"/>
      <c r="P12" s="583">
        <f t="shared" si="0"/>
        <v>0.56310679611650083</v>
      </c>
      <c r="Q12" s="583">
        <f t="shared" si="0"/>
        <v>-0.28514309603440213</v>
      </c>
      <c r="R12" s="51">
        <f t="shared" si="1"/>
        <v>-3.0159999999999911</v>
      </c>
      <c r="S12" s="51">
        <f t="shared" si="1"/>
        <v>2.3872180000000185</v>
      </c>
    </row>
    <row r="13" spans="1:19">
      <c r="A13" s="1702" t="s">
        <v>214</v>
      </c>
      <c r="B13" s="1016">
        <f>'Autumn 24'!F17-'Spring 24'!B13</f>
        <v>0</v>
      </c>
      <c r="C13" s="1016">
        <f>'Autumn 24'!G17-'Spring 24'!C13</f>
        <v>0</v>
      </c>
      <c r="D13" s="1016">
        <f>'Autumn 24'!H17-'Spring 24'!D13</f>
        <v>0</v>
      </c>
      <c r="E13" s="1016">
        <f>'Autumn 24'!I17-'Spring 24'!E13</f>
        <v>0</v>
      </c>
      <c r="F13" s="1016">
        <f>'Autumn 24'!J17-'Spring 24'!F13</f>
        <v>0</v>
      </c>
      <c r="G13" s="1016">
        <f>'Autumn 24'!K17-'Spring 24'!G13</f>
        <v>0</v>
      </c>
      <c r="H13" s="1016">
        <f>'Autumn 24'!L17-'Spring 24'!H13</f>
        <v>0</v>
      </c>
      <c r="I13" s="1016">
        <f>'Autumn 24'!M17-'Spring 24'!I13</f>
        <v>0</v>
      </c>
      <c r="J13" s="1016">
        <f>'Autumn 24'!N17-'Spring 24'!J13</f>
        <v>0</v>
      </c>
      <c r="K13" s="1016">
        <f>'Autumn 24'!O17-'Spring 24'!K13</f>
        <v>-5.1999999999999602E-2</v>
      </c>
      <c r="L13" s="1016">
        <f>'Autumn 24'!P17-'Spring 24'!L13</f>
        <v>-0.45800000000000018</v>
      </c>
      <c r="M13" s="1706">
        <f>'Autumn 24'!Q17-'Spring 24'!M13</f>
        <v>-0.82429299999999905</v>
      </c>
      <c r="N13" s="583">
        <f>M13/'Spring 24'!M13</f>
        <v>-6.5420079365079292E-2</v>
      </c>
      <c r="P13" s="583">
        <f t="shared" si="0"/>
        <v>7.8076923076923794</v>
      </c>
      <c r="Q13" s="583">
        <f t="shared" si="0"/>
        <v>0.79976637554584884</v>
      </c>
      <c r="R13" s="51">
        <f t="shared" si="1"/>
        <v>-0.40600000000000058</v>
      </c>
      <c r="S13" s="51">
        <f t="shared" si="1"/>
        <v>-0.36629299999999887</v>
      </c>
    </row>
    <row r="14" spans="1:19">
      <c r="G14" s="1016"/>
      <c r="H14" s="1016"/>
      <c r="I14" s="1016"/>
      <c r="J14" s="1016"/>
      <c r="K14" s="1016"/>
      <c r="L14" s="1016"/>
      <c r="M14" s="1016"/>
      <c r="N14" s="1016"/>
      <c r="O14" s="1016"/>
    </row>
    <row r="15" spans="1:19">
      <c r="A15" s="627" t="s">
        <v>225</v>
      </c>
      <c r="B15" s="1036" t="e">
        <f t="shared" ref="B15:M15" si="2">B9/B7</f>
        <v>#DIV/0!</v>
      </c>
      <c r="C15" s="1036" t="e">
        <f t="shared" si="2"/>
        <v>#DIV/0!</v>
      </c>
      <c r="D15" s="1036" t="e">
        <f t="shared" si="2"/>
        <v>#DIV/0!</v>
      </c>
      <c r="E15" s="1036" t="e">
        <f t="shared" si="2"/>
        <v>#DIV/0!</v>
      </c>
      <c r="F15" s="1036" t="e">
        <f t="shared" si="2"/>
        <v>#DIV/0!</v>
      </c>
      <c r="G15" s="1036" t="e">
        <f t="shared" si="2"/>
        <v>#DIV/0!</v>
      </c>
      <c r="H15" s="1036">
        <f t="shared" si="2"/>
        <v>-1.660820764643985</v>
      </c>
      <c r="I15" s="1036">
        <f t="shared" si="2"/>
        <v>-1.7509645738337396</v>
      </c>
      <c r="J15" s="1036">
        <f t="shared" si="2"/>
        <v>-1.9768502279901781</v>
      </c>
      <c r="K15" s="1036">
        <f t="shared" si="2"/>
        <v>-2.4128099173553554</v>
      </c>
      <c r="L15" s="1036">
        <f t="shared" si="2"/>
        <v>-2.0090159711488913</v>
      </c>
      <c r="M15" s="1036">
        <f t="shared" si="2"/>
        <v>3.377692783621117</v>
      </c>
      <c r="N15" s="1036"/>
      <c r="O15" s="1016"/>
    </row>
    <row r="16" spans="1:19">
      <c r="G16" s="1016"/>
      <c r="H16" s="1016"/>
      <c r="I16" s="1016"/>
      <c r="J16" s="1016"/>
      <c r="K16" s="1016"/>
      <c r="L16" s="1016"/>
      <c r="M16" s="1016"/>
      <c r="N16" s="1016"/>
      <c r="O16" s="1016"/>
    </row>
    <row r="17" spans="1:22" ht="43.5">
      <c r="B17" s="1017" t="s">
        <v>191</v>
      </c>
      <c r="C17" s="1017" t="s">
        <v>192</v>
      </c>
      <c r="D17" s="1017" t="s">
        <v>193</v>
      </c>
      <c r="E17" s="1017" t="s">
        <v>165</v>
      </c>
      <c r="F17" s="1017" t="s">
        <v>167</v>
      </c>
      <c r="G17" s="1017" t="s">
        <v>168</v>
      </c>
      <c r="H17" s="1017" t="s">
        <v>169</v>
      </c>
      <c r="I17" s="1017" t="s">
        <v>170</v>
      </c>
      <c r="J17" s="1017" t="s">
        <v>171</v>
      </c>
      <c r="K17" s="1017" t="s">
        <v>172</v>
      </c>
      <c r="L17" s="1017" t="s">
        <v>173</v>
      </c>
      <c r="M17" s="1017" t="s">
        <v>174</v>
      </c>
      <c r="N17" s="1017"/>
      <c r="U17" s="1705" t="s">
        <v>202</v>
      </c>
      <c r="V17" s="1706">
        <v>9.7000000000000171</v>
      </c>
    </row>
    <row r="18" spans="1:22" ht="15.5">
      <c r="A18" s="76" t="s">
        <v>226</v>
      </c>
      <c r="B18" s="1157">
        <v>91.025000000000006</v>
      </c>
      <c r="C18" s="1157">
        <v>92.125</v>
      </c>
      <c r="D18" s="1157">
        <v>92.8</v>
      </c>
      <c r="E18" s="1157">
        <v>94.9</v>
      </c>
      <c r="F18" s="1157">
        <v>96.375</v>
      </c>
      <c r="G18" s="1157">
        <v>98.4</v>
      </c>
      <c r="H18" s="1157">
        <v>100.72499999999999</v>
      </c>
      <c r="I18" s="1157">
        <v>106.19999999999999</v>
      </c>
      <c r="J18" s="1157">
        <v>105.35</v>
      </c>
      <c r="K18" s="1157">
        <v>112.52500000000001</v>
      </c>
      <c r="L18" s="1157">
        <v>119.88907591807526</v>
      </c>
      <c r="M18" s="1157">
        <v>120.85279824992584</v>
      </c>
      <c r="N18" s="1016" t="s">
        <v>264</v>
      </c>
      <c r="U18" s="1702" t="s">
        <v>204</v>
      </c>
      <c r="V18" s="1706">
        <v>10.5</v>
      </c>
    </row>
    <row r="19" spans="1:22">
      <c r="A19" t="s">
        <v>228</v>
      </c>
      <c r="L19" s="98"/>
      <c r="U19" s="1702" t="s">
        <v>129</v>
      </c>
      <c r="V19" s="1706">
        <v>16.5</v>
      </c>
    </row>
    <row r="20" spans="1:22">
      <c r="L20" s="51"/>
      <c r="U20" s="1702" t="s">
        <v>232</v>
      </c>
      <c r="V20" s="1706">
        <v>1.9649999999999999</v>
      </c>
    </row>
    <row r="21" spans="1:22">
      <c r="A21" s="76" t="s">
        <v>265</v>
      </c>
      <c r="B21" s="1018" t="s">
        <v>191</v>
      </c>
      <c r="C21" s="1018" t="s">
        <v>192</v>
      </c>
      <c r="D21" s="1018" t="s">
        <v>193</v>
      </c>
      <c r="E21" s="1018" t="s">
        <v>165</v>
      </c>
      <c r="F21" s="1018" t="s">
        <v>167</v>
      </c>
      <c r="G21" s="1018" t="s">
        <v>168</v>
      </c>
      <c r="H21" s="1018" t="s">
        <v>169</v>
      </c>
      <c r="I21" s="1018" t="s">
        <v>170</v>
      </c>
      <c r="J21" s="1018" t="s">
        <v>171</v>
      </c>
      <c r="K21" s="1018" t="s">
        <v>172</v>
      </c>
      <c r="L21" s="1018" t="s">
        <v>173</v>
      </c>
      <c r="M21" s="1018" t="s">
        <v>174</v>
      </c>
      <c r="N21" s="1018"/>
      <c r="P21" s="1037" t="s">
        <v>194</v>
      </c>
      <c r="Q21" s="1037"/>
      <c r="R21" s="1037" t="s">
        <v>195</v>
      </c>
      <c r="S21" s="1037"/>
      <c r="U21" s="1702" t="s">
        <v>212</v>
      </c>
      <c r="V21" s="1706">
        <v>14.534999999999997</v>
      </c>
    </row>
    <row r="22" spans="1:22">
      <c r="A22" s="76" t="s">
        <v>231</v>
      </c>
      <c r="B22" s="1018" t="s">
        <v>196</v>
      </c>
      <c r="C22" s="1018" t="s">
        <v>196</v>
      </c>
      <c r="D22" s="1018" t="s">
        <v>196</v>
      </c>
      <c r="E22" s="1018" t="s">
        <v>196</v>
      </c>
      <c r="F22" s="1018" t="s">
        <v>196</v>
      </c>
      <c r="G22" s="1019" t="s">
        <v>196</v>
      </c>
      <c r="H22" s="1019" t="s">
        <v>196</v>
      </c>
      <c r="I22" s="1019" t="s">
        <v>196</v>
      </c>
      <c r="J22" s="1019" t="s">
        <v>196</v>
      </c>
      <c r="K22" s="1019" t="s">
        <v>196</v>
      </c>
      <c r="L22" s="1019" t="s">
        <v>152</v>
      </c>
      <c r="M22" s="1019" t="s">
        <v>152</v>
      </c>
      <c r="N22" s="1019"/>
      <c r="P22" s="1038" t="s">
        <v>198</v>
      </c>
      <c r="Q22" s="1038" t="s">
        <v>199</v>
      </c>
      <c r="R22" s="1038" t="s">
        <v>200</v>
      </c>
      <c r="S22" s="1038" t="s">
        <v>201</v>
      </c>
      <c r="U22" s="1702" t="s">
        <v>234</v>
      </c>
      <c r="V22" s="1706">
        <v>-6</v>
      </c>
    </row>
    <row r="23" spans="1:22">
      <c r="A23" s="3" t="s">
        <v>202</v>
      </c>
      <c r="B23" s="1016">
        <f t="shared" ref="B23:K23" si="3">(B7/B$18)*$L$18</f>
        <v>0</v>
      </c>
      <c r="C23" s="1016">
        <f t="shared" si="3"/>
        <v>0</v>
      </c>
      <c r="D23" s="1016">
        <f t="shared" si="3"/>
        <v>0</v>
      </c>
      <c r="E23" s="1016">
        <f t="shared" si="3"/>
        <v>0</v>
      </c>
      <c r="F23" s="1016">
        <f t="shared" si="3"/>
        <v>0</v>
      </c>
      <c r="G23" s="1016">
        <f t="shared" si="3"/>
        <v>0</v>
      </c>
      <c r="H23" s="1016">
        <f t="shared" si="3"/>
        <v>-3.393435149589799</v>
      </c>
      <c r="I23" s="1016">
        <f t="shared" si="3"/>
        <v>-3.2184911058609464</v>
      </c>
      <c r="J23" s="1016">
        <f t="shared" si="3"/>
        <v>-3.2444589980297338</v>
      </c>
      <c r="K23" s="1016">
        <f t="shared" si="3"/>
        <v>-2.5783742610241638</v>
      </c>
      <c r="L23" s="1016">
        <f t="shared" ref="L23:M29" si="4">(L7/L$18)*$M$18</f>
        <v>-3.9132052625612119</v>
      </c>
      <c r="M23" s="1016">
        <f t="shared" si="4"/>
        <v>4.8892250000000104</v>
      </c>
      <c r="N23" s="590">
        <f t="shared" ref="N23:N29" si="5">M23/L23-1</f>
        <v>-2.2494169541211311</v>
      </c>
      <c r="O23" s="1016">
        <f>M23-L23</f>
        <v>8.8024302625612219</v>
      </c>
      <c r="P23" s="583">
        <f t="shared" ref="P23:Q29" si="6">L23/K23-1</f>
        <v>0.51770257782779594</v>
      </c>
      <c r="Q23" s="583">
        <f t="shared" si="6"/>
        <v>-2.2494169541211311</v>
      </c>
      <c r="R23" s="51">
        <f t="shared" ref="R23:S29" si="7">L23-K23</f>
        <v>-1.3348310015370481</v>
      </c>
      <c r="S23" s="51">
        <f t="shared" si="7"/>
        <v>8.8024302625612219</v>
      </c>
      <c r="U23" s="1702" t="s">
        <v>214</v>
      </c>
      <c r="V23" s="1706">
        <v>-0.79999999999999893</v>
      </c>
    </row>
    <row r="24" spans="1:22">
      <c r="A24" t="s">
        <v>204</v>
      </c>
      <c r="B24" s="1016">
        <f t="shared" ref="B24:K24" si="8">(B8/B$18)*$L$18</f>
        <v>0</v>
      </c>
      <c r="C24" s="1016">
        <f t="shared" si="8"/>
        <v>0</v>
      </c>
      <c r="D24" s="1016">
        <f t="shared" si="8"/>
        <v>0</v>
      </c>
      <c r="E24" s="1016">
        <f t="shared" si="8"/>
        <v>0</v>
      </c>
      <c r="F24" s="1016">
        <f t="shared" si="8"/>
        <v>0</v>
      </c>
      <c r="G24" s="1016">
        <f t="shared" si="8"/>
        <v>0</v>
      </c>
      <c r="H24" s="1016">
        <f t="shared" si="8"/>
        <v>0</v>
      </c>
      <c r="I24" s="1016">
        <f t="shared" si="8"/>
        <v>0</v>
      </c>
      <c r="J24" s="1016">
        <f t="shared" si="8"/>
        <v>0</v>
      </c>
      <c r="K24" s="1016">
        <f t="shared" si="8"/>
        <v>0.51460940829528934</v>
      </c>
      <c r="L24" s="1016">
        <f t="shared" si="4"/>
        <v>-0.57760603180000014</v>
      </c>
      <c r="M24" s="1016">
        <f t="shared" si="4"/>
        <v>10.529517999999996</v>
      </c>
      <c r="N24" s="590">
        <f t="shared" si="5"/>
        <v>-19.229584561620211</v>
      </c>
      <c r="O24" s="1080"/>
      <c r="P24" s="583">
        <f t="shared" si="6"/>
        <v>-2.122416385105347</v>
      </c>
      <c r="Q24" s="583">
        <f t="shared" si="6"/>
        <v>-19.229584561620211</v>
      </c>
      <c r="R24" s="51">
        <f t="shared" si="7"/>
        <v>-1.0922154400952895</v>
      </c>
      <c r="S24" s="51">
        <f t="shared" si="7"/>
        <v>11.107124031799996</v>
      </c>
    </row>
    <row r="25" spans="1:22">
      <c r="A25" t="s">
        <v>129</v>
      </c>
      <c r="B25" s="1016">
        <f t="shared" ref="B25:K25" si="9">(B9/B$18)*$L$18</f>
        <v>0</v>
      </c>
      <c r="C25" s="1016">
        <f t="shared" si="9"/>
        <v>0</v>
      </c>
      <c r="D25" s="1016">
        <f t="shared" si="9"/>
        <v>0</v>
      </c>
      <c r="E25" s="1016">
        <f t="shared" si="9"/>
        <v>0</v>
      </c>
      <c r="F25" s="1016">
        <f t="shared" si="9"/>
        <v>0</v>
      </c>
      <c r="G25" s="1016">
        <f t="shared" si="9"/>
        <v>0</v>
      </c>
      <c r="H25" s="1016">
        <f t="shared" si="9"/>
        <v>5.635887559911505</v>
      </c>
      <c r="I25" s="1016">
        <f t="shared" si="9"/>
        <v>5.6354639075614932</v>
      </c>
      <c r="J25" s="1016">
        <f t="shared" si="9"/>
        <v>6.4138095099598642</v>
      </c>
      <c r="K25" s="1016">
        <f t="shared" si="9"/>
        <v>6.2211269876528883</v>
      </c>
      <c r="L25" s="1016">
        <f t="shared" si="4"/>
        <v>7.8616918708693646</v>
      </c>
      <c r="M25" s="1016">
        <f t="shared" si="4"/>
        <v>16.514299999999992</v>
      </c>
      <c r="N25" s="590">
        <f t="shared" si="5"/>
        <v>1.1006038231022401</v>
      </c>
      <c r="O25" s="1080">
        <f>L9/L7</f>
        <v>-2.0090159711488913</v>
      </c>
      <c r="P25" s="583">
        <f t="shared" si="6"/>
        <v>0.26370863132556477</v>
      </c>
      <c r="Q25" s="583">
        <f t="shared" si="6"/>
        <v>1.1006038231022401</v>
      </c>
      <c r="R25" s="51">
        <f t="shared" si="7"/>
        <v>1.6405648832164763</v>
      </c>
      <c r="S25" s="51">
        <f t="shared" si="7"/>
        <v>8.6526081291306269</v>
      </c>
    </row>
    <row r="26" spans="1:22">
      <c r="A26" t="s">
        <v>232</v>
      </c>
      <c r="B26" s="1016">
        <f t="shared" ref="B26:K26" si="10">(B10/B$18)*$L$18</f>
        <v>0</v>
      </c>
      <c r="C26" s="1016">
        <f t="shared" si="10"/>
        <v>0</v>
      </c>
      <c r="D26" s="1016">
        <f t="shared" si="10"/>
        <v>0</v>
      </c>
      <c r="E26" s="1016">
        <f t="shared" si="10"/>
        <v>0</v>
      </c>
      <c r="F26" s="1016">
        <f t="shared" si="10"/>
        <v>0</v>
      </c>
      <c r="G26" s="1016">
        <f t="shared" si="10"/>
        <v>0</v>
      </c>
      <c r="H26" s="1016">
        <f t="shared" si="10"/>
        <v>-3.3934351495898003</v>
      </c>
      <c r="I26" s="1016">
        <f t="shared" si="10"/>
        <v>-3.2184911058609473</v>
      </c>
      <c r="J26" s="1016">
        <f t="shared" si="10"/>
        <v>-3.2444589980297351</v>
      </c>
      <c r="K26" s="1016">
        <f t="shared" si="10"/>
        <v>-3.037580586024728</v>
      </c>
      <c r="L26" s="1016">
        <f t="shared" si="4"/>
        <v>-2.8739176207011847</v>
      </c>
      <c r="M26" s="1016">
        <f t="shared" si="4"/>
        <v>-0.8859999999999999</v>
      </c>
      <c r="N26" s="590">
        <f t="shared" si="5"/>
        <v>-0.69171002202080112</v>
      </c>
      <c r="O26" s="1016"/>
      <c r="P26" s="583">
        <f t="shared" si="6"/>
        <v>-5.3879382188746661E-2</v>
      </c>
      <c r="Q26" s="583">
        <f t="shared" si="6"/>
        <v>-0.69171002202080112</v>
      </c>
      <c r="R26" s="51">
        <f t="shared" si="7"/>
        <v>0.1636629653235433</v>
      </c>
      <c r="S26" s="51">
        <f t="shared" si="7"/>
        <v>1.9879176207011848</v>
      </c>
    </row>
    <row r="27" spans="1:22">
      <c r="A27" t="s">
        <v>212</v>
      </c>
      <c r="B27" s="1016">
        <f t="shared" ref="B27:K27" si="11">(B11/B$18)*$L$18</f>
        <v>0</v>
      </c>
      <c r="C27" s="1016">
        <f t="shared" si="11"/>
        <v>0</v>
      </c>
      <c r="D27" s="1016">
        <f t="shared" si="11"/>
        <v>0</v>
      </c>
      <c r="E27" s="1016">
        <f t="shared" si="11"/>
        <v>0</v>
      </c>
      <c r="F27" s="1016">
        <f t="shared" si="11"/>
        <v>0</v>
      </c>
      <c r="G27" s="1016">
        <f t="shared" si="11"/>
        <v>0</v>
      </c>
      <c r="H27" s="1016">
        <f t="shared" si="11"/>
        <v>5.635887559911505</v>
      </c>
      <c r="I27" s="1016">
        <f t="shared" si="11"/>
        <v>5.6354639075614932</v>
      </c>
      <c r="J27" s="1016">
        <f t="shared" si="11"/>
        <v>6.4138095099598642</v>
      </c>
      <c r="K27" s="1016">
        <f t="shared" si="11"/>
        <v>6.2211269876528883</v>
      </c>
      <c r="L27" s="1016">
        <f t="shared" si="4"/>
        <v>7.8616918708693646</v>
      </c>
      <c r="M27" s="1016">
        <f t="shared" si="4"/>
        <v>14.549299999999988</v>
      </c>
      <c r="N27" s="590">
        <f t="shared" si="5"/>
        <v>0.85065762420819624</v>
      </c>
      <c r="O27" s="1016"/>
      <c r="P27" s="583">
        <f t="shared" si="6"/>
        <v>0.26370863132556477</v>
      </c>
      <c r="Q27" s="583">
        <f t="shared" si="6"/>
        <v>0.85065762420819624</v>
      </c>
      <c r="R27" s="51">
        <f t="shared" si="7"/>
        <v>1.6405648832164763</v>
      </c>
      <c r="S27" s="51">
        <f t="shared" si="7"/>
        <v>6.6876081291306235</v>
      </c>
    </row>
    <row r="28" spans="1:22">
      <c r="A28" t="s">
        <v>234</v>
      </c>
      <c r="B28" s="1016">
        <f t="shared" ref="B28:K28" si="12">(B12/B$18)*$L$18</f>
        <v>0</v>
      </c>
      <c r="C28" s="1016">
        <f t="shared" si="12"/>
        <v>0</v>
      </c>
      <c r="D28" s="1016">
        <f t="shared" si="12"/>
        <v>0</v>
      </c>
      <c r="E28" s="1016">
        <f t="shared" si="12"/>
        <v>0</v>
      </c>
      <c r="F28" s="1016">
        <f t="shared" si="12"/>
        <v>0</v>
      </c>
      <c r="G28" s="1016">
        <f t="shared" si="12"/>
        <v>0</v>
      </c>
      <c r="H28" s="1016">
        <f t="shared" si="12"/>
        <v>-5.635887559911505</v>
      </c>
      <c r="I28" s="1016">
        <f t="shared" si="12"/>
        <v>-5.6354639075614932</v>
      </c>
      <c r="J28" s="1016">
        <f t="shared" si="12"/>
        <v>-6.4138095099598642</v>
      </c>
      <c r="K28" s="1016">
        <f t="shared" si="12"/>
        <v>-5.7065175793575991</v>
      </c>
      <c r="L28" s="1016">
        <f t="shared" si="4"/>
        <v>-8.4392979026693649</v>
      </c>
      <c r="M28" s="1016">
        <f t="shared" si="4"/>
        <v>-5.9847819999999956</v>
      </c>
      <c r="N28" s="590">
        <f t="shared" si="5"/>
        <v>-0.29084361412256832</v>
      </c>
      <c r="O28" s="1016"/>
      <c r="P28" s="583">
        <f t="shared" si="6"/>
        <v>0.47888756764671236</v>
      </c>
      <c r="Q28" s="583">
        <f t="shared" si="6"/>
        <v>-0.29084361412256832</v>
      </c>
      <c r="R28" s="51">
        <f t="shared" si="7"/>
        <v>-2.7327803233117658</v>
      </c>
      <c r="S28" s="51">
        <f t="shared" si="7"/>
        <v>2.4545159026693693</v>
      </c>
    </row>
    <row r="29" spans="1:22">
      <c r="A29" t="s">
        <v>214</v>
      </c>
      <c r="B29" s="1016">
        <f t="shared" ref="B29:K29" si="13">(B13/B$18)*$L$18</f>
        <v>0</v>
      </c>
      <c r="C29" s="1016">
        <f t="shared" si="13"/>
        <v>0</v>
      </c>
      <c r="D29" s="1016">
        <f t="shared" si="13"/>
        <v>0</v>
      </c>
      <c r="E29" s="1016">
        <f t="shared" si="13"/>
        <v>0</v>
      </c>
      <c r="F29" s="1016">
        <f t="shared" si="13"/>
        <v>0</v>
      </c>
      <c r="G29" s="1016">
        <f t="shared" si="13"/>
        <v>0</v>
      </c>
      <c r="H29" s="1016">
        <f t="shared" si="13"/>
        <v>0</v>
      </c>
      <c r="I29" s="1016">
        <f t="shared" si="13"/>
        <v>0</v>
      </c>
      <c r="J29" s="1016">
        <f t="shared" si="13"/>
        <v>0</v>
      </c>
      <c r="K29" s="1016">
        <f t="shared" si="13"/>
        <v>-5.5403083294733313E-2</v>
      </c>
      <c r="L29" s="1016">
        <f t="shared" si="4"/>
        <v>-0.46168161006002917</v>
      </c>
      <c r="M29" s="1016">
        <f t="shared" si="4"/>
        <v>-0.82429299999999905</v>
      </c>
      <c r="N29" s="590">
        <f t="shared" si="5"/>
        <v>0.78541441122773348</v>
      </c>
      <c r="O29" s="583"/>
      <c r="P29" s="583">
        <f t="shared" si="6"/>
        <v>7.3331392876453361</v>
      </c>
      <c r="Q29" s="583">
        <f t="shared" si="6"/>
        <v>0.78541441122773348</v>
      </c>
      <c r="R29" s="51">
        <f t="shared" si="7"/>
        <v>-0.40627852676529586</v>
      </c>
      <c r="S29" s="51">
        <f t="shared" si="7"/>
        <v>-0.36261138993996989</v>
      </c>
    </row>
    <row r="30" spans="1:22">
      <c r="G30" s="1016"/>
      <c r="L30" s="1016"/>
      <c r="P30" s="583" t="e">
        <f>L30/L32-1</f>
        <v>#DIV/0!</v>
      </c>
      <c r="Q30" s="583"/>
      <c r="R30" s="51">
        <f>L30-L32</f>
        <v>0</v>
      </c>
      <c r="S30" s="51"/>
    </row>
    <row r="31" spans="1:22">
      <c r="B31" s="1762" t="s">
        <v>235</v>
      </c>
      <c r="C31" s="1762"/>
      <c r="D31" s="1762"/>
      <c r="E31" s="1762"/>
      <c r="F31" s="1762"/>
      <c r="G31" s="1762"/>
      <c r="L31" s="51"/>
      <c r="N31" s="51"/>
      <c r="P31" s="78"/>
      <c r="Q31" s="51"/>
    </row>
    <row r="32" spans="1:22">
      <c r="A32" s="76" t="s">
        <v>231</v>
      </c>
      <c r="B32" s="1019" t="s">
        <v>237</v>
      </c>
      <c r="C32" s="1019" t="s">
        <v>238</v>
      </c>
      <c r="D32" s="1019" t="s">
        <v>239</v>
      </c>
      <c r="E32" s="1019" t="s">
        <v>240</v>
      </c>
      <c r="F32" s="1019" t="s">
        <v>241</v>
      </c>
      <c r="G32" s="1019" t="s">
        <v>242</v>
      </c>
      <c r="L32" s="51"/>
      <c r="Q32" s="51"/>
    </row>
    <row r="33" spans="1:21">
      <c r="A33" s="3" t="s">
        <v>202</v>
      </c>
      <c r="B33" s="583" t="e">
        <f>(K23/G23)^(1/COUNTA(H23:K23))-1</f>
        <v>#DIV/0!</v>
      </c>
      <c r="C33" s="583" t="e">
        <f>(L23/G23)^(1/COUNTA(H23:L23))-1</f>
        <v>#DIV/0!</v>
      </c>
      <c r="D33" s="583" t="e">
        <f>(M23/G23)^(1/COUNTA(H23:M23))-1</f>
        <v>#DIV/0!</v>
      </c>
      <c r="E33" s="1022">
        <f>(K23/H23)^(1/COUNTA(I23:K23))-1</f>
        <v>-8.7494548491859225E-2</v>
      </c>
      <c r="F33" s="583">
        <f>(L23/H23)^(1/COUNTA(I23:L23))-1</f>
        <v>3.6270818927290893E-2</v>
      </c>
      <c r="G33" s="1022">
        <f>(M23/H23)^(1/COUNTA(I23:M23))-1</f>
        <v>-2.0757716472642134</v>
      </c>
      <c r="Q33" s="51"/>
    </row>
    <row r="34" spans="1:21">
      <c r="A34" t="s">
        <v>204</v>
      </c>
      <c r="B34" s="583" t="e">
        <f>(K24/G24)^(1/COUNTA(H24:K24))-1</f>
        <v>#DIV/0!</v>
      </c>
      <c r="C34" s="583" t="e">
        <f>(L24/G24)^(1/COUNTA(H24:L24))-1</f>
        <v>#DIV/0!</v>
      </c>
      <c r="D34" s="583" t="e">
        <f>(M24/G24)^(1/COUNTA(H24:M24))-1</f>
        <v>#DIV/0!</v>
      </c>
      <c r="E34" s="583" t="e">
        <f>(K24/H24)^(1/COUNTA(I24:K24))-1</f>
        <v>#DIV/0!</v>
      </c>
      <c r="F34" s="583" t="e">
        <f>(L24/H24)^(1/COUNTA(I24:L24))-1</f>
        <v>#DIV/0!</v>
      </c>
      <c r="G34" s="583" t="e">
        <f>(M24/H24)^(1/COUNTA(I24:M24))-1</f>
        <v>#DIV/0!</v>
      </c>
    </row>
    <row r="35" spans="1:21">
      <c r="A35" t="s">
        <v>129</v>
      </c>
      <c r="B35" s="583" t="s">
        <v>243</v>
      </c>
      <c r="C35" s="583" t="s">
        <v>243</v>
      </c>
      <c r="D35" s="583" t="s">
        <v>243</v>
      </c>
      <c r="E35" s="583">
        <f>(K25/H25)^(1/COUNTA(I25:K25))-1</f>
        <v>3.3480409897834074E-2</v>
      </c>
      <c r="F35" s="583">
        <f>(L25/H25)^(1/COUNTA(I25:L25))-1</f>
        <v>8.6771959900728834E-2</v>
      </c>
      <c r="G35" s="1022">
        <f>(M25/H25)^(1/COUNTA(I25:M25))-1</f>
        <v>0.23987975823080898</v>
      </c>
    </row>
    <row r="36" spans="1:21">
      <c r="A36" t="s">
        <v>232</v>
      </c>
      <c r="B36" s="583" t="s">
        <v>243</v>
      </c>
      <c r="C36" s="583" t="s">
        <v>243</v>
      </c>
      <c r="D36" s="583" t="s">
        <v>243</v>
      </c>
      <c r="E36" s="583" t="s">
        <v>243</v>
      </c>
      <c r="F36" s="583" t="s">
        <v>243</v>
      </c>
      <c r="G36" s="583" t="s">
        <v>243</v>
      </c>
      <c r="P36" s="51"/>
      <c r="Q36" s="51"/>
      <c r="R36" s="51"/>
    </row>
    <row r="37" spans="1:21">
      <c r="A37" t="s">
        <v>212</v>
      </c>
      <c r="B37" s="583" t="e">
        <f>(K27/G27)^(1/COUNTA(H27:K27))-1</f>
        <v>#DIV/0!</v>
      </c>
      <c r="C37" s="1022" t="e">
        <f>(L27/G27)^(1/COUNTA(H27:L27))-1</f>
        <v>#DIV/0!</v>
      </c>
      <c r="D37" s="583" t="e">
        <f>(M27/G27)^(1/COUNTA(H27:M27))-1</f>
        <v>#DIV/0!</v>
      </c>
      <c r="E37" s="583">
        <f>(K27/H27)^(1/COUNTA(I27:K27))-1</f>
        <v>3.3480409897834074E-2</v>
      </c>
      <c r="F37" s="583">
        <f>(L27/H27)^(1/COUNTA(I27:L27))-1</f>
        <v>8.6771959900728834E-2</v>
      </c>
      <c r="G37" s="583">
        <f>(M27/H27)^(1/COUNTA(I27:M27))-1</f>
        <v>0.20885985620759251</v>
      </c>
      <c r="L37" s="172"/>
      <c r="P37" s="51"/>
      <c r="Q37" s="51"/>
      <c r="R37" s="51"/>
    </row>
    <row r="38" spans="1:21">
      <c r="A38" t="s">
        <v>234</v>
      </c>
      <c r="B38" s="583" t="e">
        <f>(K28/G28)^(1/COUNTA(H28:K28))-1</f>
        <v>#DIV/0!</v>
      </c>
      <c r="C38" s="583" t="e">
        <f>(L28/G28)^(1/COUNTA(H28:L28))-1</f>
        <v>#DIV/0!</v>
      </c>
      <c r="D38" s="583" t="e">
        <f>(M28/G28)^(1/COUNTA(H28:M28))-1</f>
        <v>#DIV/0!</v>
      </c>
      <c r="E38" s="583">
        <f>(K28/H28)^(1/COUNTA(I28:K28))-1</f>
        <v>4.1600668509083061E-3</v>
      </c>
      <c r="F38" s="583">
        <f>(L28/H28)^(1/COUNTA(I28:L28))-1</f>
        <v>0.10620597361892292</v>
      </c>
      <c r="G38" s="583">
        <f>(M28/H28)^(1/COUNTA(I28:M28))-1</f>
        <v>1.2085500635033775E-2</v>
      </c>
      <c r="P38" s="51"/>
      <c r="Q38" s="51"/>
      <c r="R38" s="51"/>
    </row>
    <row r="39" spans="1:21">
      <c r="A39" t="s">
        <v>214</v>
      </c>
      <c r="B39" s="583" t="e">
        <f>(K29/G29)^(1/COUNTA(H29:K29))-1</f>
        <v>#DIV/0!</v>
      </c>
      <c r="C39" s="583" t="e">
        <f>(L29/G29)^(1/COUNTA(H29:L29))-1</f>
        <v>#DIV/0!</v>
      </c>
      <c r="D39" s="583" t="e">
        <f>(M29/G29)^(1/COUNTA(H29:M29))-1</f>
        <v>#DIV/0!</v>
      </c>
      <c r="E39" s="583" t="e">
        <f>(K29/H29)^(1/COUNTA(I29:K29))-1</f>
        <v>#DIV/0!</v>
      </c>
      <c r="F39" s="583" t="e">
        <f>(L29/H29)^(1/COUNTA(I29:L29))-1</f>
        <v>#DIV/0!</v>
      </c>
      <c r="G39" s="583" t="e">
        <f>(M29/H29)^(1/COUNTA(I29:M29))-1</f>
        <v>#DIV/0!</v>
      </c>
      <c r="P39" s="51"/>
      <c r="Q39" s="51"/>
      <c r="R39" s="51"/>
    </row>
    <row r="40" spans="1:21">
      <c r="P40" s="51"/>
      <c r="Q40" s="51"/>
      <c r="R40" s="51"/>
    </row>
    <row r="41" spans="1:21">
      <c r="A41" s="1040" t="s">
        <v>244</v>
      </c>
      <c r="B41" s="1040" t="s">
        <v>245</v>
      </c>
      <c r="C41" s="1040" t="s">
        <v>192</v>
      </c>
      <c r="D41" s="1040" t="s">
        <v>193</v>
      </c>
      <c r="E41" s="1040" t="s">
        <v>165</v>
      </c>
      <c r="F41" s="1040" t="s">
        <v>167</v>
      </c>
      <c r="G41" s="1040" t="s">
        <v>168</v>
      </c>
      <c r="H41" s="1040" t="s">
        <v>169</v>
      </c>
      <c r="I41" s="1040" t="s">
        <v>170</v>
      </c>
      <c r="J41" s="1040" t="s">
        <v>171</v>
      </c>
      <c r="K41" s="1040" t="s">
        <v>172</v>
      </c>
      <c r="L41" s="1040" t="s">
        <v>173</v>
      </c>
      <c r="M41" s="1040" t="s">
        <v>174</v>
      </c>
      <c r="N41" s="1040"/>
      <c r="P41" s="51"/>
      <c r="Q41" s="51"/>
      <c r="R41" s="51"/>
    </row>
    <row r="42" spans="1:21">
      <c r="A42" t="s">
        <v>212</v>
      </c>
      <c r="B42" s="51">
        <f t="shared" ref="B42:M42" si="14">B11</f>
        <v>0</v>
      </c>
      <c r="C42" s="51">
        <f t="shared" si="14"/>
        <v>0</v>
      </c>
      <c r="D42" s="51">
        <f t="shared" si="14"/>
        <v>0</v>
      </c>
      <c r="E42" s="51">
        <f t="shared" si="14"/>
        <v>0</v>
      </c>
      <c r="F42" s="51">
        <f t="shared" si="14"/>
        <v>0</v>
      </c>
      <c r="G42" s="51">
        <f t="shared" si="14"/>
        <v>0</v>
      </c>
      <c r="H42" s="51">
        <f t="shared" si="14"/>
        <v>4.7349999999999994</v>
      </c>
      <c r="I42" s="51">
        <f t="shared" si="14"/>
        <v>4.9919999999999902</v>
      </c>
      <c r="J42" s="51">
        <f t="shared" si="14"/>
        <v>5.6359999999999957</v>
      </c>
      <c r="K42" s="51">
        <f t="shared" si="14"/>
        <v>5.8389999999999986</v>
      </c>
      <c r="L42" s="51">
        <f t="shared" si="14"/>
        <v>7.7990000000000066</v>
      </c>
      <c r="M42" s="51">
        <f t="shared" si="14"/>
        <v>14.549299999999988</v>
      </c>
      <c r="N42" s="51"/>
      <c r="P42" s="51"/>
      <c r="Q42" s="51"/>
      <c r="R42" s="51"/>
    </row>
    <row r="43" spans="1:21">
      <c r="A43" t="s">
        <v>266</v>
      </c>
      <c r="G43" s="96">
        <f>G48-G47</f>
        <v>1.8999999999999915</v>
      </c>
      <c r="H43" s="96">
        <f>H48-H47</f>
        <v>2.0999999999999943</v>
      </c>
      <c r="I43" s="96">
        <f>I48-I47</f>
        <v>2.4000000000000057</v>
      </c>
      <c r="J43" s="96">
        <f>J48-J47</f>
        <v>2.7000000000000171</v>
      </c>
      <c r="K43" s="96">
        <v>3.3</v>
      </c>
      <c r="L43" s="96">
        <v>3.3</v>
      </c>
      <c r="M43" s="96">
        <v>3.4</v>
      </c>
      <c r="N43" s="96"/>
      <c r="P43" s="51"/>
      <c r="Q43" s="51"/>
      <c r="R43" s="51"/>
      <c r="U43" s="78"/>
    </row>
    <row r="44" spans="1:21">
      <c r="A44" t="s">
        <v>267</v>
      </c>
      <c r="B44" s="1039">
        <f>C44/(1+$U$43)</f>
        <v>1.8999999999999915</v>
      </c>
      <c r="C44" s="1039">
        <f>D44/(1+$U$43)</f>
        <v>1.8999999999999915</v>
      </c>
      <c r="D44" s="1039">
        <f>E44/(1+$U$43)</f>
        <v>1.8999999999999915</v>
      </c>
      <c r="E44" s="1039">
        <f>F44/(1+$U$43)</f>
        <v>1.8999999999999915</v>
      </c>
      <c r="F44" s="1039">
        <f>G43/(1+$U$43)</f>
        <v>1.8999999999999915</v>
      </c>
      <c r="G44" s="96">
        <f t="shared" ref="G44:M44" si="15">G43</f>
        <v>1.8999999999999915</v>
      </c>
      <c r="H44" s="96">
        <f t="shared" si="15"/>
        <v>2.0999999999999943</v>
      </c>
      <c r="I44" s="96">
        <f t="shared" si="15"/>
        <v>2.4000000000000057</v>
      </c>
      <c r="J44" s="96">
        <f t="shared" si="15"/>
        <v>2.7000000000000171</v>
      </c>
      <c r="K44" s="96">
        <f t="shared" si="15"/>
        <v>3.3</v>
      </c>
      <c r="L44" s="96">
        <f t="shared" si="15"/>
        <v>3.3</v>
      </c>
      <c r="M44" s="96">
        <f t="shared" si="15"/>
        <v>3.4</v>
      </c>
      <c r="N44" s="96"/>
      <c r="P44" s="51"/>
      <c r="Q44" s="51"/>
      <c r="R44" s="51"/>
      <c r="U44" s="78"/>
    </row>
    <row r="45" spans="1:21">
      <c r="A45" t="s">
        <v>249</v>
      </c>
      <c r="B45" s="1035">
        <f>B42-B44</f>
        <v>-1.8999999999999915</v>
      </c>
      <c r="C45" s="1035">
        <f>C42-C44</f>
        <v>-1.8999999999999915</v>
      </c>
      <c r="D45" s="1035">
        <f>D42-D44</f>
        <v>-1.8999999999999915</v>
      </c>
      <c r="E45" s="1035">
        <f>E42-E44</f>
        <v>-1.8999999999999915</v>
      </c>
      <c r="F45" s="1035">
        <f>F42-F44</f>
        <v>-1.8999999999999915</v>
      </c>
      <c r="G45" s="96">
        <f t="shared" ref="G45:M45" si="16">G42</f>
        <v>0</v>
      </c>
      <c r="H45" s="96">
        <f t="shared" si="16"/>
        <v>4.7349999999999994</v>
      </c>
      <c r="I45" s="96">
        <f t="shared" si="16"/>
        <v>4.9919999999999902</v>
      </c>
      <c r="J45" s="96">
        <f t="shared" si="16"/>
        <v>5.6359999999999957</v>
      </c>
      <c r="K45" s="96">
        <f t="shared" si="16"/>
        <v>5.8389999999999986</v>
      </c>
      <c r="L45" s="96">
        <f t="shared" si="16"/>
        <v>7.7990000000000066</v>
      </c>
      <c r="M45" s="96">
        <f t="shared" si="16"/>
        <v>14.549299999999988</v>
      </c>
      <c r="N45" s="96"/>
      <c r="P45" s="51"/>
      <c r="Q45" s="51"/>
      <c r="R45" s="51"/>
      <c r="U45" s="78"/>
    </row>
    <row r="46" spans="1:21">
      <c r="A46" t="s">
        <v>250</v>
      </c>
      <c r="B46" s="96">
        <f>B42</f>
        <v>0</v>
      </c>
      <c r="C46" s="96">
        <f>C42</f>
        <v>0</v>
      </c>
      <c r="D46" s="96">
        <f>D42</f>
        <v>0</v>
      </c>
      <c r="E46" s="96">
        <f>E42</f>
        <v>0</v>
      </c>
      <c r="F46" s="96">
        <f>F42</f>
        <v>0</v>
      </c>
      <c r="G46" s="1035">
        <f t="shared" ref="G46:M46" si="17">G42+G44</f>
        <v>1.8999999999999915</v>
      </c>
      <c r="H46" s="1035">
        <f t="shared" si="17"/>
        <v>6.8349999999999937</v>
      </c>
      <c r="I46" s="1035">
        <f t="shared" si="17"/>
        <v>7.3919999999999959</v>
      </c>
      <c r="J46" s="1035">
        <f t="shared" si="17"/>
        <v>8.3360000000000127</v>
      </c>
      <c r="K46" s="1035">
        <f t="shared" si="17"/>
        <v>9.1389999999999993</v>
      </c>
      <c r="L46" s="1035">
        <f t="shared" si="17"/>
        <v>11.099000000000007</v>
      </c>
      <c r="M46" s="1035">
        <f t="shared" si="17"/>
        <v>17.949299999999987</v>
      </c>
      <c r="N46" s="1035" t="s">
        <v>268</v>
      </c>
      <c r="P46" s="51"/>
      <c r="Q46" s="51"/>
      <c r="R46" s="51"/>
      <c r="U46" s="78"/>
    </row>
    <row r="47" spans="1:21">
      <c r="A47" t="s">
        <v>246</v>
      </c>
      <c r="G47">
        <v>112.4</v>
      </c>
      <c r="H47">
        <v>121.7</v>
      </c>
      <c r="I47">
        <v>141</v>
      </c>
      <c r="J47">
        <v>146.69999999999999</v>
      </c>
      <c r="P47" s="51"/>
      <c r="Q47" s="51"/>
      <c r="R47" s="51"/>
    </row>
    <row r="48" spans="1:21">
      <c r="A48" t="s">
        <v>269</v>
      </c>
      <c r="G48">
        <v>114.3</v>
      </c>
      <c r="H48">
        <v>123.8</v>
      </c>
      <c r="I48">
        <v>143.4</v>
      </c>
      <c r="J48">
        <v>149.4</v>
      </c>
    </row>
    <row r="50" spans="1:14">
      <c r="B50" s="1017" t="s">
        <v>245</v>
      </c>
      <c r="C50" s="1017" t="s">
        <v>192</v>
      </c>
      <c r="D50" s="1017" t="s">
        <v>193</v>
      </c>
      <c r="E50" s="1017" t="s">
        <v>165</v>
      </c>
      <c r="F50" s="1017" t="s">
        <v>167</v>
      </c>
      <c r="G50" s="1017" t="s">
        <v>168</v>
      </c>
      <c r="H50" s="1017" t="s">
        <v>169</v>
      </c>
      <c r="I50" s="1017" t="s">
        <v>170</v>
      </c>
      <c r="J50" s="1017" t="s">
        <v>171</v>
      </c>
      <c r="K50" s="1017" t="s">
        <v>172</v>
      </c>
      <c r="L50" s="1017" t="s">
        <v>173</v>
      </c>
      <c r="M50" s="1017" t="s">
        <v>174</v>
      </c>
      <c r="N50" s="1017"/>
    </row>
    <row r="51" spans="1:14">
      <c r="A51" s="76" t="s">
        <v>226</v>
      </c>
      <c r="B51">
        <v>91.025000000000006</v>
      </c>
      <c r="C51">
        <v>92.125</v>
      </c>
      <c r="D51">
        <v>92.8</v>
      </c>
      <c r="E51">
        <v>94.9</v>
      </c>
      <c r="F51">
        <v>96.375</v>
      </c>
      <c r="G51" s="1016">
        <v>98.4</v>
      </c>
      <c r="H51" s="1016">
        <v>100.72499999999999</v>
      </c>
      <c r="I51" s="1016">
        <v>106.19999999999999</v>
      </c>
      <c r="J51" s="1016">
        <v>105.375</v>
      </c>
      <c r="K51" s="1016">
        <v>112.4</v>
      </c>
      <c r="L51" s="1016">
        <v>119.2549027044208</v>
      </c>
      <c r="M51" s="1016">
        <v>121.25506271536932</v>
      </c>
      <c r="N51" s="1016"/>
    </row>
    <row r="52" spans="1:14">
      <c r="B52" s="583"/>
      <c r="C52" s="583"/>
      <c r="D52" s="583"/>
    </row>
    <row r="53" spans="1:14">
      <c r="A53" s="1040" t="s">
        <v>251</v>
      </c>
      <c r="B53" s="1040" t="s">
        <v>245</v>
      </c>
      <c r="C53" s="1040" t="s">
        <v>192</v>
      </c>
      <c r="D53" s="1040" t="s">
        <v>193</v>
      </c>
      <c r="E53" s="1040" t="s">
        <v>165</v>
      </c>
      <c r="F53" s="1040" t="s">
        <v>167</v>
      </c>
      <c r="G53" s="1040" t="s">
        <v>168</v>
      </c>
      <c r="H53" s="1040" t="s">
        <v>169</v>
      </c>
      <c r="I53" s="1040" t="s">
        <v>170</v>
      </c>
      <c r="J53" s="1040" t="s">
        <v>171</v>
      </c>
      <c r="K53" s="1040" t="s">
        <v>172</v>
      </c>
      <c r="L53" s="1040" t="s">
        <v>173</v>
      </c>
      <c r="M53" s="1040" t="s">
        <v>174</v>
      </c>
      <c r="N53" s="1040"/>
    </row>
    <row r="54" spans="1:14">
      <c r="A54" t="s">
        <v>249</v>
      </c>
      <c r="B54" s="51">
        <f t="shared" ref="B54:M54" si="18">(B45/B51)*$L51</f>
        <v>-2.4892536680955617</v>
      </c>
      <c r="C54" s="51">
        <f t="shared" si="18"/>
        <v>-2.4595312362377042</v>
      </c>
      <c r="D54" s="51">
        <f t="shared" si="18"/>
        <v>-2.4416413269223978</v>
      </c>
      <c r="E54" s="51">
        <f t="shared" si="18"/>
        <v>-2.3876113291717438</v>
      </c>
      <c r="F54" s="51">
        <f t="shared" si="18"/>
        <v>-2.3510694177784539</v>
      </c>
      <c r="G54" s="51">
        <f t="shared" si="18"/>
        <v>0</v>
      </c>
      <c r="H54" s="51">
        <f t="shared" si="18"/>
        <v>5.6060755949906422</v>
      </c>
      <c r="I54" s="51">
        <f t="shared" si="18"/>
        <v>5.6056541836202216</v>
      </c>
      <c r="J54" s="51">
        <f t="shared" si="18"/>
        <v>6.3783689835550659</v>
      </c>
      <c r="K54" s="51">
        <f t="shared" si="18"/>
        <v>6.1951012178924634</v>
      </c>
      <c r="L54" s="51">
        <f t="shared" si="18"/>
        <v>7.7990000000000066</v>
      </c>
      <c r="M54" s="51">
        <f t="shared" si="18"/>
        <v>14.309302366947717</v>
      </c>
      <c r="N54" s="51"/>
    </row>
    <row r="55" spans="1:14">
      <c r="A55" t="s">
        <v>250</v>
      </c>
      <c r="B55" s="51">
        <f t="shared" ref="B55:M55" si="19">(B46/B51)*$L51</f>
        <v>0</v>
      </c>
      <c r="C55" s="51">
        <f t="shared" si="19"/>
        <v>0</v>
      </c>
      <c r="D55" s="51">
        <f t="shared" si="19"/>
        <v>0</v>
      </c>
      <c r="E55" s="51">
        <f t="shared" si="19"/>
        <v>0</v>
      </c>
      <c r="F55" s="51">
        <f t="shared" si="19"/>
        <v>0</v>
      </c>
      <c r="G55" s="51">
        <f t="shared" si="19"/>
        <v>2.3026861294552692</v>
      </c>
      <c r="H55" s="51">
        <f t="shared" si="19"/>
        <v>8.0924026804141533</v>
      </c>
      <c r="I55" s="51">
        <f t="shared" si="19"/>
        <v>8.3006802334376459</v>
      </c>
      <c r="J55" s="51">
        <f t="shared" si="19"/>
        <v>9.4340106186861519</v>
      </c>
      <c r="K55" s="51">
        <f t="shared" si="19"/>
        <v>9.6963572581468114</v>
      </c>
      <c r="L55" s="51">
        <f t="shared" si="19"/>
        <v>11.099000000000007</v>
      </c>
      <c r="M55" s="51">
        <f t="shared" si="19"/>
        <v>17.65321774759299</v>
      </c>
      <c r="N55" s="51"/>
    </row>
    <row r="56" spans="1:14">
      <c r="L56" s="51"/>
    </row>
    <row r="57" spans="1:14">
      <c r="L57" s="51">
        <f>K54-L54</f>
        <v>-1.6038987821075432</v>
      </c>
      <c r="M57" s="51">
        <f>L54-M54</f>
        <v>-6.5103023669477107</v>
      </c>
    </row>
    <row r="58" spans="1:14">
      <c r="L58" s="51">
        <f>K55-L55</f>
        <v>-1.4026427418531959</v>
      </c>
    </row>
    <row r="59" spans="1:14">
      <c r="L59" s="51"/>
    </row>
  </sheetData>
  <mergeCells count="3">
    <mergeCell ref="P5:Q5"/>
    <mergeCell ref="R5:S5"/>
    <mergeCell ref="B31:G31"/>
  </mergeCells>
  <hyperlinks>
    <hyperlink ref="L2" r:id="rId1" location=":~:text=The%20Supplementary%20Estimates%2C%20presented%20to,for%20any%20necessary%20new%20services." xr:uid="{B3DCF628-A7A2-4ABC-A5DB-ED4A9A12E928}"/>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101DB-6DB8-4F03-865D-13754D92A54E}">
  <sheetPr>
    <tabColor theme="5"/>
  </sheetPr>
  <dimension ref="A1:U65"/>
  <sheetViews>
    <sheetView zoomScale="70" zoomScaleNormal="70" workbookViewId="0">
      <pane xSplit="1" topLeftCell="B1" activePane="topRight" state="frozen"/>
      <selection activeCell="A4" sqref="A4"/>
      <selection pane="topRight" activeCell="G28" sqref="G28"/>
    </sheetView>
  </sheetViews>
  <sheetFormatPr defaultRowHeight="14.5"/>
  <cols>
    <col min="1" max="1" width="52.453125" bestFit="1" customWidth="1"/>
    <col min="2" max="2" width="20.1796875" customWidth="1"/>
    <col min="3" max="3" width="18" customWidth="1"/>
    <col min="4" max="4" width="15.453125" customWidth="1"/>
    <col min="5" max="5" width="14.1796875" customWidth="1"/>
    <col min="6" max="6" width="16.453125" customWidth="1"/>
    <col min="7" max="7" width="15.1796875" customWidth="1"/>
    <col min="8" max="9" width="15.453125" bestFit="1" customWidth="1"/>
    <col min="10" max="11" width="10.54296875" bestFit="1" customWidth="1"/>
    <col min="12" max="12" width="15.54296875" bestFit="1" customWidth="1"/>
    <col min="13" max="13" width="10.453125" bestFit="1" customWidth="1"/>
    <col min="14" max="15" width="10.453125" customWidth="1"/>
    <col min="16" max="16" width="21.81640625" customWidth="1"/>
    <col min="17" max="17" width="20.81640625" customWidth="1"/>
    <col min="18" max="18" width="22.54296875" customWidth="1"/>
    <col min="19" max="19" width="19.453125" customWidth="1"/>
    <col min="20" max="20" width="10.453125" bestFit="1" customWidth="1"/>
  </cols>
  <sheetData>
    <row r="1" spans="1:19">
      <c r="A1" t="s">
        <v>177</v>
      </c>
      <c r="G1" s="702" t="s">
        <v>246</v>
      </c>
      <c r="H1" s="702"/>
      <c r="I1" s="702"/>
      <c r="J1" s="702"/>
      <c r="K1" s="1033" t="s">
        <v>179</v>
      </c>
      <c r="L1" s="43" t="s">
        <v>180</v>
      </c>
      <c r="M1" s="1033"/>
      <c r="N1" s="76" t="s">
        <v>181</v>
      </c>
    </row>
    <row r="2" spans="1:19">
      <c r="G2" s="1034" t="s">
        <v>262</v>
      </c>
      <c r="H2" s="702"/>
      <c r="I2" s="702"/>
      <c r="J2" s="702"/>
      <c r="K2" s="1032" t="s">
        <v>183</v>
      </c>
      <c r="L2" s="1112" t="s">
        <v>184</v>
      </c>
      <c r="M2" s="1033"/>
    </row>
    <row r="3" spans="1:19">
      <c r="A3" s="76" t="s">
        <v>185</v>
      </c>
      <c r="B3" s="76"/>
      <c r="C3" s="76"/>
      <c r="D3" s="76"/>
      <c r="E3" s="76"/>
      <c r="F3" s="76"/>
      <c r="G3" s="702"/>
      <c r="H3" s="702"/>
      <c r="I3" s="702"/>
      <c r="J3" s="702"/>
      <c r="K3" s="1033"/>
      <c r="L3" s="43"/>
      <c r="M3" s="1033"/>
    </row>
    <row r="4" spans="1:19">
      <c r="B4" t="s">
        <v>186</v>
      </c>
      <c r="G4" s="702"/>
      <c r="H4" s="702"/>
      <c r="I4" s="702"/>
      <c r="J4" s="702"/>
      <c r="K4" s="1033"/>
      <c r="L4" s="43"/>
      <c r="M4" s="1033"/>
    </row>
    <row r="5" spans="1:19">
      <c r="A5" s="76" t="s">
        <v>263</v>
      </c>
      <c r="B5" s="1014" t="s">
        <v>191</v>
      </c>
      <c r="C5" s="1014" t="s">
        <v>192</v>
      </c>
      <c r="D5" s="1014" t="s">
        <v>193</v>
      </c>
      <c r="E5" s="1014" t="s">
        <v>165</v>
      </c>
      <c r="F5" s="1014" t="s">
        <v>167</v>
      </c>
      <c r="G5" s="1014" t="s">
        <v>168</v>
      </c>
      <c r="H5" s="1014" t="s">
        <v>169</v>
      </c>
      <c r="I5" s="1014" t="s">
        <v>170</v>
      </c>
      <c r="J5" s="1014" t="s">
        <v>171</v>
      </c>
      <c r="K5" s="1014" t="s">
        <v>172</v>
      </c>
      <c r="L5" s="1014" t="s">
        <v>173</v>
      </c>
      <c r="M5" s="1014" t="s">
        <v>174</v>
      </c>
      <c r="N5" s="1014"/>
      <c r="P5" s="1761" t="s">
        <v>194</v>
      </c>
      <c r="Q5" s="1761"/>
      <c r="R5" s="1761" t="s">
        <v>195</v>
      </c>
      <c r="S5" s="1761"/>
    </row>
    <row r="6" spans="1:19">
      <c r="A6" s="76" t="s">
        <v>231</v>
      </c>
      <c r="B6" s="1015" t="s">
        <v>196</v>
      </c>
      <c r="C6" s="1015" t="s">
        <v>196</v>
      </c>
      <c r="D6" s="1015" t="s">
        <v>196</v>
      </c>
      <c r="E6" s="1015" t="s">
        <v>196</v>
      </c>
      <c r="F6" s="1015" t="s">
        <v>196</v>
      </c>
      <c r="G6" s="1015" t="s">
        <v>196</v>
      </c>
      <c r="H6" s="1015" t="s">
        <v>196</v>
      </c>
      <c r="I6" s="1015" t="s">
        <v>196</v>
      </c>
      <c r="J6" s="1015" t="s">
        <v>196</v>
      </c>
      <c r="K6" s="1015" t="s">
        <v>196</v>
      </c>
      <c r="L6" s="1015" t="s">
        <v>152</v>
      </c>
      <c r="M6" s="1015" t="s">
        <v>152</v>
      </c>
      <c r="N6" s="1015"/>
      <c r="O6" s="483"/>
      <c r="P6" s="1038" t="s">
        <v>198</v>
      </c>
      <c r="Q6" s="1038" t="s">
        <v>199</v>
      </c>
      <c r="R6" s="1038" t="s">
        <v>200</v>
      </c>
      <c r="S6" s="1038" t="s">
        <v>201</v>
      </c>
    </row>
    <row r="7" spans="1:19">
      <c r="A7" s="3" t="s">
        <v>202</v>
      </c>
      <c r="B7" s="1016">
        <f t="shared" ref="B7:M7" si="0">B8+B13</f>
        <v>109.77430665328011</v>
      </c>
      <c r="C7" s="1016">
        <f t="shared" si="0"/>
        <v>113.344612</v>
      </c>
      <c r="D7" s="1016">
        <f t="shared" si="0"/>
        <v>117.247606</v>
      </c>
      <c r="E7" s="1016">
        <f t="shared" si="0"/>
        <v>121.556</v>
      </c>
      <c r="F7" s="1016">
        <f t="shared" si="0"/>
        <v>125.15600000000001</v>
      </c>
      <c r="G7" s="1016">
        <f t="shared" si="0"/>
        <v>128.39599999999999</v>
      </c>
      <c r="H7" s="1016">
        <f t="shared" si="0"/>
        <v>138.45499999999998</v>
      </c>
      <c r="I7" s="1016">
        <f t="shared" si="0"/>
        <v>190.61</v>
      </c>
      <c r="J7" s="1016">
        <f t="shared" si="0"/>
        <v>187.274</v>
      </c>
      <c r="K7" s="1016">
        <f t="shared" si="0"/>
        <v>181.70000000000002</v>
      </c>
      <c r="L7" s="1016">
        <f t="shared" si="0"/>
        <v>189.5</v>
      </c>
      <c r="M7" s="1016">
        <f t="shared" si="0"/>
        <v>192.2</v>
      </c>
      <c r="N7" s="1016"/>
      <c r="O7" s="1597">
        <f>M7-201.9</f>
        <v>-9.7000000000000171</v>
      </c>
      <c r="P7" s="583">
        <f t="shared" ref="P7:Q13" si="1">L7/K7-1</f>
        <v>4.292790313703887E-2</v>
      </c>
      <c r="Q7" s="583">
        <f t="shared" si="1"/>
        <v>1.4248021108179465E-2</v>
      </c>
      <c r="R7" s="51">
        <f t="shared" ref="R7:S13" si="2">L7-K7</f>
        <v>7.7999999999999829</v>
      </c>
      <c r="S7" s="51">
        <f t="shared" si="2"/>
        <v>2.6999999999999886</v>
      </c>
    </row>
    <row r="8" spans="1:19">
      <c r="A8" t="s">
        <v>204</v>
      </c>
      <c r="B8" s="1016">
        <v>104.40736065328011</v>
      </c>
      <c r="C8" s="1016">
        <v>108.373357</v>
      </c>
      <c r="D8" s="1016">
        <v>112.595276</v>
      </c>
      <c r="E8" s="1016">
        <v>117</v>
      </c>
      <c r="F8" s="1016">
        <v>119.91800000000001</v>
      </c>
      <c r="G8" s="1016">
        <v>122.455</v>
      </c>
      <c r="H8" s="1016">
        <v>131.44</v>
      </c>
      <c r="I8" s="1016">
        <v>177.90600000000001</v>
      </c>
      <c r="J8" s="1016">
        <v>178.155</v>
      </c>
      <c r="K8" s="554">
        <v>171.8</v>
      </c>
      <c r="L8" s="554">
        <v>178.5</v>
      </c>
      <c r="M8" s="554">
        <v>179.6</v>
      </c>
      <c r="N8" t="s">
        <v>270</v>
      </c>
      <c r="O8" t="s">
        <v>271</v>
      </c>
      <c r="P8" s="583">
        <f t="shared" si="1"/>
        <v>3.8998835855646119E-2</v>
      </c>
      <c r="Q8" s="583">
        <f t="shared" si="1"/>
        <v>6.1624649859943759E-3</v>
      </c>
      <c r="R8" s="51">
        <f t="shared" si="2"/>
        <v>6.6999999999999886</v>
      </c>
      <c r="S8" s="51">
        <f t="shared" si="2"/>
        <v>1.0999999999999943</v>
      </c>
    </row>
    <row r="9" spans="1:19" s="155" customFormat="1">
      <c r="A9" s="155" t="s">
        <v>129</v>
      </c>
      <c r="B9" s="1679">
        <v>93.695999999999998</v>
      </c>
      <c r="C9" s="1679">
        <v>97.097999999999999</v>
      </c>
      <c r="D9" s="1679">
        <v>100.572</v>
      </c>
      <c r="E9" s="1679">
        <v>105.735</v>
      </c>
      <c r="F9" s="1679">
        <v>109.605</v>
      </c>
      <c r="G9" s="1679">
        <v>112.42700000000001</v>
      </c>
      <c r="H9" s="1679">
        <v>121.70699999999999</v>
      </c>
      <c r="I9" s="1679">
        <v>141.02600000000001</v>
      </c>
      <c r="J9" s="1679">
        <v>146.68100000000001</v>
      </c>
      <c r="K9" s="1687">
        <v>155.1</v>
      </c>
      <c r="L9" s="1687">
        <v>163.19999999999999</v>
      </c>
      <c r="M9" s="1687">
        <v>164.9</v>
      </c>
      <c r="N9" s="1022"/>
      <c r="O9" s="1200"/>
      <c r="P9" s="1022">
        <f t="shared" si="1"/>
        <v>5.2224371373307488E-2</v>
      </c>
      <c r="Q9" s="1022">
        <f t="shared" si="1"/>
        <v>1.0416666666666741E-2</v>
      </c>
      <c r="R9" s="1200">
        <f t="shared" si="2"/>
        <v>8.0999999999999943</v>
      </c>
      <c r="S9" s="1200">
        <f t="shared" si="2"/>
        <v>1.7000000000000171</v>
      </c>
    </row>
    <row r="10" spans="1:19">
      <c r="A10" s="155" t="s">
        <v>232</v>
      </c>
      <c r="B10" s="1016">
        <v>0</v>
      </c>
      <c r="C10" s="1016">
        <v>0</v>
      </c>
      <c r="D10" s="1016">
        <v>0</v>
      </c>
      <c r="E10" s="1016">
        <v>0</v>
      </c>
      <c r="F10" s="1016">
        <v>0</v>
      </c>
      <c r="G10" s="1016">
        <v>0</v>
      </c>
      <c r="H10" s="1016">
        <v>2.851</v>
      </c>
      <c r="I10" s="1016">
        <v>2.851</v>
      </c>
      <c r="J10" s="1016">
        <v>2.851</v>
      </c>
      <c r="K10" s="1016">
        <v>2.851</v>
      </c>
      <c r="L10" s="1016">
        <v>2.851</v>
      </c>
      <c r="M10" s="1016">
        <v>2.851</v>
      </c>
      <c r="N10" s="1016" t="s">
        <v>209</v>
      </c>
      <c r="O10" s="1016"/>
      <c r="P10" s="583">
        <f t="shared" si="1"/>
        <v>0</v>
      </c>
      <c r="Q10" s="583">
        <f t="shared" si="1"/>
        <v>0</v>
      </c>
      <c r="R10" s="51">
        <f t="shared" si="2"/>
        <v>0</v>
      </c>
      <c r="S10" s="51">
        <f t="shared" si="2"/>
        <v>0</v>
      </c>
    </row>
    <row r="11" spans="1:19">
      <c r="A11" t="s">
        <v>212</v>
      </c>
      <c r="B11" s="1016">
        <f t="shared" ref="B11:M11" si="3">B9-B10</f>
        <v>93.695999999999998</v>
      </c>
      <c r="C11" s="1016">
        <f t="shared" si="3"/>
        <v>97.097999999999999</v>
      </c>
      <c r="D11" s="1016">
        <f t="shared" si="3"/>
        <v>100.572</v>
      </c>
      <c r="E11" s="1016">
        <f t="shared" si="3"/>
        <v>105.735</v>
      </c>
      <c r="F11" s="1016">
        <f t="shared" si="3"/>
        <v>109.605</v>
      </c>
      <c r="G11" s="1244">
        <f t="shared" si="3"/>
        <v>112.42700000000001</v>
      </c>
      <c r="H11" s="1016">
        <f t="shared" si="3"/>
        <v>118.85599999999999</v>
      </c>
      <c r="I11" s="1016">
        <f t="shared" si="3"/>
        <v>138.17500000000001</v>
      </c>
      <c r="J11" s="1016">
        <f t="shared" si="3"/>
        <v>143.83000000000001</v>
      </c>
      <c r="K11" s="1016">
        <f t="shared" si="3"/>
        <v>152.249</v>
      </c>
      <c r="L11" s="1016">
        <f t="shared" si="3"/>
        <v>160.34899999999999</v>
      </c>
      <c r="M11" s="1016">
        <f t="shared" si="3"/>
        <v>162.04900000000001</v>
      </c>
      <c r="N11" s="1016"/>
      <c r="O11" s="1016"/>
      <c r="P11" s="583">
        <f t="shared" si="1"/>
        <v>5.3202319883874472E-2</v>
      </c>
      <c r="Q11" s="583">
        <f t="shared" si="1"/>
        <v>1.0601874660896016E-2</v>
      </c>
      <c r="R11" s="51">
        <f t="shared" si="2"/>
        <v>8.0999999999999943</v>
      </c>
      <c r="S11" s="51">
        <f t="shared" si="2"/>
        <v>1.7000000000000171</v>
      </c>
    </row>
    <row r="12" spans="1:19">
      <c r="A12" t="s">
        <v>234</v>
      </c>
      <c r="B12" s="1016">
        <f t="shared" ref="B12:M12" si="4">B8-B9</f>
        <v>10.71136065328011</v>
      </c>
      <c r="C12" s="1016">
        <f t="shared" si="4"/>
        <v>11.275357</v>
      </c>
      <c r="D12" s="1016">
        <f t="shared" si="4"/>
        <v>12.023275999999996</v>
      </c>
      <c r="E12" s="1016">
        <f t="shared" si="4"/>
        <v>11.265000000000001</v>
      </c>
      <c r="F12" s="1016">
        <f t="shared" si="4"/>
        <v>10.313000000000002</v>
      </c>
      <c r="G12" s="1016">
        <f t="shared" si="4"/>
        <v>10.027999999999992</v>
      </c>
      <c r="H12" s="1016">
        <f t="shared" si="4"/>
        <v>9.7330000000000041</v>
      </c>
      <c r="I12" s="1016">
        <f t="shared" si="4"/>
        <v>36.879999999999995</v>
      </c>
      <c r="J12" s="1016">
        <f t="shared" si="4"/>
        <v>31.47399999999999</v>
      </c>
      <c r="K12" s="1016">
        <f t="shared" si="4"/>
        <v>16.700000000000017</v>
      </c>
      <c r="L12" s="1016">
        <f t="shared" si="4"/>
        <v>15.300000000000011</v>
      </c>
      <c r="M12" s="1016">
        <f t="shared" si="4"/>
        <v>14.699999999999989</v>
      </c>
      <c r="N12" s="1016"/>
      <c r="O12" s="1016"/>
      <c r="P12" s="583">
        <f t="shared" si="1"/>
        <v>-8.3832335329341534E-2</v>
      </c>
      <c r="Q12" s="583">
        <f t="shared" si="1"/>
        <v>-3.9215686274511219E-2</v>
      </c>
      <c r="R12" s="51">
        <f t="shared" si="2"/>
        <v>-1.4000000000000057</v>
      </c>
      <c r="S12" s="51">
        <f t="shared" si="2"/>
        <v>-0.60000000000002274</v>
      </c>
    </row>
    <row r="13" spans="1:19">
      <c r="A13" t="s">
        <v>214</v>
      </c>
      <c r="B13" s="1016">
        <v>5.3669460000000004</v>
      </c>
      <c r="C13" s="1016">
        <v>4.9712550000000002</v>
      </c>
      <c r="D13" s="1016">
        <v>4.6523300000000001</v>
      </c>
      <c r="E13" s="1016">
        <v>4.556</v>
      </c>
      <c r="F13" s="1016">
        <v>5.2380000000000004</v>
      </c>
      <c r="G13" s="1016">
        <v>5.9409999999999998</v>
      </c>
      <c r="H13" s="1016">
        <v>7.0149999999999997</v>
      </c>
      <c r="I13" s="1016">
        <v>12.704000000000001</v>
      </c>
      <c r="J13" s="1016">
        <v>9.1189999999999998</v>
      </c>
      <c r="K13" s="554">
        <v>9.9</v>
      </c>
      <c r="L13" s="1016">
        <v>11</v>
      </c>
      <c r="M13" s="554">
        <v>12.6</v>
      </c>
      <c r="N13" t="s">
        <v>272</v>
      </c>
      <c r="O13" t="s">
        <v>273</v>
      </c>
      <c r="P13" s="583">
        <f t="shared" si="1"/>
        <v>0.11111111111111116</v>
      </c>
      <c r="Q13" s="583">
        <f t="shared" si="1"/>
        <v>0.1454545454545455</v>
      </c>
      <c r="R13" s="51">
        <f t="shared" si="2"/>
        <v>1.0999999999999996</v>
      </c>
      <c r="S13" s="51">
        <f t="shared" si="2"/>
        <v>1.5999999999999996</v>
      </c>
    </row>
    <row r="14" spans="1:19">
      <c r="A14" t="s">
        <v>216</v>
      </c>
      <c r="B14" s="1262"/>
      <c r="C14" s="583"/>
      <c r="D14" s="162"/>
      <c r="G14" s="1016"/>
      <c r="H14" s="1016"/>
      <c r="I14" s="1016"/>
      <c r="J14" s="1016"/>
      <c r="K14" s="1016"/>
      <c r="L14" s="1016"/>
      <c r="M14" s="1016">
        <v>3.6</v>
      </c>
      <c r="N14" s="590"/>
      <c r="O14" s="1016"/>
    </row>
    <row r="15" spans="1:19">
      <c r="B15" s="1262"/>
      <c r="C15" s="583"/>
      <c r="D15" s="162"/>
      <c r="G15" s="1344"/>
      <c r="H15" s="1016"/>
      <c r="I15" s="1016"/>
      <c r="J15" s="1016"/>
      <c r="K15" s="1016"/>
      <c r="L15" s="1016"/>
      <c r="M15" s="1016">
        <f>M11-L11</f>
        <v>1.7000000000000171</v>
      </c>
      <c r="N15" s="590"/>
      <c r="O15" s="1016"/>
    </row>
    <row r="16" spans="1:19">
      <c r="B16" s="1262"/>
      <c r="C16" s="583"/>
      <c r="D16" s="162"/>
      <c r="G16" s="1016"/>
      <c r="H16" s="1016"/>
      <c r="I16" s="1016"/>
      <c r="J16" s="1016"/>
      <c r="K16" s="1016"/>
      <c r="L16" s="1016"/>
      <c r="M16" s="1016"/>
      <c r="N16" s="590"/>
      <c r="O16" s="1016"/>
    </row>
    <row r="17" spans="1:20">
      <c r="C17" s="583"/>
      <c r="D17" s="583"/>
      <c r="E17" s="583"/>
      <c r="F17" s="583"/>
      <c r="G17" s="583"/>
      <c r="H17" s="583"/>
      <c r="I17" s="583"/>
      <c r="J17" s="583"/>
      <c r="K17" s="583"/>
      <c r="L17" s="583"/>
      <c r="M17" s="1343">
        <f>M14/M9</f>
        <v>2.1831412977562158E-2</v>
      </c>
      <c r="N17" s="590"/>
      <c r="O17" s="1016"/>
    </row>
    <row r="18" spans="1:20">
      <c r="A18" s="627" t="s">
        <v>225</v>
      </c>
      <c r="B18" s="1036">
        <f t="shared" ref="B18:M18" si="5">B9/B7</f>
        <v>0.85353306121018724</v>
      </c>
      <c r="C18" s="1036">
        <f t="shared" si="5"/>
        <v>0.85666180585628549</v>
      </c>
      <c r="D18" s="1036">
        <f t="shared" si="5"/>
        <v>0.85777444359930044</v>
      </c>
      <c r="E18" s="1036">
        <f t="shared" si="5"/>
        <v>0.86984599690677544</v>
      </c>
      <c r="F18" s="1036">
        <f t="shared" si="5"/>
        <v>0.8757470676595609</v>
      </c>
      <c r="G18" s="1036">
        <f t="shared" si="5"/>
        <v>0.87562696657216754</v>
      </c>
      <c r="H18" s="1036">
        <f t="shared" si="5"/>
        <v>0.87903651005741945</v>
      </c>
      <c r="I18" s="1036">
        <f t="shared" si="5"/>
        <v>0.73986674361261218</v>
      </c>
      <c r="J18" s="1036">
        <f t="shared" si="5"/>
        <v>0.78324273524354693</v>
      </c>
      <c r="K18" s="1036">
        <f t="shared" si="5"/>
        <v>0.85360484314804608</v>
      </c>
      <c r="L18" s="1036">
        <f t="shared" si="5"/>
        <v>0.86121372031662258</v>
      </c>
      <c r="M18" s="1036">
        <f t="shared" si="5"/>
        <v>0.85796045785639963</v>
      </c>
      <c r="N18" s="1036"/>
      <c r="O18" s="1016"/>
    </row>
    <row r="19" spans="1:20" ht="15" thickBot="1">
      <c r="A19" s="1016">
        <v>2</v>
      </c>
      <c r="B19" s="1016">
        <v>7</v>
      </c>
      <c r="C19" s="1016">
        <v>8</v>
      </c>
      <c r="D19" s="1016">
        <v>9</v>
      </c>
      <c r="E19" s="1016">
        <v>10</v>
      </c>
      <c r="F19" s="1016">
        <v>11</v>
      </c>
      <c r="G19" s="1016">
        <v>12</v>
      </c>
      <c r="H19" s="1016">
        <v>13</v>
      </c>
      <c r="I19" s="1016">
        <v>14</v>
      </c>
      <c r="J19" s="1016">
        <v>15</v>
      </c>
      <c r="K19" s="1016">
        <v>16</v>
      </c>
      <c r="L19" s="1016">
        <v>17</v>
      </c>
      <c r="M19" s="1016">
        <v>18</v>
      </c>
      <c r="N19" s="1016"/>
      <c r="O19" s="1016"/>
      <c r="P19" s="1016"/>
      <c r="Q19" s="1016"/>
      <c r="R19" s="1016"/>
      <c r="S19" s="1016"/>
      <c r="T19" s="1016"/>
    </row>
    <row r="20" spans="1:20" s="76" customFormat="1" ht="15" customHeight="1" thickBot="1">
      <c r="A20" s="1754" t="s">
        <v>226</v>
      </c>
      <c r="B20" s="1509"/>
      <c r="C20" s="1520"/>
      <c r="D20" s="1520"/>
      <c r="E20" s="1520"/>
      <c r="F20" s="1521"/>
      <c r="G20" s="1522"/>
      <c r="H20" s="1522"/>
      <c r="I20" s="1522"/>
      <c r="J20" s="1522"/>
      <c r="K20" s="1522"/>
      <c r="L20" s="1522"/>
      <c r="M20" s="1522"/>
      <c r="N20" s="1522"/>
      <c r="O20" s="1522"/>
      <c r="P20" s="1522"/>
      <c r="Q20" s="1522"/>
      <c r="R20" s="1523"/>
      <c r="S20" s="1524"/>
    </row>
    <row r="21" spans="1:20" ht="15" thickBot="1">
      <c r="A21" s="1755"/>
      <c r="B21" s="1451">
        <v>70.480500000000006</v>
      </c>
      <c r="C21" s="1451">
        <v>71.814700000000002</v>
      </c>
      <c r="D21" s="1451">
        <v>73.084400000000002</v>
      </c>
      <c r="E21" s="1451">
        <v>74.433499999999995</v>
      </c>
      <c r="F21" s="1538" cm="1">
        <f t="array" aca="1" ref="F21" ca="1">INDIRECT(_xlfn.CONCAT("'MASTER DEFLATOR'!D",F19))</f>
        <v>80.325400000000002</v>
      </c>
      <c r="G21" s="1538">
        <f ca="1">'Autumn 24'!K33</f>
        <v>82.017099999999999</v>
      </c>
      <c r="H21" s="1538">
        <f ca="1">'Autumn 24'!L33</f>
        <v>83.960499999999996</v>
      </c>
      <c r="I21" s="1538">
        <f ca="1">'Autumn 24'!M33</f>
        <v>88.465500000000006</v>
      </c>
      <c r="J21" s="1538">
        <f ca="1">'Autumn 24'!N33</f>
        <v>87.948599999999999</v>
      </c>
      <c r="K21" s="1538">
        <f ca="1">'Autumn 24'!O33</f>
        <v>94.217500000000001</v>
      </c>
      <c r="L21" s="1538">
        <f ca="1">'Autumn 24'!P33</f>
        <v>100</v>
      </c>
      <c r="M21" s="1538">
        <f ca="1">'Autumn 24'!Q33</f>
        <v>102.37466607696864</v>
      </c>
      <c r="N21" s="1538"/>
      <c r="O21" s="1538"/>
      <c r="P21" s="1538"/>
      <c r="Q21" s="1539"/>
      <c r="R21" s="1540"/>
      <c r="S21" s="1579" t="s">
        <v>227</v>
      </c>
    </row>
    <row r="22" spans="1:20">
      <c r="A22" t="s">
        <v>228</v>
      </c>
      <c r="L22" s="98"/>
    </row>
    <row r="23" spans="1:20">
      <c r="L23" s="51"/>
    </row>
    <row r="24" spans="1:20">
      <c r="A24" s="76" t="s">
        <v>229</v>
      </c>
      <c r="B24" s="1018" t="s">
        <v>191</v>
      </c>
      <c r="C24" s="1018" t="s">
        <v>192</v>
      </c>
      <c r="D24" s="1018" t="s">
        <v>193</v>
      </c>
      <c r="E24" s="1018" t="s">
        <v>165</v>
      </c>
      <c r="F24" s="1018" t="s">
        <v>167</v>
      </c>
      <c r="G24" s="1018" t="s">
        <v>168</v>
      </c>
      <c r="H24" s="1018" t="s">
        <v>169</v>
      </c>
      <c r="I24" s="1018" t="s">
        <v>170</v>
      </c>
      <c r="J24" s="1018" t="s">
        <v>171</v>
      </c>
      <c r="K24" s="1018" t="s">
        <v>172</v>
      </c>
      <c r="L24" s="1018" t="s">
        <v>173</v>
      </c>
      <c r="M24" s="1018" t="s">
        <v>174</v>
      </c>
      <c r="N24" s="1018"/>
      <c r="P24" s="1749" t="s">
        <v>194</v>
      </c>
      <c r="Q24" s="1749"/>
      <c r="R24" s="1749" t="s">
        <v>195</v>
      </c>
      <c r="S24" s="1749"/>
    </row>
    <row r="25" spans="1:20">
      <c r="A25" s="76" t="s">
        <v>231</v>
      </c>
      <c r="B25" s="1018" t="s">
        <v>196</v>
      </c>
      <c r="C25" s="1018" t="s">
        <v>196</v>
      </c>
      <c r="D25" s="1018" t="s">
        <v>196</v>
      </c>
      <c r="E25" s="1018" t="s">
        <v>196</v>
      </c>
      <c r="F25" s="1018" t="s">
        <v>196</v>
      </c>
      <c r="G25" s="1019" t="s">
        <v>196</v>
      </c>
      <c r="H25" s="1019" t="s">
        <v>196</v>
      </c>
      <c r="I25" s="1019" t="s">
        <v>196</v>
      </c>
      <c r="J25" s="1019" t="s">
        <v>196</v>
      </c>
      <c r="K25" s="1019" t="s">
        <v>196</v>
      </c>
      <c r="L25" s="1019" t="s">
        <v>152</v>
      </c>
      <c r="M25" s="1019" t="s">
        <v>152</v>
      </c>
      <c r="N25" s="1019"/>
      <c r="P25" s="1038" t="s">
        <v>198</v>
      </c>
      <c r="Q25" s="1038" t="s">
        <v>199</v>
      </c>
      <c r="R25" s="1038" t="s">
        <v>200</v>
      </c>
      <c r="S25" s="1038" t="s">
        <v>201</v>
      </c>
    </row>
    <row r="26" spans="1:20">
      <c r="A26" s="3" t="s">
        <v>202</v>
      </c>
      <c r="B26" s="1016">
        <f t="shared" ref="B26:M26" ca="1" si="6">(B7/B$21)*$M$21</f>
        <v>159.4498902172985</v>
      </c>
      <c r="C26" s="1016">
        <f t="shared" ca="1" si="6"/>
        <v>161.57718134481621</v>
      </c>
      <c r="D26" s="1016">
        <f t="shared" ca="1" si="6"/>
        <v>164.23729978728682</v>
      </c>
      <c r="E26" s="1016">
        <f t="shared" ca="1" si="6"/>
        <v>167.18621198320648</v>
      </c>
      <c r="F26" s="1016">
        <f t="shared" ca="1" si="6"/>
        <v>159.51123439819892</v>
      </c>
      <c r="G26" s="1016">
        <f t="shared" ca="1" si="6"/>
        <v>160.26533034718938</v>
      </c>
      <c r="H26" s="1016">
        <f t="shared" ca="1" si="6"/>
        <v>168.82086685627993</v>
      </c>
      <c r="I26" s="1016">
        <f t="shared" ca="1" si="6"/>
        <v>220.57904042740944</v>
      </c>
      <c r="J26" s="1016">
        <f t="shared" ca="1" si="6"/>
        <v>217.99225018815793</v>
      </c>
      <c r="K26" s="1016">
        <f t="shared" ca="1" si="6"/>
        <v>197.4312290836119</v>
      </c>
      <c r="L26" s="1016">
        <f t="shared" ca="1" si="6"/>
        <v>193.99999221585557</v>
      </c>
      <c r="M26" s="1016">
        <f t="shared" ca="1" si="6"/>
        <v>192.2</v>
      </c>
      <c r="N26" s="590">
        <f>201.9</f>
        <v>201.9</v>
      </c>
      <c r="O26" s="583"/>
      <c r="P26" s="583">
        <f t="shared" ref="P26:Q32" ca="1" si="7">L26/K26-1</f>
        <v>-1.7379402861860349E-2</v>
      </c>
      <c r="Q26" s="583">
        <f t="shared" ca="1" si="7"/>
        <v>-9.2783107632953277E-3</v>
      </c>
      <c r="R26" s="51">
        <f t="shared" ref="R26:S32" ca="1" si="8">L26-K26</f>
        <v>-3.4312368677563256</v>
      </c>
      <c r="S26" s="51">
        <f t="shared" ca="1" si="8"/>
        <v>-1.7999922158555819</v>
      </c>
    </row>
    <row r="27" spans="1:20">
      <c r="A27" t="s">
        <v>204</v>
      </c>
      <c r="B27" s="1016">
        <f t="shared" ref="B27:M27" ca="1" si="9">(B8/B$21)*$M$21</f>
        <v>151.65426866803136</v>
      </c>
      <c r="C27" s="1016">
        <f t="shared" ca="1" si="9"/>
        <v>154.49046273973309</v>
      </c>
      <c r="D27" s="1016">
        <f t="shared" ca="1" si="9"/>
        <v>157.72044078276787</v>
      </c>
      <c r="E27" s="1016">
        <f t="shared" ca="1" si="9"/>
        <v>160.91996118690281</v>
      </c>
      <c r="F27" s="1016">
        <f t="shared" ca="1" si="9"/>
        <v>152.83540706448926</v>
      </c>
      <c r="G27" s="1016">
        <f t="shared" ca="1" si="9"/>
        <v>152.84970737145295</v>
      </c>
      <c r="H27" s="1016">
        <f t="shared" ca="1" si="9"/>
        <v>160.26734129926282</v>
      </c>
      <c r="I27" s="1016">
        <f t="shared" ca="1" si="9"/>
        <v>205.87762848894974</v>
      </c>
      <c r="J27" s="1016">
        <f t="shared" ca="1" si="9"/>
        <v>207.37747542248937</v>
      </c>
      <c r="K27" s="1016">
        <f t="shared" ca="1" si="9"/>
        <v>186.6741065303496</v>
      </c>
      <c r="L27" s="1016">
        <f t="shared" ca="1" si="9"/>
        <v>182.73877894738902</v>
      </c>
      <c r="M27" s="1016">
        <f t="shared" ca="1" si="9"/>
        <v>179.6</v>
      </c>
      <c r="N27" s="1597">
        <f ca="1">N26-M26</f>
        <v>9.7000000000000171</v>
      </c>
      <c r="O27" s="583"/>
      <c r="P27" s="583">
        <f t="shared" ca="1" si="7"/>
        <v>-2.1081271827706694E-2</v>
      </c>
      <c r="Q27" s="583">
        <f t="shared" ca="1" si="7"/>
        <v>-1.7176315642848272E-2</v>
      </c>
      <c r="R27" s="51">
        <f t="shared" ca="1" si="8"/>
        <v>-3.935327582960582</v>
      </c>
      <c r="S27" s="51">
        <f t="shared" ca="1" si="8"/>
        <v>-3.138778947389028</v>
      </c>
    </row>
    <row r="28" spans="1:20" s="481" customFormat="1">
      <c r="A28" s="481" t="s">
        <v>129</v>
      </c>
      <c r="B28" s="1234">
        <f t="shared" ref="B28:M28" ca="1" si="10">(B9/B$21)*$M$21</f>
        <v>136.09575290679908</v>
      </c>
      <c r="C28" s="1234">
        <f t="shared" ca="1" si="10"/>
        <v>138.41699995601877</v>
      </c>
      <c r="D28" s="1234">
        <f t="shared" ca="1" si="10"/>
        <v>140.87855844329144</v>
      </c>
      <c r="E28" s="1234">
        <f t="shared" ca="1" si="10"/>
        <v>145.42625723159975</v>
      </c>
      <c r="F28" s="1234">
        <f t="shared" ca="1" si="10"/>
        <v>139.69149578297959</v>
      </c>
      <c r="G28" s="1234">
        <f t="shared" ca="1" si="10"/>
        <v>140.33264505859574</v>
      </c>
      <c r="H28" s="1234">
        <f t="shared" ca="1" si="10"/>
        <v>148.39970562621261</v>
      </c>
      <c r="I28" s="1234">
        <f t="shared" ca="1" si="10"/>
        <v>163.19909635022216</v>
      </c>
      <c r="J28" s="1234">
        <f t="shared" ca="1" si="10"/>
        <v>170.74084629926841</v>
      </c>
      <c r="K28" s="1234">
        <f t="shared" ca="1" si="10"/>
        <v>168.5282533344425</v>
      </c>
      <c r="L28" s="1234">
        <f t="shared" ca="1" si="10"/>
        <v>167.07545503761281</v>
      </c>
      <c r="M28" s="1234">
        <f t="shared" ca="1" si="10"/>
        <v>164.9</v>
      </c>
      <c r="N28" s="1235"/>
      <c r="O28" s="583"/>
      <c r="P28" s="1236">
        <f t="shared" ca="1" si="7"/>
        <v>-8.6205029013539658E-3</v>
      </c>
      <c r="Q28" s="1236">
        <f t="shared" ca="1" si="7"/>
        <v>-1.3020793731329694E-2</v>
      </c>
      <c r="R28" s="707">
        <f t="shared" ca="1" si="8"/>
        <v>-1.452798296829684</v>
      </c>
      <c r="S28" s="707">
        <f t="shared" ca="1" si="8"/>
        <v>-2.1754550376128066</v>
      </c>
    </row>
    <row r="29" spans="1:20">
      <c r="A29" t="s">
        <v>232</v>
      </c>
      <c r="B29" s="1016">
        <f t="shared" ref="B29:M29" ca="1" si="11">(B10/B$21)*$M$21</f>
        <v>0</v>
      </c>
      <c r="C29" s="1016">
        <f t="shared" ca="1" si="11"/>
        <v>0</v>
      </c>
      <c r="D29" s="1016">
        <f t="shared" ca="1" si="11"/>
        <v>0</v>
      </c>
      <c r="E29" s="1016">
        <f t="shared" ca="1" si="11"/>
        <v>0</v>
      </c>
      <c r="F29" s="1016">
        <f t="shared" ca="1" si="11"/>
        <v>0</v>
      </c>
      <c r="G29" s="1016">
        <f t="shared" ca="1" si="11"/>
        <v>0</v>
      </c>
      <c r="H29" s="1016">
        <f t="shared" ca="1" si="11"/>
        <v>3.4762795955888492</v>
      </c>
      <c r="I29" s="1016">
        <f t="shared" ca="1" si="11"/>
        <v>3.2992542062774484</v>
      </c>
      <c r="J29" s="1016">
        <f t="shared" ca="1" si="11"/>
        <v>3.3186449015156305</v>
      </c>
      <c r="K29" s="1016">
        <f t="shared" ca="1" si="11"/>
        <v>3.0978339797324019</v>
      </c>
      <c r="L29" s="1016">
        <f t="shared" ca="1" si="11"/>
        <v>2.918701729854376</v>
      </c>
      <c r="M29" s="1016">
        <f t="shared" ca="1" si="11"/>
        <v>2.851</v>
      </c>
      <c r="N29" s="590"/>
      <c r="O29" s="583"/>
      <c r="P29" s="583">
        <f t="shared" ca="1" si="7"/>
        <v>-5.7824999999999904E-2</v>
      </c>
      <c r="Q29" s="583">
        <f t="shared" ca="1" si="7"/>
        <v>-2.3195837094924343E-2</v>
      </c>
      <c r="R29" s="51">
        <f t="shared" ca="1" si="8"/>
        <v>-0.1791322498780259</v>
      </c>
      <c r="S29" s="51">
        <f t="shared" ca="1" si="8"/>
        <v>-6.7701729854376058E-2</v>
      </c>
    </row>
    <row r="30" spans="1:20">
      <c r="A30" t="s">
        <v>212</v>
      </c>
      <c r="B30" s="1016">
        <f t="shared" ref="B30:M30" ca="1" si="12">(B11/B$21)*$M$21</f>
        <v>136.09575290679908</v>
      </c>
      <c r="C30" s="1016">
        <f t="shared" ca="1" si="12"/>
        <v>138.41699995601877</v>
      </c>
      <c r="D30" s="1016">
        <f t="shared" ca="1" si="12"/>
        <v>140.87855844329144</v>
      </c>
      <c r="E30" s="1016">
        <f t="shared" ca="1" si="12"/>
        <v>145.42625723159975</v>
      </c>
      <c r="F30" s="1016">
        <f t="shared" ca="1" si="12"/>
        <v>139.69149578297959</v>
      </c>
      <c r="G30" s="1016">
        <f t="shared" ca="1" si="12"/>
        <v>140.33264505859574</v>
      </c>
      <c r="H30" s="1016">
        <f t="shared" ca="1" si="12"/>
        <v>144.92342603062374</v>
      </c>
      <c r="I30" s="1016">
        <f t="shared" ca="1" si="12"/>
        <v>159.89984214394471</v>
      </c>
      <c r="J30" s="1016">
        <f t="shared" ca="1" si="12"/>
        <v>167.42220139775279</v>
      </c>
      <c r="K30" s="1016">
        <f t="shared" ca="1" si="12"/>
        <v>165.4304193547101</v>
      </c>
      <c r="L30" s="1016">
        <f t="shared" ca="1" si="12"/>
        <v>164.15675330775844</v>
      </c>
      <c r="M30" s="1016">
        <f t="shared" ca="1" si="12"/>
        <v>162.04900000000001</v>
      </c>
      <c r="N30" s="1597">
        <f ca="1">L30-176.6</f>
        <v>-12.443246692241559</v>
      </c>
      <c r="O30" s="583"/>
      <c r="P30" s="583">
        <f t="shared" ca="1" si="7"/>
        <v>-7.6991042634106943E-3</v>
      </c>
      <c r="Q30" s="583">
        <f t="shared" ca="1" si="7"/>
        <v>-1.2839881791563257E-2</v>
      </c>
      <c r="R30" s="51">
        <f t="shared" ca="1" si="8"/>
        <v>-1.2736660469516607</v>
      </c>
      <c r="S30" s="51">
        <f t="shared" ca="1" si="8"/>
        <v>-2.1077533077584292</v>
      </c>
    </row>
    <row r="31" spans="1:20">
      <c r="A31" t="s">
        <v>234</v>
      </c>
      <c r="B31" s="1016">
        <f t="shared" ref="B31:M31" ca="1" si="13">(B12/B$21)*$M$21</f>
        <v>15.558515761232281</v>
      </c>
      <c r="C31" s="1016">
        <f t="shared" ca="1" si="13"/>
        <v>16.073462783714348</v>
      </c>
      <c r="D31" s="1016">
        <f t="shared" ca="1" si="13"/>
        <v>16.841882339476424</v>
      </c>
      <c r="E31" s="1016">
        <f t="shared" ca="1" si="13"/>
        <v>15.493703955303079</v>
      </c>
      <c r="F31" s="1016">
        <f t="shared" ca="1" si="13"/>
        <v>13.143911281509681</v>
      </c>
      <c r="G31" s="1016">
        <f t="shared" ca="1" si="13"/>
        <v>12.517062312857204</v>
      </c>
      <c r="H31" s="1016">
        <f t="shared" ca="1" si="13"/>
        <v>11.867635673050259</v>
      </c>
      <c r="I31" s="1016">
        <f t="shared" ca="1" si="13"/>
        <v>42.678532138727554</v>
      </c>
      <c r="J31" s="1016">
        <f t="shared" ca="1" si="13"/>
        <v>36.636629123220949</v>
      </c>
      <c r="K31" s="1016">
        <f t="shared" ca="1" si="13"/>
        <v>18.145853195907108</v>
      </c>
      <c r="L31" s="1016">
        <f t="shared" ca="1" si="13"/>
        <v>15.663323909776212</v>
      </c>
      <c r="M31" s="1016">
        <f t="shared" ca="1" si="13"/>
        <v>14.699999999999989</v>
      </c>
      <c r="N31" s="590"/>
      <c r="O31" s="583"/>
      <c r="P31" s="583">
        <f t="shared" ca="1" si="7"/>
        <v>-0.13680973053892242</v>
      </c>
      <c r="Q31" s="583">
        <f t="shared" ca="1" si="7"/>
        <v>-6.1501882699046218E-2</v>
      </c>
      <c r="R31" s="51">
        <f t="shared" ca="1" si="8"/>
        <v>-2.4825292861308963</v>
      </c>
      <c r="S31" s="51">
        <f t="shared" ca="1" si="8"/>
        <v>-0.96332390977622318</v>
      </c>
    </row>
    <row r="32" spans="1:20">
      <c r="A32" t="s">
        <v>214</v>
      </c>
      <c r="B32" s="1016">
        <f t="shared" ref="B32:M32" ca="1" si="14">(B13/B$21)*$M$21</f>
        <v>7.7956215492671381</v>
      </c>
      <c r="C32" s="1016">
        <f t="shared" ca="1" si="14"/>
        <v>7.0867186050830924</v>
      </c>
      <c r="D32" s="1016">
        <f t="shared" ca="1" si="14"/>
        <v>6.516859004518933</v>
      </c>
      <c r="E32" s="1016">
        <f t="shared" ca="1" si="14"/>
        <v>6.2662507963036695</v>
      </c>
      <c r="F32" s="1016">
        <f t="shared" ca="1" si="14"/>
        <v>6.6758273337096581</v>
      </c>
      <c r="G32" s="1016">
        <f t="shared" ca="1" si="14"/>
        <v>7.4156229757364089</v>
      </c>
      <c r="H32" s="1016">
        <f t="shared" ca="1" si="14"/>
        <v>8.5535255570171085</v>
      </c>
      <c r="I32" s="1016">
        <f t="shared" ca="1" si="14"/>
        <v>14.701411938459733</v>
      </c>
      <c r="J32" s="1016">
        <f t="shared" ca="1" si="14"/>
        <v>10.61477476566855</v>
      </c>
      <c r="K32" s="1016">
        <f t="shared" ca="1" si="14"/>
        <v>10.757122553262287</v>
      </c>
      <c r="L32" s="1016">
        <f t="shared" ca="1" si="14"/>
        <v>11.26121326846655</v>
      </c>
      <c r="M32" s="1016">
        <f t="shared" ca="1" si="14"/>
        <v>12.6</v>
      </c>
      <c r="N32" s="590"/>
      <c r="O32" s="583"/>
      <c r="P32" s="583">
        <f t="shared" ca="1" si="7"/>
        <v>4.6861111111111242E-2</v>
      </c>
      <c r="Q32" s="583">
        <f t="shared" ca="1" si="7"/>
        <v>0.11888476841854123</v>
      </c>
      <c r="R32" s="51">
        <f t="shared" ca="1" si="8"/>
        <v>0.50409071520426352</v>
      </c>
      <c r="S32" s="51">
        <f t="shared" ca="1" si="8"/>
        <v>1.3387867315334496</v>
      </c>
    </row>
    <row r="33" spans="1:21">
      <c r="G33" s="1354"/>
      <c r="H33" s="1354"/>
      <c r="I33" s="1356">
        <f ca="1">I26/H26-1</f>
        <v>0.3065863511718141</v>
      </c>
      <c r="J33" s="1356">
        <f ca="1">J26/I26-1</f>
        <v>-1.1727271250428717E-2</v>
      </c>
      <c r="K33" s="1356">
        <f ca="1">K26/J26-1</f>
        <v>-9.4319963607875867E-2</v>
      </c>
      <c r="L33" s="1356">
        <f ca="1">L26/K26-1</f>
        <v>-1.7379402861860349E-2</v>
      </c>
      <c r="M33" s="1356">
        <f ca="1">M26/L26-1</f>
        <v>-9.2783107632953277E-3</v>
      </c>
      <c r="O33" s="51"/>
      <c r="P33" s="583"/>
      <c r="Q33" s="583"/>
      <c r="R33" s="51"/>
      <c r="S33" s="51"/>
    </row>
    <row r="34" spans="1:21" ht="20.9" customHeight="1">
      <c r="B34" s="1750" t="s">
        <v>235</v>
      </c>
      <c r="C34" s="1750"/>
      <c r="D34" s="1750"/>
      <c r="E34" s="1750"/>
      <c r="F34" s="1750"/>
      <c r="G34" s="1750"/>
      <c r="H34" s="1750"/>
      <c r="I34" s="1356">
        <f ca="1">I30/H30-1</f>
        <v>0.10334020195020988</v>
      </c>
      <c r="J34" s="1356">
        <f ca="1">J30/I30-1</f>
        <v>4.7044194371601122E-2</v>
      </c>
      <c r="K34" s="1356">
        <f ca="1">K30/J30-1</f>
        <v>-1.1896761758081964E-2</v>
      </c>
      <c r="L34" s="1356">
        <f ca="1">L30/K30-1</f>
        <v>-7.6991042634106943E-3</v>
      </c>
      <c r="M34" s="1356">
        <f ca="1">M30/L30-1</f>
        <v>-1.2839881791563257E-2</v>
      </c>
      <c r="N34" s="1016"/>
      <c r="O34" s="51"/>
      <c r="P34" s="78"/>
      <c r="Q34" s="51"/>
    </row>
    <row r="35" spans="1:21">
      <c r="A35" s="76" t="s">
        <v>231</v>
      </c>
      <c r="B35" s="1019" t="s">
        <v>236</v>
      </c>
      <c r="C35" s="1019" t="s">
        <v>237</v>
      </c>
      <c r="D35" s="1019" t="s">
        <v>238</v>
      </c>
      <c r="E35" s="1019" t="s">
        <v>239</v>
      </c>
      <c r="F35" s="1019" t="s">
        <v>240</v>
      </c>
      <c r="G35" s="1019" t="s">
        <v>241</v>
      </c>
      <c r="H35" s="1019" t="s">
        <v>242</v>
      </c>
      <c r="L35" s="51"/>
      <c r="M35" s="900"/>
      <c r="O35" s="51"/>
      <c r="P35" s="76" t="str">
        <f t="shared" ref="P35:Q37" si="15">A35</f>
        <v>Health and Social Care</v>
      </c>
      <c r="Q35" t="str">
        <f t="shared" si="15"/>
        <v>2013/14-2018/19</v>
      </c>
      <c r="R35" s="304" t="str">
        <f>E35</f>
        <v>2018/19-2024/25</v>
      </c>
    </row>
    <row r="36" spans="1:21">
      <c r="A36" s="3" t="s">
        <v>202</v>
      </c>
      <c r="B36" s="1355">
        <f ca="1">(G26/B26)^(1/COUNTA(C26:G26))-1</f>
        <v>1.0207308857506092E-3</v>
      </c>
      <c r="C36" s="583">
        <f ca="1">(K26/G26)^(1/COUNTA(H26:K26))-1</f>
        <v>5.3523109583139439E-2</v>
      </c>
      <c r="D36" s="583">
        <f ca="1">(L26/G26)^(1/COUNTA(H26:L26))-1</f>
        <v>3.8944685514607169E-2</v>
      </c>
      <c r="E36" s="583">
        <f ca="1">(M26/G26)^(1/COUNTA(H26:M26))-1</f>
        <v>3.0747523538268373E-2</v>
      </c>
      <c r="F36" s="1022">
        <f ca="1">(K26/H26)^(1/COUNTA(I26:K26))-1</f>
        <v>5.3569624746721223E-2</v>
      </c>
      <c r="G36" s="583">
        <f ca="1">(L26/H26)^(1/COUNTA(I26:L26))-1</f>
        <v>3.5365993792253025E-2</v>
      </c>
      <c r="H36" s="1022">
        <f ca="1">(M26/H26)^(1/COUNTA(I26:M26))-1</f>
        <v>2.6279021585327911E-2</v>
      </c>
      <c r="N36" s="78"/>
      <c r="O36" s="98"/>
      <c r="P36" t="str">
        <f t="shared" si="15"/>
        <v>DHSC total budget</v>
      </c>
      <c r="Q36" s="172">
        <f t="shared" ca="1" si="15"/>
        <v>1.0207308857506092E-3</v>
      </c>
      <c r="R36" s="172">
        <f ca="1">E36</f>
        <v>3.0747523538268373E-2</v>
      </c>
      <c r="U36" s="51"/>
    </row>
    <row r="37" spans="1:21">
      <c r="A37" t="s">
        <v>204</v>
      </c>
      <c r="B37" s="1355">
        <f ca="1">(G27/B27)^(1/COUNTA(C27:G27))-1</f>
        <v>1.5715840373635714E-3</v>
      </c>
      <c r="C37" s="583">
        <f ca="1">(K27/G27)^(1/COUNTA(H27:K27))-1</f>
        <v>5.1247237215124031E-2</v>
      </c>
      <c r="D37" s="583">
        <f ca="1">(L27/G27)^(1/COUNTA(H27:L27))-1</f>
        <v>3.6366154475905299E-2</v>
      </c>
      <c r="E37" s="583">
        <f ca="1">(M27/G27)^(1/COUNTA(H27:M27))-1</f>
        <v>2.7244016170890228E-2</v>
      </c>
      <c r="F37" s="583">
        <f ca="1">(K27/H27)^(1/COUNTA(I27:K27))-1</f>
        <v>5.2154902185163499E-2</v>
      </c>
      <c r="G37" s="583">
        <f ca="1">(L27/H27)^(1/COUNTA(I27:L27))-1</f>
        <v>3.3347567691581093E-2</v>
      </c>
      <c r="H37" s="583">
        <f ca="1">(M27/H27)^(1/COUNTA(I27:M27))-1</f>
        <v>2.3039164675777046E-2</v>
      </c>
      <c r="M37" s="162"/>
      <c r="P37" t="str">
        <f t="shared" si="15"/>
        <v>Resource DEL excluding depreciation</v>
      </c>
      <c r="Q37" s="172">
        <f t="shared" ca="1" si="15"/>
        <v>1.5715840373635714E-3</v>
      </c>
      <c r="R37" s="172">
        <f ca="1">E37</f>
        <v>2.7244016170890228E-2</v>
      </c>
      <c r="U37" s="51"/>
    </row>
    <row r="38" spans="1:21">
      <c r="A38" t="s">
        <v>129</v>
      </c>
      <c r="B38" s="583">
        <f ca="1">(G28/B28)^(1/COUNTA(C28:G28))-1</f>
        <v>6.1502228202081621E-3</v>
      </c>
      <c r="C38" s="583" t="s">
        <v>243</v>
      </c>
      <c r="D38" s="583" t="s">
        <v>243</v>
      </c>
      <c r="E38" s="583" t="s">
        <v>243</v>
      </c>
      <c r="F38" s="583">
        <f ca="1">(K28/H28)^(1/COUNTA(I28:K28))-1</f>
        <v>4.3309655701309069E-2</v>
      </c>
      <c r="G38" s="583">
        <f ca="1">(L28/H28)^(1/COUNTA(I28:L28))-1</f>
        <v>3.0077505497612345E-2</v>
      </c>
      <c r="H38" s="1022">
        <f ca="1">(M28/H28)^(1/COUNTA(I28:M28))-1</f>
        <v>2.1309856506731339E-2</v>
      </c>
      <c r="M38" s="1263"/>
      <c r="P38" t="str">
        <f t="shared" ref="P38:Q40" si="16">A40</f>
        <v>NHS England (excl. pensions)</v>
      </c>
      <c r="Q38" s="172">
        <f t="shared" ca="1" si="16"/>
        <v>6.1502228202081621E-3</v>
      </c>
      <c r="R38" s="172">
        <f ca="1">E40</f>
        <v>2.4270364602623884E-2</v>
      </c>
      <c r="U38" s="51"/>
    </row>
    <row r="39" spans="1:21">
      <c r="A39" t="s">
        <v>232</v>
      </c>
      <c r="B39" s="583" t="s">
        <v>243</v>
      </c>
      <c r="C39" s="583" t="s">
        <v>243</v>
      </c>
      <c r="D39" s="583" t="s">
        <v>243</v>
      </c>
      <c r="E39" s="583" t="s">
        <v>243</v>
      </c>
      <c r="F39" s="583" t="s">
        <v>243</v>
      </c>
      <c r="G39" s="583" t="s">
        <v>243</v>
      </c>
      <c r="H39" s="583" t="s">
        <v>243</v>
      </c>
      <c r="P39" t="str">
        <f t="shared" si="16"/>
        <v>Of which: Other (non-NHS England)</v>
      </c>
      <c r="Q39" s="172">
        <f t="shared" ca="1" si="16"/>
        <v>-4.257040006516033E-2</v>
      </c>
      <c r="R39" s="172">
        <f ca="1">E41</f>
        <v>2.7154610998787687E-2</v>
      </c>
      <c r="U39" s="51"/>
    </row>
    <row r="40" spans="1:21">
      <c r="A40" t="s">
        <v>212</v>
      </c>
      <c r="B40" s="583">
        <f ca="1">(G30/B30)^(1/COUNTA(C30:G30))-1</f>
        <v>6.1502228202081621E-3</v>
      </c>
      <c r="C40" s="583">
        <f ca="1">(K30/G30)^(1/COUNTA(H30:K30))-1</f>
        <v>4.1991472774968397E-2</v>
      </c>
      <c r="D40" s="1022">
        <f ca="1">(L30/G30)^(1/COUNTA(H30:L30))-1</f>
        <v>3.1858173410427959E-2</v>
      </c>
      <c r="E40" s="583">
        <f ca="1">(M30/G30)^(1/COUNTA(H30:M30))-1</f>
        <v>2.4270364602623884E-2</v>
      </c>
      <c r="F40" s="583">
        <f ca="1">(K30/H30)^(1/COUNTA(I30:K30))-1</f>
        <v>4.5102595024905545E-2</v>
      </c>
      <c r="G40" s="583">
        <f ca="1">(L30/H30)^(1/COUNTA(I30:L30))-1</f>
        <v>3.1644436479666416E-2</v>
      </c>
      <c r="H40" s="583">
        <f ca="1">(M30/H30)^(1/COUNTA(I30:M30))-1</f>
        <v>2.2590026370431948E-2</v>
      </c>
      <c r="L40" s="172"/>
      <c r="P40" t="str">
        <f t="shared" si="16"/>
        <v>Capital DEL</v>
      </c>
      <c r="Q40" s="172">
        <f t="shared" ca="1" si="16"/>
        <v>-9.9448691886016016E-3</v>
      </c>
      <c r="R40" s="172">
        <f ca="1">E42</f>
        <v>9.2371809631494495E-2</v>
      </c>
      <c r="U40" s="51"/>
    </row>
    <row r="41" spans="1:21">
      <c r="A41" t="s">
        <v>234</v>
      </c>
      <c r="B41" s="583">
        <f ca="1">(G31/B31)^(1/COUNTA(C31:G31))-1</f>
        <v>-4.257040006516033E-2</v>
      </c>
      <c r="C41" s="583">
        <f ca="1">(K31/G31)^(1/COUNTA(H31:K31))-1</f>
        <v>9.7283237197671291E-2</v>
      </c>
      <c r="D41" s="583">
        <f ca="1">(L31/G31)^(1/COUNTA(H31:L31))-1</f>
        <v>4.5866621749615533E-2</v>
      </c>
      <c r="E41" s="583">
        <f ca="1">(M31/G31)^(1/COUNTA(H31:M31))-1</f>
        <v>2.7154610998787687E-2</v>
      </c>
      <c r="F41" s="583">
        <f ca="1">(K31/H31)^(1/COUNTA(I31:K31))-1</f>
        <v>0.15204929514753207</v>
      </c>
      <c r="G41" s="583">
        <f ca="1">(L31/H31)^(1/COUNTA(I31:L31))-1</f>
        <v>7.1839927116525093E-2</v>
      </c>
      <c r="H41" s="583">
        <f ca="1">(M31/H31)^(1/COUNTA(I31:M31))-1</f>
        <v>4.3735910341146544E-2</v>
      </c>
      <c r="U41" s="51"/>
    </row>
    <row r="42" spans="1:21">
      <c r="A42" t="s">
        <v>214</v>
      </c>
      <c r="B42" s="583">
        <f ca="1">(G32/B32)^(1/COUNTA(C32:G32))-1</f>
        <v>-9.9448691886016016E-3</v>
      </c>
      <c r="C42" s="583">
        <f ca="1">(K32/G32)^(1/COUNTA(H32:K32))-1</f>
        <v>9.745600395392362E-2</v>
      </c>
      <c r="D42" s="583">
        <f ca="1">(L32/G32)^(1/COUNTA(H32:L32))-1</f>
        <v>8.7145089148180865E-2</v>
      </c>
      <c r="E42" s="583">
        <f ca="1">(M32/G32)^(1/COUNTA(H32:M32))-1</f>
        <v>9.2371809631494495E-2</v>
      </c>
      <c r="F42" s="583">
        <f ca="1">(K32/H32)^(1/COUNTA(I32:K32))-1</f>
        <v>7.9403080200082687E-2</v>
      </c>
      <c r="G42" s="583">
        <f ca="1">(L32/H32)^(1/COUNTA(I32:L32))-1</f>
        <v>7.1173959934056619E-2</v>
      </c>
      <c r="H42" s="583">
        <f ca="1">(M32/H32)^(1/COUNTA(I32:M32))-1</f>
        <v>8.0550522190069307E-2</v>
      </c>
      <c r="U42" s="51"/>
    </row>
    <row r="43" spans="1:21">
      <c r="L43" s="900"/>
      <c r="M43" s="900"/>
      <c r="P43" s="51"/>
      <c r="Q43" s="51"/>
      <c r="R43" s="51"/>
      <c r="U43" s="51"/>
    </row>
    <row r="44" spans="1:21">
      <c r="A44" s="1040" t="s">
        <v>244</v>
      </c>
      <c r="B44" s="1040" t="s">
        <v>245</v>
      </c>
      <c r="C44" s="1040" t="s">
        <v>192</v>
      </c>
      <c r="D44" s="1040" t="s">
        <v>193</v>
      </c>
      <c r="E44" s="1040" t="s">
        <v>165</v>
      </c>
      <c r="F44" s="1040" t="s">
        <v>167</v>
      </c>
      <c r="G44" s="1040" t="s">
        <v>168</v>
      </c>
      <c r="H44" s="1040" t="s">
        <v>169</v>
      </c>
      <c r="I44" s="1040" t="s">
        <v>170</v>
      </c>
      <c r="J44" s="1040" t="s">
        <v>171</v>
      </c>
      <c r="K44" s="1040" t="s">
        <v>172</v>
      </c>
      <c r="L44" s="1040" t="s">
        <v>173</v>
      </c>
      <c r="M44" s="1040" t="s">
        <v>174</v>
      </c>
      <c r="N44" s="1040"/>
      <c r="P44" s="51"/>
      <c r="Q44" s="51"/>
      <c r="R44" s="51"/>
      <c r="U44" s="51"/>
    </row>
    <row r="45" spans="1:21">
      <c r="A45" t="s">
        <v>246</v>
      </c>
      <c r="G45">
        <v>112.4</v>
      </c>
      <c r="H45">
        <v>121.7</v>
      </c>
      <c r="I45">
        <v>141</v>
      </c>
      <c r="J45">
        <v>146.69999999999999</v>
      </c>
      <c r="O45" s="98"/>
      <c r="P45" s="51"/>
      <c r="Q45" s="51"/>
      <c r="R45" s="51"/>
    </row>
    <row r="46" spans="1:21">
      <c r="A46" t="s">
        <v>269</v>
      </c>
      <c r="G46">
        <v>114.3</v>
      </c>
      <c r="H46">
        <v>123.8</v>
      </c>
      <c r="I46">
        <v>143.4</v>
      </c>
      <c r="J46">
        <v>149.4</v>
      </c>
    </row>
    <row r="47" spans="1:21">
      <c r="A47" t="s">
        <v>247</v>
      </c>
      <c r="G47" s="96">
        <f>G46-G45</f>
        <v>1.8999999999999915</v>
      </c>
      <c r="H47" s="96">
        <f>H46-H45</f>
        <v>2.0999999999999943</v>
      </c>
      <c r="I47" s="96">
        <f>I46-I45</f>
        <v>2.4000000000000057</v>
      </c>
      <c r="J47" s="96">
        <f>J46-J45</f>
        <v>2.7000000000000171</v>
      </c>
      <c r="K47" s="96">
        <v>3.3</v>
      </c>
      <c r="L47" s="96">
        <v>3.3</v>
      </c>
      <c r="M47" s="96">
        <v>3.4</v>
      </c>
      <c r="N47" s="98"/>
      <c r="P47" s="51"/>
      <c r="Q47" s="51"/>
      <c r="R47" s="51"/>
      <c r="U47" s="51"/>
    </row>
    <row r="48" spans="1:21">
      <c r="A48" t="s">
        <v>248</v>
      </c>
      <c r="B48" s="1039">
        <f>C48/(1+$N$47)</f>
        <v>1.8999999999999915</v>
      </c>
      <c r="C48" s="1039">
        <f>D48/(1+$N$47)</f>
        <v>1.8999999999999915</v>
      </c>
      <c r="D48" s="1039">
        <f>E48/(1+$N$47)</f>
        <v>1.8999999999999915</v>
      </c>
      <c r="E48" s="1039">
        <f>F48/(1+$N$47)</f>
        <v>1.8999999999999915</v>
      </c>
      <c r="F48" s="1039">
        <f>G47/(1+$N$47)</f>
        <v>1.8999999999999915</v>
      </c>
      <c r="G48" s="96">
        <f t="shared" ref="G48:M48" si="17">G47</f>
        <v>1.8999999999999915</v>
      </c>
      <c r="H48" s="96">
        <f t="shared" si="17"/>
        <v>2.0999999999999943</v>
      </c>
      <c r="I48" s="96">
        <f t="shared" si="17"/>
        <v>2.4000000000000057</v>
      </c>
      <c r="J48" s="96">
        <f t="shared" si="17"/>
        <v>2.7000000000000171</v>
      </c>
      <c r="K48" s="96">
        <f t="shared" si="17"/>
        <v>3.3</v>
      </c>
      <c r="L48" s="96">
        <f t="shared" si="17"/>
        <v>3.3</v>
      </c>
      <c r="M48" s="96">
        <f t="shared" si="17"/>
        <v>3.4</v>
      </c>
      <c r="N48" s="98"/>
      <c r="P48" s="51"/>
      <c r="Q48" s="51"/>
      <c r="R48" s="51"/>
      <c r="U48" s="51"/>
    </row>
    <row r="49" spans="1:21">
      <c r="G49" s="96"/>
      <c r="H49" s="96"/>
      <c r="I49" s="96"/>
      <c r="J49" s="96"/>
      <c r="K49" s="96"/>
      <c r="L49" s="96"/>
      <c r="M49" s="96"/>
      <c r="N49" s="98"/>
      <c r="P49" s="51"/>
      <c r="Q49" s="51"/>
      <c r="R49" s="51"/>
      <c r="U49" s="51"/>
    </row>
    <row r="50" spans="1:21">
      <c r="A50" t="s">
        <v>212</v>
      </c>
      <c r="B50" s="51">
        <f t="shared" ref="B50:M50" si="18">B11</f>
        <v>93.695999999999998</v>
      </c>
      <c r="C50" s="51">
        <f t="shared" si="18"/>
        <v>97.097999999999999</v>
      </c>
      <c r="D50" s="51">
        <f t="shared" si="18"/>
        <v>100.572</v>
      </c>
      <c r="E50" s="51">
        <f t="shared" si="18"/>
        <v>105.735</v>
      </c>
      <c r="F50" s="51">
        <f t="shared" si="18"/>
        <v>109.605</v>
      </c>
      <c r="G50" s="707">
        <f t="shared" si="18"/>
        <v>112.42700000000001</v>
      </c>
      <c r="H50" s="51">
        <f t="shared" si="18"/>
        <v>118.85599999999999</v>
      </c>
      <c r="I50" s="51">
        <f t="shared" si="18"/>
        <v>138.17500000000001</v>
      </c>
      <c r="J50" s="51">
        <f t="shared" si="18"/>
        <v>143.83000000000001</v>
      </c>
      <c r="K50" s="51">
        <f t="shared" si="18"/>
        <v>152.249</v>
      </c>
      <c r="L50" s="51">
        <f t="shared" si="18"/>
        <v>160.34899999999999</v>
      </c>
      <c r="M50" s="51">
        <f t="shared" si="18"/>
        <v>162.04900000000001</v>
      </c>
      <c r="N50" s="51"/>
      <c r="O50" s="98">
        <f>(H50/B50)^(1/COUNTA(C50:H50))-1</f>
        <v>4.0439128425329152E-2</v>
      </c>
      <c r="P50" s="51"/>
      <c r="Q50" s="51"/>
      <c r="R50" s="51"/>
      <c r="U50" s="51"/>
    </row>
    <row r="51" spans="1:21">
      <c r="A51" t="s">
        <v>249</v>
      </c>
      <c r="B51" s="1035">
        <f>B50-B48</f>
        <v>91.796000000000006</v>
      </c>
      <c r="C51" s="1035">
        <f>C50-C48</f>
        <v>95.198000000000008</v>
      </c>
      <c r="D51" s="1035">
        <f>D50-D48</f>
        <v>98.672000000000011</v>
      </c>
      <c r="E51" s="1035">
        <f>E50-E48</f>
        <v>103.83500000000001</v>
      </c>
      <c r="F51" s="1035">
        <f>F50-F48</f>
        <v>107.70500000000001</v>
      </c>
      <c r="G51" s="96">
        <f t="shared" ref="G51:M51" si="19">G50</f>
        <v>112.42700000000001</v>
      </c>
      <c r="H51" s="96">
        <f t="shared" si="19"/>
        <v>118.85599999999999</v>
      </c>
      <c r="I51" s="96">
        <f t="shared" si="19"/>
        <v>138.17500000000001</v>
      </c>
      <c r="J51" s="96">
        <f t="shared" si="19"/>
        <v>143.83000000000001</v>
      </c>
      <c r="K51" s="96">
        <f t="shared" si="19"/>
        <v>152.249</v>
      </c>
      <c r="L51" s="96">
        <f t="shared" si="19"/>
        <v>160.34899999999999</v>
      </c>
      <c r="M51" s="96">
        <f t="shared" si="19"/>
        <v>162.04900000000001</v>
      </c>
      <c r="O51" s="98">
        <f>(H51/B51)^(1/COUNTA(C51:H51))-1</f>
        <v>4.3997740765565396E-2</v>
      </c>
      <c r="P51" s="51"/>
      <c r="Q51" s="51"/>
      <c r="R51" s="51"/>
      <c r="U51" s="78"/>
    </row>
    <row r="52" spans="1:21">
      <c r="A52" t="s">
        <v>250</v>
      </c>
      <c r="B52" s="96">
        <f>B50</f>
        <v>93.695999999999998</v>
      </c>
      <c r="C52" s="96">
        <f>C50</f>
        <v>97.097999999999999</v>
      </c>
      <c r="D52" s="96">
        <f>D50</f>
        <v>100.572</v>
      </c>
      <c r="E52" s="96">
        <f>E50</f>
        <v>105.735</v>
      </c>
      <c r="F52" s="96">
        <f>F50</f>
        <v>109.605</v>
      </c>
      <c r="G52" s="1233">
        <f t="shared" ref="G52:M52" si="20">G50+G48</f>
        <v>114.327</v>
      </c>
      <c r="H52" s="1035">
        <f t="shared" si="20"/>
        <v>120.95599999999999</v>
      </c>
      <c r="I52" s="1035">
        <f t="shared" si="20"/>
        <v>140.57500000000002</v>
      </c>
      <c r="J52" s="1035">
        <f t="shared" si="20"/>
        <v>146.53000000000003</v>
      </c>
      <c r="K52" s="1035">
        <f t="shared" si="20"/>
        <v>155.54900000000001</v>
      </c>
      <c r="L52" s="1035">
        <f t="shared" si="20"/>
        <v>163.649</v>
      </c>
      <c r="M52" s="1035">
        <f t="shared" si="20"/>
        <v>165.44900000000001</v>
      </c>
      <c r="N52" s="1035" t="s">
        <v>268</v>
      </c>
      <c r="O52" s="98">
        <f>(H52/B52)^(1/COUNTA(C52:H52))-1</f>
        <v>4.3480636122668948E-2</v>
      </c>
      <c r="P52" s="51"/>
      <c r="Q52" s="51"/>
      <c r="R52" s="51"/>
      <c r="U52" s="78"/>
    </row>
    <row r="54" spans="1:21">
      <c r="B54" s="1017" t="s">
        <v>245</v>
      </c>
      <c r="C54" s="1017" t="s">
        <v>192</v>
      </c>
      <c r="D54" s="1017" t="s">
        <v>193</v>
      </c>
      <c r="E54" s="1017" t="s">
        <v>165</v>
      </c>
      <c r="F54" s="1017" t="s">
        <v>167</v>
      </c>
      <c r="G54" s="1017" t="s">
        <v>168</v>
      </c>
      <c r="H54" s="1017" t="s">
        <v>169</v>
      </c>
      <c r="I54" s="1017" t="s">
        <v>170</v>
      </c>
      <c r="J54" s="1017" t="s">
        <v>171</v>
      </c>
      <c r="K54" s="1017" t="s">
        <v>172</v>
      </c>
      <c r="L54" s="1017" t="s">
        <v>173</v>
      </c>
      <c r="M54" s="1017" t="s">
        <v>174</v>
      </c>
      <c r="N54" s="1017"/>
    </row>
    <row r="55" spans="1:21">
      <c r="A55" s="76" t="s">
        <v>226</v>
      </c>
      <c r="B55" s="1016">
        <f t="shared" ref="B55:M55" si="21">B21</f>
        <v>70.480500000000006</v>
      </c>
      <c r="C55" s="1016">
        <f t="shared" si="21"/>
        <v>71.814700000000002</v>
      </c>
      <c r="D55" s="1016">
        <f t="shared" si="21"/>
        <v>73.084400000000002</v>
      </c>
      <c r="E55" s="1016">
        <f t="shared" si="21"/>
        <v>74.433499999999995</v>
      </c>
      <c r="F55" s="1016">
        <f t="shared" ca="1" si="21"/>
        <v>80.325400000000002</v>
      </c>
      <c r="G55" s="1016">
        <f t="shared" ca="1" si="21"/>
        <v>82.017099999999999</v>
      </c>
      <c r="H55" s="1016">
        <f t="shared" ca="1" si="21"/>
        <v>83.960499999999996</v>
      </c>
      <c r="I55" s="1016">
        <f t="shared" ca="1" si="21"/>
        <v>88.465500000000006</v>
      </c>
      <c r="J55" s="1016">
        <f t="shared" ca="1" si="21"/>
        <v>87.948599999999999</v>
      </c>
      <c r="K55" s="1016">
        <f t="shared" ca="1" si="21"/>
        <v>94.217500000000001</v>
      </c>
      <c r="L55" s="1016">
        <f t="shared" ca="1" si="21"/>
        <v>100</v>
      </c>
      <c r="M55" s="1016">
        <f t="shared" ca="1" si="21"/>
        <v>102.37466607696864</v>
      </c>
    </row>
    <row r="56" spans="1:21">
      <c r="B56" s="583"/>
      <c r="C56" s="583"/>
      <c r="D56" s="583"/>
    </row>
    <row r="57" spans="1:21">
      <c r="A57" s="1040" t="s">
        <v>251</v>
      </c>
      <c r="B57" s="1040" t="s">
        <v>245</v>
      </c>
      <c r="C57" s="1040" t="s">
        <v>192</v>
      </c>
      <c r="D57" s="1040" t="s">
        <v>193</v>
      </c>
      <c r="E57" s="1040" t="s">
        <v>165</v>
      </c>
      <c r="F57" s="1040" t="s">
        <v>167</v>
      </c>
      <c r="G57" s="1040" t="s">
        <v>168</v>
      </c>
      <c r="H57" s="1040" t="s">
        <v>169</v>
      </c>
      <c r="I57" s="1040" t="s">
        <v>170</v>
      </c>
      <c r="J57" s="1040" t="s">
        <v>171</v>
      </c>
      <c r="K57" s="1040" t="s">
        <v>172</v>
      </c>
      <c r="L57" s="1040" t="s">
        <v>173</v>
      </c>
      <c r="M57" s="1040" t="s">
        <v>174</v>
      </c>
      <c r="N57" s="1040"/>
    </row>
    <row r="58" spans="1:21">
      <c r="A58" t="s">
        <v>249</v>
      </c>
      <c r="B58" s="51">
        <f t="shared" ref="B58:M58" ca="1" si="22">(B51/B55)*$M55</f>
        <v>133.33595600487246</v>
      </c>
      <c r="C58" s="51">
        <f t="shared" ca="1" si="22"/>
        <v>135.70847557944626</v>
      </c>
      <c r="D58" s="51">
        <f t="shared" ca="1" si="22"/>
        <v>138.21708943559295</v>
      </c>
      <c r="E58" s="51">
        <f t="shared" ca="1" si="22"/>
        <v>142.81302709266714</v>
      </c>
      <c r="F58" s="51">
        <f t="shared" ca="1" si="22"/>
        <v>137.26994711286727</v>
      </c>
      <c r="G58" s="51">
        <f t="shared" ca="1" si="22"/>
        <v>140.33264505859574</v>
      </c>
      <c r="H58" s="51">
        <f t="shared" ca="1" si="22"/>
        <v>144.92342603062374</v>
      </c>
      <c r="I58" s="51">
        <f t="shared" ca="1" si="22"/>
        <v>159.89984214394471</v>
      </c>
      <c r="J58" s="51">
        <f t="shared" ca="1" si="22"/>
        <v>167.42220139775279</v>
      </c>
      <c r="K58" s="51">
        <f t="shared" ca="1" si="22"/>
        <v>165.4304193547101</v>
      </c>
      <c r="L58" s="51">
        <f t="shared" ca="1" si="22"/>
        <v>164.15675330775844</v>
      </c>
      <c r="M58" s="51">
        <f t="shared" ca="1" si="22"/>
        <v>162.04900000000001</v>
      </c>
      <c r="N58" s="98">
        <f ca="1">(H58/B58)^(1/COUNTA(C58:H58))-1</f>
        <v>1.3985828991228022E-2</v>
      </c>
      <c r="O58" s="98">
        <f ca="1">(M58/G58)^(1/COUNTA(H58:M58))-1</f>
        <v>2.4270364602623884E-2</v>
      </c>
    </row>
    <row r="59" spans="1:21">
      <c r="A59" t="s">
        <v>250</v>
      </c>
      <c r="B59" s="51">
        <f t="shared" ref="B59:M59" ca="1" si="23">(B52/B55)*$M55</f>
        <v>136.09575290679908</v>
      </c>
      <c r="C59" s="51">
        <f t="shared" ca="1" si="23"/>
        <v>138.41699995601877</v>
      </c>
      <c r="D59" s="51">
        <f t="shared" ca="1" si="23"/>
        <v>140.87855844329144</v>
      </c>
      <c r="E59" s="51">
        <f t="shared" ca="1" si="23"/>
        <v>145.42625723159975</v>
      </c>
      <c r="F59" s="51">
        <f t="shared" ca="1" si="23"/>
        <v>139.69149578297959</v>
      </c>
      <c r="G59" s="51">
        <f t="shared" ca="1" si="23"/>
        <v>142.70424641424279</v>
      </c>
      <c r="H59" s="51">
        <f t="shared" ca="1" si="23"/>
        <v>147.48399676045065</v>
      </c>
      <c r="I59" s="51">
        <f t="shared" ca="1" si="23"/>
        <v>162.67718696859077</v>
      </c>
      <c r="J59" s="51">
        <f t="shared" ca="1" si="23"/>
        <v>170.56507801441089</v>
      </c>
      <c r="K59" s="51">
        <f t="shared" ca="1" si="23"/>
        <v>169.01612687246418</v>
      </c>
      <c r="L59" s="51">
        <f t="shared" ca="1" si="23"/>
        <v>167.53511728829841</v>
      </c>
      <c r="M59" s="51">
        <f t="shared" ca="1" si="23"/>
        <v>165.44900000000001</v>
      </c>
      <c r="N59" s="98">
        <f ca="1">(H59/B59)^(1/COUNTA(C59:H59))-1</f>
        <v>1.3483589609351698E-2</v>
      </c>
      <c r="O59" s="98">
        <f ca="1">(M59/G59)^(1/COUNTA(H59:M59))-1</f>
        <v>2.4954394154144799E-2</v>
      </c>
    </row>
    <row r="60" spans="1:21">
      <c r="L60" s="51"/>
    </row>
    <row r="61" spans="1:21">
      <c r="B61" s="51" t="b">
        <f t="shared" ref="B61:M61" ca="1" si="24">B58=B30</f>
        <v>0</v>
      </c>
      <c r="C61" s="51" t="b">
        <f t="shared" ca="1" si="24"/>
        <v>0</v>
      </c>
      <c r="D61" s="51" t="b">
        <f t="shared" ca="1" si="24"/>
        <v>0</v>
      </c>
      <c r="E61" s="51" t="b">
        <f t="shared" ca="1" si="24"/>
        <v>0</v>
      </c>
      <c r="F61" s="51" t="b">
        <f t="shared" ca="1" si="24"/>
        <v>0</v>
      </c>
      <c r="G61" s="1200" t="b">
        <f t="shared" ca="1" si="24"/>
        <v>1</v>
      </c>
      <c r="H61" s="1200" t="b">
        <f t="shared" ca="1" si="24"/>
        <v>1</v>
      </c>
      <c r="I61" s="1200" t="b">
        <f t="shared" ca="1" si="24"/>
        <v>1</v>
      </c>
      <c r="J61" s="1200" t="b">
        <f t="shared" ca="1" si="24"/>
        <v>1</v>
      </c>
      <c r="K61" s="1200" t="b">
        <f t="shared" ca="1" si="24"/>
        <v>1</v>
      </c>
      <c r="L61" s="1200" t="b">
        <f t="shared" ca="1" si="24"/>
        <v>1</v>
      </c>
      <c r="M61" s="1200" t="b">
        <f t="shared" ca="1" si="24"/>
        <v>1</v>
      </c>
    </row>
    <row r="62" spans="1:21">
      <c r="B62" s="1200" t="b">
        <f t="shared" ref="B62:M62" ca="1" si="25">B59=B30</f>
        <v>1</v>
      </c>
      <c r="C62" s="1200" t="b">
        <f t="shared" ca="1" si="25"/>
        <v>1</v>
      </c>
      <c r="D62" s="1200" t="b">
        <f t="shared" ca="1" si="25"/>
        <v>1</v>
      </c>
      <c r="E62" s="1200" t="b">
        <f t="shared" ca="1" si="25"/>
        <v>1</v>
      </c>
      <c r="F62" s="1200" t="b">
        <f t="shared" ca="1" si="25"/>
        <v>1</v>
      </c>
      <c r="G62" s="51" t="b">
        <f t="shared" ca="1" si="25"/>
        <v>0</v>
      </c>
      <c r="H62" s="51" t="b">
        <f t="shared" ca="1" si="25"/>
        <v>0</v>
      </c>
      <c r="I62" s="51" t="b">
        <f t="shared" ca="1" si="25"/>
        <v>0</v>
      </c>
      <c r="J62" s="51" t="b">
        <f t="shared" ca="1" si="25"/>
        <v>0</v>
      </c>
      <c r="K62" s="51" t="b">
        <f t="shared" ca="1" si="25"/>
        <v>0</v>
      </c>
      <c r="L62" s="51" t="b">
        <f t="shared" ca="1" si="25"/>
        <v>0</v>
      </c>
      <c r="M62" s="51" t="b">
        <f t="shared" ca="1" si="25"/>
        <v>0</v>
      </c>
    </row>
    <row r="63" spans="1:21">
      <c r="L63" s="51"/>
    </row>
    <row r="64" spans="1:21">
      <c r="B64" s="1262">
        <v>2.8</v>
      </c>
      <c r="M64" s="1016">
        <v>3.6</v>
      </c>
    </row>
    <row r="65" spans="2:13">
      <c r="B65" s="583">
        <f>B64/B52</f>
        <v>2.9883879781420764E-2</v>
      </c>
      <c r="M65" s="583">
        <f>M64/M52</f>
        <v>2.1758971042436036E-2</v>
      </c>
    </row>
  </sheetData>
  <mergeCells count="3">
    <mergeCell ref="P5:Q5"/>
    <mergeCell ref="R5:S5"/>
    <mergeCell ref="A20:A21"/>
  </mergeCells>
  <hyperlinks>
    <hyperlink ref="L2" r:id="rId1" location=":~:text=The%20Supplementary%20Estimates%2C%20presented%20to,for%20any%20necessary%20new%20services." xr:uid="{48A4F2BE-B2EC-40BE-B15D-BA0E5FD54460}"/>
    <hyperlink ref="K2" r:id="rId2" xr:uid="{590164D2-8646-450E-A27C-CD2B873B73CB}"/>
    <hyperlink ref="S21" r:id="rId3" xr:uid="{9B0B9D00-6C4B-41A8-B984-C6103A8D5D98}"/>
  </hyperlinks>
  <pageMargins left="0.7" right="0.7" top="0.75" bottom="0.75" header="0.3" footer="0.3"/>
  <pageSetup paperSize="9" orientation="portrait" r:id="rId4"/>
  <legacyDrawing r:id="rId5"/>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66B5-7C23-43ED-B8A5-A23BB05EB0C4}">
  <sheetPr>
    <tabColor theme="5"/>
  </sheetPr>
  <dimension ref="A1:U65"/>
  <sheetViews>
    <sheetView zoomScale="70" zoomScaleNormal="70" workbookViewId="0">
      <pane xSplit="1" topLeftCell="G1" activePane="topRight" state="frozen"/>
      <selection activeCell="A4" sqref="A4"/>
      <selection pane="topRight" activeCell="L8" sqref="L8"/>
    </sheetView>
  </sheetViews>
  <sheetFormatPr defaultRowHeight="14.5"/>
  <cols>
    <col min="1" max="1" width="52.453125" bestFit="1" customWidth="1"/>
    <col min="2" max="2" width="20.1796875" customWidth="1"/>
    <col min="3" max="3" width="18" customWidth="1"/>
    <col min="4" max="4" width="15.453125" customWidth="1"/>
    <col min="5" max="5" width="14.1796875" customWidth="1"/>
    <col min="6" max="6" width="16.453125" customWidth="1"/>
    <col min="7" max="7" width="15.1796875" customWidth="1"/>
    <col min="8" max="9" width="15.453125" bestFit="1" customWidth="1"/>
    <col min="10" max="11" width="10.54296875" bestFit="1" customWidth="1"/>
    <col min="12" max="12" width="15.54296875" bestFit="1" customWidth="1"/>
    <col min="13" max="13" width="10.453125" bestFit="1" customWidth="1"/>
    <col min="14" max="15" width="10.453125" customWidth="1"/>
    <col min="16" max="16" width="21.81640625" customWidth="1"/>
    <col min="17" max="17" width="20.81640625" customWidth="1"/>
    <col min="18" max="18" width="22.54296875" customWidth="1"/>
    <col min="19" max="19" width="19.453125" customWidth="1"/>
    <col min="20" max="20" width="10.453125" bestFit="1" customWidth="1"/>
  </cols>
  <sheetData>
    <row r="1" spans="1:19">
      <c r="A1" t="s">
        <v>177</v>
      </c>
      <c r="G1" s="702" t="s">
        <v>246</v>
      </c>
      <c r="H1" s="702"/>
      <c r="I1" s="702"/>
      <c r="J1" s="702"/>
      <c r="K1" s="1033" t="s">
        <v>179</v>
      </c>
      <c r="L1" s="43" t="s">
        <v>180</v>
      </c>
      <c r="M1" s="1033"/>
      <c r="N1" s="76" t="s">
        <v>181</v>
      </c>
    </row>
    <row r="2" spans="1:19">
      <c r="G2" s="1034" t="s">
        <v>262</v>
      </c>
      <c r="H2" s="702"/>
      <c r="I2" s="702"/>
      <c r="J2" s="702"/>
      <c r="K2" s="1032" t="s">
        <v>183</v>
      </c>
      <c r="L2" s="1112" t="s">
        <v>184</v>
      </c>
      <c r="M2" s="1033"/>
    </row>
    <row r="3" spans="1:19">
      <c r="A3" s="76" t="s">
        <v>185</v>
      </c>
      <c r="B3" s="76"/>
      <c r="C3" s="76"/>
      <c r="D3" s="76"/>
      <c r="E3" s="76"/>
      <c r="F3" s="76"/>
      <c r="G3" s="702"/>
      <c r="H3" s="702"/>
      <c r="I3" s="702"/>
      <c r="J3" s="702"/>
      <c r="K3" s="1033"/>
      <c r="L3" s="43"/>
      <c r="M3" s="1033"/>
    </row>
    <row r="4" spans="1:19">
      <c r="B4" t="s">
        <v>186</v>
      </c>
      <c r="G4" s="702"/>
      <c r="H4" s="702"/>
      <c r="I4" s="702"/>
      <c r="J4" s="702"/>
      <c r="K4" s="1033"/>
      <c r="L4" s="43"/>
      <c r="M4" s="1033"/>
    </row>
    <row r="5" spans="1:19">
      <c r="A5" s="76" t="s">
        <v>263</v>
      </c>
      <c r="B5" s="1014" t="s">
        <v>191</v>
      </c>
      <c r="C5" s="1014" t="s">
        <v>192</v>
      </c>
      <c r="D5" s="1014" t="s">
        <v>193</v>
      </c>
      <c r="E5" s="1014" t="s">
        <v>165</v>
      </c>
      <c r="F5" s="1014" t="s">
        <v>167</v>
      </c>
      <c r="G5" s="1014" t="s">
        <v>168</v>
      </c>
      <c r="H5" s="1014" t="s">
        <v>169</v>
      </c>
      <c r="I5" s="1014" t="s">
        <v>170</v>
      </c>
      <c r="J5" s="1014" t="s">
        <v>171</v>
      </c>
      <c r="K5" s="1014" t="s">
        <v>172</v>
      </c>
      <c r="L5" s="1014" t="s">
        <v>173</v>
      </c>
      <c r="M5" s="1014" t="s">
        <v>174</v>
      </c>
      <c r="N5" s="1014"/>
      <c r="P5" s="1761" t="s">
        <v>194</v>
      </c>
      <c r="Q5" s="1761"/>
      <c r="R5" s="1761" t="s">
        <v>195</v>
      </c>
      <c r="S5" s="1761"/>
    </row>
    <row r="6" spans="1:19">
      <c r="A6" s="76" t="s">
        <v>231</v>
      </c>
      <c r="B6" s="1015" t="s">
        <v>196</v>
      </c>
      <c r="C6" s="1015" t="s">
        <v>196</v>
      </c>
      <c r="D6" s="1015" t="s">
        <v>196</v>
      </c>
      <c r="E6" s="1015" t="s">
        <v>196</v>
      </c>
      <c r="F6" s="1015" t="s">
        <v>196</v>
      </c>
      <c r="G6" s="1015" t="s">
        <v>196</v>
      </c>
      <c r="H6" s="1015" t="s">
        <v>196</v>
      </c>
      <c r="I6" s="1015" t="s">
        <v>196</v>
      </c>
      <c r="J6" s="1015" t="s">
        <v>196</v>
      </c>
      <c r="K6" s="1015" t="s">
        <v>196</v>
      </c>
      <c r="L6" s="1015" t="s">
        <v>152</v>
      </c>
      <c r="M6" s="1015" t="s">
        <v>152</v>
      </c>
      <c r="N6" s="1015"/>
      <c r="O6" s="483"/>
      <c r="P6" s="1038" t="s">
        <v>198</v>
      </c>
      <c r="Q6" s="1038" t="s">
        <v>199</v>
      </c>
      <c r="R6" s="1038" t="s">
        <v>200</v>
      </c>
      <c r="S6" s="1038" t="s">
        <v>201</v>
      </c>
    </row>
    <row r="7" spans="1:19">
      <c r="A7" s="3" t="s">
        <v>202</v>
      </c>
      <c r="B7" s="1016">
        <f t="shared" ref="B7:K7" si="0">B8+B13</f>
        <v>109.77430665328011</v>
      </c>
      <c r="C7" s="1016">
        <f t="shared" si="0"/>
        <v>113.344612</v>
      </c>
      <c r="D7" s="1016">
        <f t="shared" si="0"/>
        <v>117.247606</v>
      </c>
      <c r="E7" s="1016">
        <f t="shared" si="0"/>
        <v>121.556</v>
      </c>
      <c r="F7" s="1016">
        <f t="shared" si="0"/>
        <v>125.15600000000001</v>
      </c>
      <c r="G7" s="1016">
        <f t="shared" si="0"/>
        <v>128.39599999999999</v>
      </c>
      <c r="H7" s="1016">
        <f t="shared" si="0"/>
        <v>138.45499999999998</v>
      </c>
      <c r="I7" s="1016">
        <f t="shared" si="0"/>
        <v>190.61</v>
      </c>
      <c r="J7" s="1016">
        <f t="shared" si="0"/>
        <v>187.274</v>
      </c>
      <c r="K7" s="1016">
        <f t="shared" si="0"/>
        <v>181.70000000000002</v>
      </c>
      <c r="L7" s="1016">
        <f>L8+L13</f>
        <v>189.5</v>
      </c>
      <c r="M7" s="1016">
        <f>M8+M13</f>
        <v>192.2</v>
      </c>
      <c r="N7" s="1016"/>
      <c r="O7" s="1597">
        <f>M7-201.9</f>
        <v>-9.7000000000000171</v>
      </c>
      <c r="P7" s="583">
        <f t="shared" ref="P7:Q13" si="1">L7/K7-1</f>
        <v>4.292790313703887E-2</v>
      </c>
      <c r="Q7" s="583">
        <f t="shared" si="1"/>
        <v>1.4248021108179465E-2</v>
      </c>
      <c r="R7" s="51">
        <f t="shared" ref="R7:S13" si="2">L7-K7</f>
        <v>7.7999999999999829</v>
      </c>
      <c r="S7" s="51">
        <f t="shared" si="2"/>
        <v>2.6999999999999886</v>
      </c>
    </row>
    <row r="8" spans="1:19">
      <c r="A8" t="s">
        <v>204</v>
      </c>
      <c r="B8" s="1016">
        <v>104.40736065328011</v>
      </c>
      <c r="C8" s="1016">
        <v>108.373357</v>
      </c>
      <c r="D8" s="1016">
        <v>112.595276</v>
      </c>
      <c r="E8" s="1016">
        <v>117</v>
      </c>
      <c r="F8" s="1016">
        <v>119.91800000000001</v>
      </c>
      <c r="G8" s="1016">
        <v>122.455</v>
      </c>
      <c r="H8" s="1016">
        <v>131.44</v>
      </c>
      <c r="I8" s="1016">
        <v>177.90600000000001</v>
      </c>
      <c r="J8" s="1016">
        <v>178.155</v>
      </c>
      <c r="K8" s="554">
        <v>171.8</v>
      </c>
      <c r="L8" s="554">
        <v>178.5</v>
      </c>
      <c r="M8" s="554">
        <v>179.6</v>
      </c>
      <c r="N8" t="s">
        <v>270</v>
      </c>
      <c r="O8" t="s">
        <v>271</v>
      </c>
      <c r="P8" s="583">
        <f t="shared" si="1"/>
        <v>3.8998835855646119E-2</v>
      </c>
      <c r="Q8" s="583">
        <f t="shared" si="1"/>
        <v>6.1624649859943759E-3</v>
      </c>
      <c r="R8" s="51">
        <f t="shared" si="2"/>
        <v>6.6999999999999886</v>
      </c>
      <c r="S8" s="51">
        <f t="shared" si="2"/>
        <v>1.0999999999999943</v>
      </c>
    </row>
    <row r="9" spans="1:19" s="155" customFormat="1">
      <c r="A9" s="155" t="s">
        <v>129</v>
      </c>
      <c r="B9" s="1679">
        <v>93.695999999999998</v>
      </c>
      <c r="C9" s="1679">
        <v>97.097999999999999</v>
      </c>
      <c r="D9" s="1679">
        <v>100.572</v>
      </c>
      <c r="E9" s="1679">
        <v>105.735</v>
      </c>
      <c r="F9" s="1679">
        <v>109.605</v>
      </c>
      <c r="G9" s="1679">
        <v>112.42700000000001</v>
      </c>
      <c r="H9" s="1679">
        <v>121.70699999999999</v>
      </c>
      <c r="I9" s="1679">
        <v>141.02600000000001</v>
      </c>
      <c r="J9" s="1679">
        <v>146.68100000000001</v>
      </c>
      <c r="K9" s="1687">
        <v>155.1</v>
      </c>
      <c r="L9" s="1687">
        <v>163.19999999999999</v>
      </c>
      <c r="M9" s="1687">
        <v>164.9</v>
      </c>
      <c r="N9" s="1022"/>
      <c r="O9" s="1200"/>
      <c r="P9" s="1022">
        <f t="shared" si="1"/>
        <v>5.2224371373307488E-2</v>
      </c>
      <c r="Q9" s="1022">
        <f t="shared" si="1"/>
        <v>1.0416666666666741E-2</v>
      </c>
      <c r="R9" s="1200">
        <f t="shared" si="2"/>
        <v>8.0999999999999943</v>
      </c>
      <c r="S9" s="1200">
        <f t="shared" si="2"/>
        <v>1.7000000000000171</v>
      </c>
    </row>
    <row r="10" spans="1:19">
      <c r="A10" s="155" t="s">
        <v>232</v>
      </c>
      <c r="B10" s="1016">
        <v>0</v>
      </c>
      <c r="C10" s="1016">
        <v>0</v>
      </c>
      <c r="D10" s="1016">
        <v>0</v>
      </c>
      <c r="E10" s="1016">
        <v>0</v>
      </c>
      <c r="F10" s="1016">
        <v>0</v>
      </c>
      <c r="G10" s="1016">
        <v>0</v>
      </c>
      <c r="H10" s="1016">
        <v>2.851</v>
      </c>
      <c r="I10" s="1016">
        <v>2.851</v>
      </c>
      <c r="J10" s="1016">
        <v>2.851</v>
      </c>
      <c r="K10" s="1016">
        <v>2.851</v>
      </c>
      <c r="L10" s="1016">
        <v>2.851</v>
      </c>
      <c r="M10" s="1016">
        <v>2.851</v>
      </c>
      <c r="N10" s="1016" t="s">
        <v>209</v>
      </c>
      <c r="O10" s="1016"/>
      <c r="P10" s="583">
        <f t="shared" si="1"/>
        <v>0</v>
      </c>
      <c r="Q10" s="583">
        <f t="shared" si="1"/>
        <v>0</v>
      </c>
      <c r="R10" s="51">
        <f t="shared" si="2"/>
        <v>0</v>
      </c>
      <c r="S10" s="51">
        <f t="shared" si="2"/>
        <v>0</v>
      </c>
    </row>
    <row r="11" spans="1:19">
      <c r="A11" t="s">
        <v>212</v>
      </c>
      <c r="B11" s="1016">
        <f t="shared" ref="B11:L11" si="3">B9-B10</f>
        <v>93.695999999999998</v>
      </c>
      <c r="C11" s="1016">
        <f t="shared" si="3"/>
        <v>97.097999999999999</v>
      </c>
      <c r="D11" s="1016">
        <f t="shared" si="3"/>
        <v>100.572</v>
      </c>
      <c r="E11" s="1016">
        <f t="shared" si="3"/>
        <v>105.735</v>
      </c>
      <c r="F11" s="1016">
        <f t="shared" si="3"/>
        <v>109.605</v>
      </c>
      <c r="G11" s="1244">
        <f t="shared" si="3"/>
        <v>112.42700000000001</v>
      </c>
      <c r="H11" s="1016">
        <f t="shared" si="3"/>
        <v>118.85599999999999</v>
      </c>
      <c r="I11" s="1016">
        <f t="shared" si="3"/>
        <v>138.17500000000001</v>
      </c>
      <c r="J11" s="1016">
        <f t="shared" si="3"/>
        <v>143.83000000000001</v>
      </c>
      <c r="K11" s="1016">
        <f t="shared" si="3"/>
        <v>152.249</v>
      </c>
      <c r="L11" s="1016">
        <f t="shared" si="3"/>
        <v>160.34899999999999</v>
      </c>
      <c r="M11" s="1016">
        <f>M9-M10</f>
        <v>162.04900000000001</v>
      </c>
      <c r="N11" s="1016"/>
      <c r="O11" s="1016"/>
      <c r="P11" s="583">
        <f t="shared" si="1"/>
        <v>5.3202319883874472E-2</v>
      </c>
      <c r="Q11" s="583">
        <f t="shared" si="1"/>
        <v>1.0601874660896016E-2</v>
      </c>
      <c r="R11" s="51">
        <f t="shared" si="2"/>
        <v>8.0999999999999943</v>
      </c>
      <c r="S11" s="51">
        <f t="shared" si="2"/>
        <v>1.7000000000000171</v>
      </c>
    </row>
    <row r="12" spans="1:19">
      <c r="A12" t="s">
        <v>234</v>
      </c>
      <c r="B12" s="1016">
        <f t="shared" ref="B12:M12" si="4">B8-B9</f>
        <v>10.71136065328011</v>
      </c>
      <c r="C12" s="1016">
        <f t="shared" si="4"/>
        <v>11.275357</v>
      </c>
      <c r="D12" s="1016">
        <f t="shared" si="4"/>
        <v>12.023275999999996</v>
      </c>
      <c r="E12" s="1016">
        <f t="shared" si="4"/>
        <v>11.265000000000001</v>
      </c>
      <c r="F12" s="1016">
        <f t="shared" si="4"/>
        <v>10.313000000000002</v>
      </c>
      <c r="G12" s="1016">
        <f t="shared" si="4"/>
        <v>10.027999999999992</v>
      </c>
      <c r="H12" s="1016">
        <f t="shared" si="4"/>
        <v>9.7330000000000041</v>
      </c>
      <c r="I12" s="1016">
        <f t="shared" si="4"/>
        <v>36.879999999999995</v>
      </c>
      <c r="J12" s="1016">
        <f t="shared" si="4"/>
        <v>31.47399999999999</v>
      </c>
      <c r="K12" s="1016">
        <f t="shared" si="4"/>
        <v>16.700000000000017</v>
      </c>
      <c r="L12" s="1016">
        <f t="shared" si="4"/>
        <v>15.300000000000011</v>
      </c>
      <c r="M12" s="1016">
        <f t="shared" si="4"/>
        <v>14.699999999999989</v>
      </c>
      <c r="N12" s="1016"/>
      <c r="O12" s="1016"/>
      <c r="P12" s="583">
        <f t="shared" si="1"/>
        <v>-8.3832335329341534E-2</v>
      </c>
      <c r="Q12" s="583">
        <f t="shared" si="1"/>
        <v>-3.9215686274511219E-2</v>
      </c>
      <c r="R12" s="51">
        <f t="shared" si="2"/>
        <v>-1.4000000000000057</v>
      </c>
      <c r="S12" s="51">
        <f t="shared" si="2"/>
        <v>-0.60000000000002274</v>
      </c>
    </row>
    <row r="13" spans="1:19">
      <c r="A13" t="s">
        <v>214</v>
      </c>
      <c r="B13" s="1016">
        <v>5.3669460000000004</v>
      </c>
      <c r="C13" s="1016">
        <v>4.9712550000000002</v>
      </c>
      <c r="D13" s="1016">
        <v>4.6523300000000001</v>
      </c>
      <c r="E13" s="1016">
        <v>4.556</v>
      </c>
      <c r="F13" s="1016">
        <v>5.2380000000000004</v>
      </c>
      <c r="G13" s="1016">
        <v>5.9409999999999998</v>
      </c>
      <c r="H13" s="1016">
        <v>7.0149999999999997</v>
      </c>
      <c r="I13" s="1016">
        <v>12.704000000000001</v>
      </c>
      <c r="J13" s="1016">
        <v>9.1189999999999998</v>
      </c>
      <c r="K13" s="554">
        <v>9.9</v>
      </c>
      <c r="L13" s="1016">
        <v>11</v>
      </c>
      <c r="M13" s="554">
        <v>12.6</v>
      </c>
      <c r="N13" t="s">
        <v>272</v>
      </c>
      <c r="O13" t="s">
        <v>273</v>
      </c>
      <c r="P13" s="583">
        <f t="shared" si="1"/>
        <v>0.11111111111111116</v>
      </c>
      <c r="Q13" s="583">
        <f t="shared" si="1"/>
        <v>0.1454545454545455</v>
      </c>
      <c r="R13" s="51">
        <f t="shared" si="2"/>
        <v>1.0999999999999996</v>
      </c>
      <c r="S13" s="51">
        <f t="shared" si="2"/>
        <v>1.5999999999999996</v>
      </c>
    </row>
    <row r="14" spans="1:19">
      <c r="A14" t="s">
        <v>216</v>
      </c>
      <c r="B14" s="1262"/>
      <c r="C14" s="583"/>
      <c r="D14" s="162"/>
      <c r="G14" s="1016"/>
      <c r="H14" s="1016"/>
      <c r="I14" s="1016"/>
      <c r="J14" s="1016"/>
      <c r="K14" s="1016"/>
      <c r="L14" s="1016"/>
      <c r="M14" s="1016">
        <v>3.6</v>
      </c>
      <c r="N14" s="590"/>
      <c r="O14" s="1016"/>
    </row>
    <row r="15" spans="1:19">
      <c r="B15" s="1262"/>
      <c r="C15" s="583"/>
      <c r="D15" s="162"/>
      <c r="G15" s="1344"/>
      <c r="H15" s="1016"/>
      <c r="I15" s="1016"/>
      <c r="J15" s="1016"/>
      <c r="K15" s="1016"/>
      <c r="L15" s="1016"/>
      <c r="M15" s="1016">
        <f>M11-L11</f>
        <v>1.7000000000000171</v>
      </c>
      <c r="N15" s="590"/>
      <c r="O15" s="1016"/>
    </row>
    <row r="16" spans="1:19">
      <c r="B16" s="1262"/>
      <c r="C16" s="583"/>
      <c r="D16" s="162"/>
      <c r="G16" s="1016"/>
      <c r="H16" s="1016"/>
      <c r="I16" s="1016"/>
      <c r="J16" s="1016"/>
      <c r="K16" s="1016"/>
      <c r="L16" s="1016"/>
      <c r="M16" s="1016"/>
      <c r="N16" s="590"/>
      <c r="O16" s="1016"/>
    </row>
    <row r="17" spans="1:20">
      <c r="C17" s="583"/>
      <c r="D17" s="583"/>
      <c r="E17" s="583"/>
      <c r="F17" s="583"/>
      <c r="G17" s="583"/>
      <c r="H17" s="583"/>
      <c r="I17" s="583"/>
      <c r="J17" s="583"/>
      <c r="K17" s="583"/>
      <c r="L17" s="583"/>
      <c r="M17" s="1343">
        <f>M14/M9</f>
        <v>2.1831412977562158E-2</v>
      </c>
      <c r="N17" s="590"/>
      <c r="O17" s="1016"/>
    </row>
    <row r="18" spans="1:20">
      <c r="A18" s="627" t="s">
        <v>225</v>
      </c>
      <c r="B18" s="1036">
        <f t="shared" ref="B18:M18" si="5">B9/B7</f>
        <v>0.85353306121018724</v>
      </c>
      <c r="C18" s="1036">
        <f t="shared" si="5"/>
        <v>0.85666180585628549</v>
      </c>
      <c r="D18" s="1036">
        <f t="shared" si="5"/>
        <v>0.85777444359930044</v>
      </c>
      <c r="E18" s="1036">
        <f t="shared" si="5"/>
        <v>0.86984599690677544</v>
      </c>
      <c r="F18" s="1036">
        <f t="shared" si="5"/>
        <v>0.8757470676595609</v>
      </c>
      <c r="G18" s="1036">
        <f t="shared" si="5"/>
        <v>0.87562696657216754</v>
      </c>
      <c r="H18" s="1036">
        <f t="shared" si="5"/>
        <v>0.87903651005741945</v>
      </c>
      <c r="I18" s="1036">
        <f t="shared" si="5"/>
        <v>0.73986674361261218</v>
      </c>
      <c r="J18" s="1036">
        <f t="shared" si="5"/>
        <v>0.78324273524354693</v>
      </c>
      <c r="K18" s="1036">
        <f t="shared" si="5"/>
        <v>0.85360484314804608</v>
      </c>
      <c r="L18" s="1036">
        <f t="shared" si="5"/>
        <v>0.86121372031662258</v>
      </c>
      <c r="M18" s="1036">
        <f t="shared" si="5"/>
        <v>0.85796045785639963</v>
      </c>
      <c r="N18" s="1036"/>
      <c r="O18" s="1016"/>
    </row>
    <row r="19" spans="1:20" ht="15" thickBot="1">
      <c r="A19" s="1016">
        <v>2</v>
      </c>
      <c r="B19" s="1016">
        <v>7</v>
      </c>
      <c r="C19" s="1016">
        <v>8</v>
      </c>
      <c r="D19" s="1016">
        <v>9</v>
      </c>
      <c r="E19" s="1016">
        <v>10</v>
      </c>
      <c r="F19" s="1016">
        <v>11</v>
      </c>
      <c r="G19" s="1016">
        <v>12</v>
      </c>
      <c r="H19" s="1016">
        <v>13</v>
      </c>
      <c r="I19" s="1016">
        <v>14</v>
      </c>
      <c r="J19" s="1016">
        <v>15</v>
      </c>
      <c r="K19" s="1016">
        <v>16</v>
      </c>
      <c r="L19" s="1016">
        <v>17</v>
      </c>
      <c r="M19" s="1016">
        <v>18</v>
      </c>
      <c r="N19" s="1016"/>
      <c r="O19" s="1016"/>
      <c r="P19" s="1016"/>
      <c r="Q19" s="1016"/>
      <c r="R19" s="1016"/>
      <c r="S19" s="1016"/>
      <c r="T19" s="1016"/>
    </row>
    <row r="20" spans="1:20" s="76" customFormat="1" ht="15" thickBot="1">
      <c r="A20" s="1754" t="s">
        <v>226</v>
      </c>
      <c r="B20" s="1509"/>
      <c r="C20" s="1520"/>
      <c r="D20" s="1520"/>
      <c r="E20" s="1520"/>
      <c r="F20" s="1521"/>
      <c r="G20" s="1522"/>
      <c r="H20" s="1522"/>
      <c r="I20" s="1522"/>
      <c r="J20" s="1522"/>
      <c r="K20" s="1522"/>
      <c r="L20" s="1522"/>
      <c r="M20" s="1522"/>
      <c r="N20" s="1522"/>
      <c r="O20" s="1522"/>
      <c r="P20" s="1522"/>
      <c r="Q20" s="1522"/>
      <c r="R20" s="1523"/>
      <c r="S20" s="1524"/>
    </row>
    <row r="21" spans="1:20" ht="15" thickBot="1">
      <c r="A21" s="1755"/>
      <c r="B21" s="1451">
        <v>70.480500000000006</v>
      </c>
      <c r="C21" s="1451">
        <v>71.814700000000002</v>
      </c>
      <c r="D21" s="1451">
        <v>73.084400000000002</v>
      </c>
      <c r="E21" s="1451">
        <v>74.433499999999995</v>
      </c>
      <c r="F21" s="1538" cm="1">
        <f t="array" aca="1" ref="F21" ca="1">INDIRECT(_xlfn.CONCAT("'MASTER DEFLATOR'!D",F19))</f>
        <v>80.325400000000002</v>
      </c>
      <c r="G21" s="1538" cm="1">
        <f t="array" aca="1" ref="G21" ca="1">INDIRECT(_xlfn.CONCAT("'MASTER DEFLATOR'!D",G19))</f>
        <v>82.017099999999999</v>
      </c>
      <c r="H21" s="1538" cm="1">
        <f t="array" aca="1" ref="H21" ca="1">INDIRECT(_xlfn.CONCAT("'MASTER DEFLATOR'!D",H19))</f>
        <v>83.960499999999996</v>
      </c>
      <c r="I21" s="1538" cm="1">
        <f t="array" aca="1" ref="I21" ca="1">INDIRECT(_xlfn.CONCAT("'MASTER DEFLATOR'!D",I19))</f>
        <v>88.465500000000006</v>
      </c>
      <c r="J21" s="1538" cm="1">
        <f t="array" aca="1" ref="J21" ca="1">INDIRECT(_xlfn.CONCAT("'MASTER DEFLATOR'!D",J19))</f>
        <v>87.948599999999999</v>
      </c>
      <c r="K21" s="1538" cm="1">
        <f t="array" aca="1" ref="K21" ca="1">INDIRECT(_xlfn.CONCAT("'MASTER DEFLATOR'!D",K19))</f>
        <v>94.217500000000001</v>
      </c>
      <c r="L21" s="1538" cm="1">
        <f t="array" aca="1" ref="L21" ca="1">INDIRECT(_xlfn.CONCAT("'MASTER DEFLATOR'!D",L19))</f>
        <v>100</v>
      </c>
      <c r="M21" s="1538" cm="1">
        <f t="array" aca="1" ref="M21" ca="1">INDIRECT(_xlfn.CONCAT("'MASTER DEFLATOR'!D",M19))</f>
        <v>102.37466607696864</v>
      </c>
      <c r="N21" s="1538"/>
      <c r="O21" s="1538"/>
      <c r="P21" s="1538"/>
      <c r="Q21" s="1539"/>
      <c r="R21" s="1540"/>
      <c r="S21" s="1579" t="s">
        <v>227</v>
      </c>
    </row>
    <row r="22" spans="1:20">
      <c r="A22" t="s">
        <v>228</v>
      </c>
      <c r="L22" s="98"/>
    </row>
    <row r="23" spans="1:20">
      <c r="L23" s="51"/>
    </row>
    <row r="24" spans="1:20">
      <c r="A24" s="76" t="s">
        <v>229</v>
      </c>
      <c r="B24" s="1018" t="s">
        <v>191</v>
      </c>
      <c r="C24" s="1018" t="s">
        <v>192</v>
      </c>
      <c r="D24" s="1018" t="s">
        <v>193</v>
      </c>
      <c r="E24" s="1018" t="s">
        <v>165</v>
      </c>
      <c r="F24" s="1018" t="s">
        <v>167</v>
      </c>
      <c r="G24" s="1018" t="s">
        <v>168</v>
      </c>
      <c r="H24" s="1018" t="s">
        <v>169</v>
      </c>
      <c r="I24" s="1018" t="s">
        <v>170</v>
      </c>
      <c r="J24" s="1018" t="s">
        <v>171</v>
      </c>
      <c r="K24" s="1018" t="s">
        <v>172</v>
      </c>
      <c r="L24" s="1018" t="s">
        <v>173</v>
      </c>
      <c r="M24" s="1018" t="s">
        <v>174</v>
      </c>
      <c r="N24" s="1018"/>
      <c r="P24" s="1037" t="s">
        <v>194</v>
      </c>
      <c r="Q24" s="1037"/>
      <c r="R24" s="1037" t="s">
        <v>195</v>
      </c>
      <c r="S24" s="1037"/>
    </row>
    <row r="25" spans="1:20">
      <c r="A25" s="76" t="s">
        <v>231</v>
      </c>
      <c r="B25" s="1018" t="s">
        <v>196</v>
      </c>
      <c r="C25" s="1018" t="s">
        <v>196</v>
      </c>
      <c r="D25" s="1018" t="s">
        <v>196</v>
      </c>
      <c r="E25" s="1018" t="s">
        <v>196</v>
      </c>
      <c r="F25" s="1018" t="s">
        <v>196</v>
      </c>
      <c r="G25" s="1019" t="s">
        <v>196</v>
      </c>
      <c r="H25" s="1019" t="s">
        <v>196</v>
      </c>
      <c r="I25" s="1019" t="s">
        <v>196</v>
      </c>
      <c r="J25" s="1019" t="s">
        <v>196</v>
      </c>
      <c r="K25" s="1019" t="s">
        <v>196</v>
      </c>
      <c r="L25" s="1019" t="s">
        <v>152</v>
      </c>
      <c r="M25" s="1019" t="s">
        <v>152</v>
      </c>
      <c r="N25" s="1019"/>
      <c r="P25" s="1038" t="s">
        <v>198</v>
      </c>
      <c r="Q25" s="1038" t="s">
        <v>199</v>
      </c>
      <c r="R25" s="1038" t="s">
        <v>200</v>
      </c>
      <c r="S25" s="1038" t="s">
        <v>201</v>
      </c>
    </row>
    <row r="26" spans="1:20">
      <c r="A26" s="3" t="s">
        <v>202</v>
      </c>
      <c r="B26" s="1016">
        <f t="shared" ref="B26:M26" ca="1" si="6">(B7/B$21)*$M$21</f>
        <v>159.4498902172985</v>
      </c>
      <c r="C26" s="1016">
        <f t="shared" ca="1" si="6"/>
        <v>161.57718134481621</v>
      </c>
      <c r="D26" s="1016">
        <f t="shared" ca="1" si="6"/>
        <v>164.23729978728682</v>
      </c>
      <c r="E26" s="1016">
        <f t="shared" ca="1" si="6"/>
        <v>167.18621198320648</v>
      </c>
      <c r="F26" s="1016">
        <f t="shared" ca="1" si="6"/>
        <v>159.51123439819892</v>
      </c>
      <c r="G26" s="1016">
        <f t="shared" ca="1" si="6"/>
        <v>160.26533034718938</v>
      </c>
      <c r="H26" s="1016">
        <f t="shared" ca="1" si="6"/>
        <v>168.82086685627993</v>
      </c>
      <c r="I26" s="1016">
        <f t="shared" ca="1" si="6"/>
        <v>220.57904042740944</v>
      </c>
      <c r="J26" s="1016">
        <f t="shared" ca="1" si="6"/>
        <v>217.99225018815793</v>
      </c>
      <c r="K26" s="1016">
        <f t="shared" ca="1" si="6"/>
        <v>197.4312290836119</v>
      </c>
      <c r="L26" s="1016">
        <f t="shared" ca="1" si="6"/>
        <v>193.99999221585557</v>
      </c>
      <c r="M26" s="1016">
        <f t="shared" ca="1" si="6"/>
        <v>192.2</v>
      </c>
      <c r="N26" s="590">
        <f>201.9</f>
        <v>201.9</v>
      </c>
      <c r="O26" s="583"/>
      <c r="P26" s="583">
        <f t="shared" ref="P26:Q32" ca="1" si="7">L26/K26-1</f>
        <v>-1.7379402861860349E-2</v>
      </c>
      <c r="Q26" s="583">
        <f t="shared" ca="1" si="7"/>
        <v>-9.2783107632953277E-3</v>
      </c>
      <c r="R26" s="51">
        <f t="shared" ref="R26:S32" ca="1" si="8">L26-K26</f>
        <v>-3.4312368677563256</v>
      </c>
      <c r="S26" s="51">
        <f ca="1">M26-L26</f>
        <v>-1.7999922158555819</v>
      </c>
    </row>
    <row r="27" spans="1:20">
      <c r="A27" t="s">
        <v>204</v>
      </c>
      <c r="B27" s="1016">
        <f t="shared" ref="B27:M27" ca="1" si="9">(B8/B$21)*$M$21</f>
        <v>151.65426866803136</v>
      </c>
      <c r="C27" s="1016">
        <f t="shared" ca="1" si="9"/>
        <v>154.49046273973309</v>
      </c>
      <c r="D27" s="1016">
        <f t="shared" ca="1" si="9"/>
        <v>157.72044078276787</v>
      </c>
      <c r="E27" s="1016">
        <f t="shared" ca="1" si="9"/>
        <v>160.91996118690281</v>
      </c>
      <c r="F27" s="1016">
        <f t="shared" ca="1" si="9"/>
        <v>152.83540706448926</v>
      </c>
      <c r="G27" s="1016">
        <f t="shared" ca="1" si="9"/>
        <v>152.84970737145295</v>
      </c>
      <c r="H27" s="1016">
        <f t="shared" ca="1" si="9"/>
        <v>160.26734129926282</v>
      </c>
      <c r="I27" s="1016">
        <f t="shared" ca="1" si="9"/>
        <v>205.87762848894974</v>
      </c>
      <c r="J27" s="1016">
        <f t="shared" ca="1" si="9"/>
        <v>207.37747542248937</v>
      </c>
      <c r="K27" s="1016">
        <f t="shared" ca="1" si="9"/>
        <v>186.6741065303496</v>
      </c>
      <c r="L27" s="1016">
        <f t="shared" ca="1" si="9"/>
        <v>182.73877894738902</v>
      </c>
      <c r="M27" s="1016">
        <f t="shared" ca="1" si="9"/>
        <v>179.6</v>
      </c>
      <c r="N27" s="1597">
        <f ca="1">N26-M26</f>
        <v>9.7000000000000171</v>
      </c>
      <c r="O27" s="583"/>
      <c r="P27" s="583">
        <f t="shared" ca="1" si="7"/>
        <v>-2.1081271827706694E-2</v>
      </c>
      <c r="Q27" s="583">
        <f t="shared" ca="1" si="7"/>
        <v>-1.7176315642848272E-2</v>
      </c>
      <c r="R27" s="51">
        <f t="shared" ca="1" si="8"/>
        <v>-3.935327582960582</v>
      </c>
      <c r="S27" s="51">
        <f t="shared" ca="1" si="8"/>
        <v>-3.138778947389028</v>
      </c>
    </row>
    <row r="28" spans="1:20" s="481" customFormat="1">
      <c r="A28" s="481" t="s">
        <v>129</v>
      </c>
      <c r="B28" s="1234">
        <f t="shared" ref="B28:L28" ca="1" si="10">(B9/B$21)*$M$21</f>
        <v>136.09575290679908</v>
      </c>
      <c r="C28" s="1234">
        <f t="shared" ca="1" si="10"/>
        <v>138.41699995601877</v>
      </c>
      <c r="D28" s="1234">
        <f t="shared" ca="1" si="10"/>
        <v>140.87855844329144</v>
      </c>
      <c r="E28" s="1234">
        <f t="shared" ca="1" si="10"/>
        <v>145.42625723159975</v>
      </c>
      <c r="F28" s="1234">
        <f t="shared" ca="1" si="10"/>
        <v>139.69149578297959</v>
      </c>
      <c r="G28" s="1234">
        <f t="shared" ca="1" si="10"/>
        <v>140.33264505859574</v>
      </c>
      <c r="H28" s="1234">
        <f t="shared" ca="1" si="10"/>
        <v>148.39970562621261</v>
      </c>
      <c r="I28" s="1234">
        <f t="shared" ca="1" si="10"/>
        <v>163.19909635022216</v>
      </c>
      <c r="J28" s="1234">
        <f t="shared" ca="1" si="10"/>
        <v>170.74084629926841</v>
      </c>
      <c r="K28" s="1234">
        <f t="shared" ca="1" si="10"/>
        <v>168.5282533344425</v>
      </c>
      <c r="L28" s="1234">
        <f t="shared" ca="1" si="10"/>
        <v>167.07545503761281</v>
      </c>
      <c r="M28" s="1234">
        <f ca="1">(M9/M$21)*$M$21</f>
        <v>164.9</v>
      </c>
      <c r="N28" s="1235"/>
      <c r="O28" s="583"/>
      <c r="P28" s="1236">
        <f t="shared" ca="1" si="7"/>
        <v>-8.6205029013539658E-3</v>
      </c>
      <c r="Q28" s="1236">
        <f t="shared" ca="1" si="7"/>
        <v>-1.3020793731329694E-2</v>
      </c>
      <c r="R28" s="707">
        <f t="shared" ca="1" si="8"/>
        <v>-1.452798296829684</v>
      </c>
      <c r="S28" s="707">
        <f t="shared" ca="1" si="8"/>
        <v>-2.1754550376128066</v>
      </c>
    </row>
    <row r="29" spans="1:20">
      <c r="A29" t="s">
        <v>232</v>
      </c>
      <c r="B29" s="1016">
        <f t="shared" ref="B29:M29" ca="1" si="11">(B10/B$21)*$M$21</f>
        <v>0</v>
      </c>
      <c r="C29" s="1016">
        <f t="shared" ca="1" si="11"/>
        <v>0</v>
      </c>
      <c r="D29" s="1016">
        <f t="shared" ca="1" si="11"/>
        <v>0</v>
      </c>
      <c r="E29" s="1016">
        <f t="shared" ca="1" si="11"/>
        <v>0</v>
      </c>
      <c r="F29" s="1016">
        <f t="shared" ca="1" si="11"/>
        <v>0</v>
      </c>
      <c r="G29" s="1016">
        <f t="shared" ca="1" si="11"/>
        <v>0</v>
      </c>
      <c r="H29" s="1016">
        <f t="shared" ca="1" si="11"/>
        <v>3.4762795955888492</v>
      </c>
      <c r="I29" s="1016">
        <f t="shared" ca="1" si="11"/>
        <v>3.2992542062774484</v>
      </c>
      <c r="J29" s="1016">
        <f t="shared" ca="1" si="11"/>
        <v>3.3186449015156305</v>
      </c>
      <c r="K29" s="1016">
        <f t="shared" ca="1" si="11"/>
        <v>3.0978339797324019</v>
      </c>
      <c r="L29" s="1016">
        <f t="shared" ca="1" si="11"/>
        <v>2.918701729854376</v>
      </c>
      <c r="M29" s="1016">
        <f t="shared" ca="1" si="11"/>
        <v>2.851</v>
      </c>
      <c r="N29" s="590"/>
      <c r="O29" s="583"/>
      <c r="P29" s="583">
        <f ca="1">L29/K29-1</f>
        <v>-5.7824999999999904E-2</v>
      </c>
      <c r="Q29" s="583">
        <f t="shared" ca="1" si="7"/>
        <v>-2.3195837094924343E-2</v>
      </c>
      <c r="R29" s="51">
        <f t="shared" ca="1" si="8"/>
        <v>-0.1791322498780259</v>
      </c>
      <c r="S29" s="51">
        <f t="shared" ca="1" si="8"/>
        <v>-6.7701729854376058E-2</v>
      </c>
    </row>
    <row r="30" spans="1:20">
      <c r="A30" t="s">
        <v>212</v>
      </c>
      <c r="B30" s="1016">
        <f t="shared" ref="B30:M30" ca="1" si="12">(B11/B$21)*$M$21</f>
        <v>136.09575290679908</v>
      </c>
      <c r="C30" s="1016">
        <f t="shared" ca="1" si="12"/>
        <v>138.41699995601877</v>
      </c>
      <c r="D30" s="1016">
        <f t="shared" ca="1" si="12"/>
        <v>140.87855844329144</v>
      </c>
      <c r="E30" s="1016">
        <f t="shared" ca="1" si="12"/>
        <v>145.42625723159975</v>
      </c>
      <c r="F30" s="1016">
        <f t="shared" ca="1" si="12"/>
        <v>139.69149578297959</v>
      </c>
      <c r="G30" s="1016">
        <f t="shared" ca="1" si="12"/>
        <v>140.33264505859574</v>
      </c>
      <c r="H30" s="1016">
        <f t="shared" ca="1" si="12"/>
        <v>144.92342603062374</v>
      </c>
      <c r="I30" s="1016">
        <f t="shared" ca="1" si="12"/>
        <v>159.89984214394471</v>
      </c>
      <c r="J30" s="1016">
        <f t="shared" ca="1" si="12"/>
        <v>167.42220139775279</v>
      </c>
      <c r="K30" s="1016">
        <f t="shared" ca="1" si="12"/>
        <v>165.4304193547101</v>
      </c>
      <c r="L30" s="1016">
        <f t="shared" ca="1" si="12"/>
        <v>164.15675330775844</v>
      </c>
      <c r="M30" s="1016">
        <f t="shared" ca="1" si="12"/>
        <v>162.04900000000001</v>
      </c>
      <c r="N30" s="1597">
        <f ca="1">L30-176.6</f>
        <v>-12.443246692241559</v>
      </c>
      <c r="O30" s="583"/>
      <c r="P30" s="583">
        <f t="shared" ca="1" si="7"/>
        <v>-7.6991042634106943E-3</v>
      </c>
      <c r="Q30" s="583">
        <f t="shared" ca="1" si="7"/>
        <v>-1.2839881791563257E-2</v>
      </c>
      <c r="R30" s="51">
        <f t="shared" ca="1" si="8"/>
        <v>-1.2736660469516607</v>
      </c>
      <c r="S30" s="51">
        <f t="shared" ca="1" si="8"/>
        <v>-2.1077533077584292</v>
      </c>
    </row>
    <row r="31" spans="1:20">
      <c r="A31" t="s">
        <v>234</v>
      </c>
      <c r="B31" s="1016">
        <f t="shared" ref="B31:M31" ca="1" si="13">(B12/B$21)*$M$21</f>
        <v>15.558515761232281</v>
      </c>
      <c r="C31" s="1016">
        <f t="shared" ca="1" si="13"/>
        <v>16.073462783714348</v>
      </c>
      <c r="D31" s="1016">
        <f t="shared" ca="1" si="13"/>
        <v>16.841882339476424</v>
      </c>
      <c r="E31" s="1016">
        <f t="shared" ca="1" si="13"/>
        <v>15.493703955303079</v>
      </c>
      <c r="F31" s="1016">
        <f t="shared" ca="1" si="13"/>
        <v>13.143911281509681</v>
      </c>
      <c r="G31" s="1016">
        <f t="shared" ca="1" si="13"/>
        <v>12.517062312857204</v>
      </c>
      <c r="H31" s="1016">
        <f t="shared" ca="1" si="13"/>
        <v>11.867635673050259</v>
      </c>
      <c r="I31" s="1016">
        <f t="shared" ca="1" si="13"/>
        <v>42.678532138727554</v>
      </c>
      <c r="J31" s="1016">
        <f t="shared" ca="1" si="13"/>
        <v>36.636629123220949</v>
      </c>
      <c r="K31" s="1016">
        <f t="shared" ca="1" si="13"/>
        <v>18.145853195907108</v>
      </c>
      <c r="L31" s="1016">
        <f t="shared" ca="1" si="13"/>
        <v>15.663323909776212</v>
      </c>
      <c r="M31" s="1016">
        <f t="shared" ca="1" si="13"/>
        <v>14.699999999999989</v>
      </c>
      <c r="N31" s="590"/>
      <c r="O31" s="583"/>
      <c r="P31" s="583">
        <f t="shared" ca="1" si="7"/>
        <v>-0.13680973053892242</v>
      </c>
      <c r="Q31" s="583">
        <f t="shared" ca="1" si="7"/>
        <v>-6.1501882699046218E-2</v>
      </c>
      <c r="R31" s="51">
        <f t="shared" ca="1" si="8"/>
        <v>-2.4825292861308963</v>
      </c>
      <c r="S31" s="51">
        <f t="shared" ca="1" si="8"/>
        <v>-0.96332390977622318</v>
      </c>
    </row>
    <row r="32" spans="1:20">
      <c r="A32" t="s">
        <v>214</v>
      </c>
      <c r="B32" s="1016">
        <f t="shared" ref="B32:M32" ca="1" si="14">(B13/B$21)*$M$21</f>
        <v>7.7956215492671381</v>
      </c>
      <c r="C32" s="1016">
        <f t="shared" ca="1" si="14"/>
        <v>7.0867186050830924</v>
      </c>
      <c r="D32" s="1016">
        <f t="shared" ca="1" si="14"/>
        <v>6.516859004518933</v>
      </c>
      <c r="E32" s="1016">
        <f t="shared" ca="1" si="14"/>
        <v>6.2662507963036695</v>
      </c>
      <c r="F32" s="1016">
        <f t="shared" ca="1" si="14"/>
        <v>6.6758273337096581</v>
      </c>
      <c r="G32" s="1016">
        <f t="shared" ca="1" si="14"/>
        <v>7.4156229757364089</v>
      </c>
      <c r="H32" s="1016">
        <f t="shared" ca="1" si="14"/>
        <v>8.5535255570171085</v>
      </c>
      <c r="I32" s="1016">
        <f t="shared" ca="1" si="14"/>
        <v>14.701411938459733</v>
      </c>
      <c r="J32" s="1016">
        <f t="shared" ca="1" si="14"/>
        <v>10.61477476566855</v>
      </c>
      <c r="K32" s="1016">
        <f t="shared" ca="1" si="14"/>
        <v>10.757122553262287</v>
      </c>
      <c r="L32" s="1016">
        <f ca="1">(L13/L$21)*$M$21</f>
        <v>11.26121326846655</v>
      </c>
      <c r="M32" s="1016">
        <f t="shared" ca="1" si="14"/>
        <v>12.6</v>
      </c>
      <c r="N32" s="590"/>
      <c r="O32" s="583"/>
      <c r="P32" s="583">
        <f t="shared" ca="1" si="7"/>
        <v>4.6861111111111242E-2</v>
      </c>
      <c r="Q32" s="583">
        <f t="shared" ca="1" si="7"/>
        <v>0.11888476841854123</v>
      </c>
      <c r="R32" s="51">
        <f t="shared" ca="1" si="8"/>
        <v>0.50409071520426352</v>
      </c>
      <c r="S32" s="51">
        <f t="shared" ca="1" si="8"/>
        <v>1.3387867315334496</v>
      </c>
    </row>
    <row r="33" spans="1:21">
      <c r="G33" s="1354"/>
      <c r="H33" s="1354"/>
      <c r="I33" s="1356">
        <f ca="1">I26/H26-1</f>
        <v>0.3065863511718141</v>
      </c>
      <c r="J33" s="1356">
        <f ca="1">J26/I26-1</f>
        <v>-1.1727271250428717E-2</v>
      </c>
      <c r="K33" s="1356">
        <f t="shared" ref="K33:M33" ca="1" si="15">K26/J26-1</f>
        <v>-9.4319963607875867E-2</v>
      </c>
      <c r="L33" s="1356">
        <f t="shared" ca="1" si="15"/>
        <v>-1.7379402861860349E-2</v>
      </c>
      <c r="M33" s="1356">
        <f t="shared" ca="1" si="15"/>
        <v>-9.2783107632953277E-3</v>
      </c>
      <c r="O33" s="51"/>
      <c r="P33" s="583"/>
      <c r="Q33" s="583"/>
      <c r="R33" s="51"/>
      <c r="S33" s="51"/>
    </row>
    <row r="34" spans="1:21" ht="20.9" customHeight="1">
      <c r="B34" s="1357" t="s">
        <v>235</v>
      </c>
      <c r="C34" s="1357"/>
      <c r="D34" s="1357"/>
      <c r="E34" s="1357"/>
      <c r="F34" s="1357"/>
      <c r="G34" s="1357"/>
      <c r="H34" s="1357"/>
      <c r="I34" s="1356">
        <f ca="1">I30/H30-1</f>
        <v>0.10334020195020988</v>
      </c>
      <c r="J34" s="1356">
        <f t="shared" ref="J34:M34" ca="1" si="16">J30/I30-1</f>
        <v>4.7044194371601122E-2</v>
      </c>
      <c r="K34" s="1356">
        <f t="shared" ca="1" si="16"/>
        <v>-1.1896761758081964E-2</v>
      </c>
      <c r="L34" s="1356">
        <f t="shared" ca="1" si="16"/>
        <v>-7.6991042634106943E-3</v>
      </c>
      <c r="M34" s="1356">
        <f t="shared" ca="1" si="16"/>
        <v>-1.2839881791563257E-2</v>
      </c>
      <c r="N34" s="1016"/>
      <c r="O34" s="51"/>
      <c r="P34" s="78"/>
      <c r="Q34" s="51"/>
    </row>
    <row r="35" spans="1:21">
      <c r="A35" s="76" t="s">
        <v>231</v>
      </c>
      <c r="B35" s="1019" t="s">
        <v>236</v>
      </c>
      <c r="C35" s="1019" t="s">
        <v>237</v>
      </c>
      <c r="D35" s="1019" t="s">
        <v>238</v>
      </c>
      <c r="E35" s="1019" t="s">
        <v>239</v>
      </c>
      <c r="F35" s="1019" t="s">
        <v>240</v>
      </c>
      <c r="G35" s="1019" t="s">
        <v>241</v>
      </c>
      <c r="H35" s="1019" t="s">
        <v>242</v>
      </c>
      <c r="L35" s="51"/>
      <c r="M35" s="900"/>
      <c r="O35" s="51"/>
      <c r="P35" s="76" t="str">
        <f>A35</f>
        <v>Health and Social Care</v>
      </c>
      <c r="Q35" t="str">
        <f>B35</f>
        <v>2013/14-2018/19</v>
      </c>
      <c r="R35" s="304" t="str">
        <f>E35</f>
        <v>2018/19-2024/25</v>
      </c>
    </row>
    <row r="36" spans="1:21">
      <c r="A36" s="3" t="s">
        <v>202</v>
      </c>
      <c r="B36" s="1355">
        <f ca="1">(G26/B26)^(1/COUNTA(C26:G26))-1</f>
        <v>1.0207308857506092E-3</v>
      </c>
      <c r="C36" s="583">
        <f ca="1">(K26/G26)^(1/COUNTA(H26:K26))-1</f>
        <v>5.3523109583139439E-2</v>
      </c>
      <c r="D36" s="583">
        <f ca="1">(L26/G26)^(1/COUNTA(H26:L26))-1</f>
        <v>3.8944685514607169E-2</v>
      </c>
      <c r="E36" s="583">
        <f ca="1">(M26/G26)^(1/COUNTA(H26:M26))-1</f>
        <v>3.0747523538268373E-2</v>
      </c>
      <c r="F36" s="1022">
        <f ca="1">(K26/H26)^(1/COUNTA(I26:K26))-1</f>
        <v>5.3569624746721223E-2</v>
      </c>
      <c r="G36" s="583">
        <f ca="1">(L26/H26)^(1/COUNTA(I26:L26))-1</f>
        <v>3.5365993792253025E-2</v>
      </c>
      <c r="H36" s="1022">
        <f ca="1">(M26/H26)^(1/COUNTA(I26:M26))-1</f>
        <v>2.6279021585327911E-2</v>
      </c>
      <c r="N36" s="78"/>
      <c r="O36" s="98"/>
      <c r="P36" t="str">
        <f t="shared" ref="P36:Q37" si="17">A36</f>
        <v>DHSC total budget</v>
      </c>
      <c r="Q36" s="172">
        <f t="shared" ca="1" si="17"/>
        <v>1.0207308857506092E-3</v>
      </c>
      <c r="R36" s="172">
        <f ca="1">E36</f>
        <v>3.0747523538268373E-2</v>
      </c>
      <c r="U36" s="51"/>
    </row>
    <row r="37" spans="1:21">
      <c r="A37" t="s">
        <v>204</v>
      </c>
      <c r="B37" s="1355">
        <f ca="1">(G27/B27)^(1/COUNTA(C27:G27))-1</f>
        <v>1.5715840373635714E-3</v>
      </c>
      <c r="C37" s="583">
        <f ca="1">(K27/G27)^(1/COUNTA(H27:K27))-1</f>
        <v>5.1247237215124031E-2</v>
      </c>
      <c r="D37" s="583">
        <f ca="1">(L27/G27)^(1/COUNTA(H27:L27))-1</f>
        <v>3.6366154475905299E-2</v>
      </c>
      <c r="E37" s="583">
        <f ca="1">(M27/G27)^(1/COUNTA(H27:M27))-1</f>
        <v>2.7244016170890228E-2</v>
      </c>
      <c r="F37" s="583">
        <f ca="1">(K27/H27)^(1/COUNTA(I27:K27))-1</f>
        <v>5.2154902185163499E-2</v>
      </c>
      <c r="G37" s="583">
        <f ca="1">(L27/H27)^(1/COUNTA(I27:L27))-1</f>
        <v>3.3347567691581093E-2</v>
      </c>
      <c r="H37" s="583">
        <f ca="1">(M27/H27)^(1/COUNTA(I27:M27))-1</f>
        <v>2.3039164675777046E-2</v>
      </c>
      <c r="M37" s="162"/>
      <c r="P37" t="str">
        <f t="shared" si="17"/>
        <v>Resource DEL excluding depreciation</v>
      </c>
      <c r="Q37" s="172">
        <f t="shared" ca="1" si="17"/>
        <v>1.5715840373635714E-3</v>
      </c>
      <c r="R37" s="172">
        <f t="shared" ref="R37" ca="1" si="18">E37</f>
        <v>2.7244016170890228E-2</v>
      </c>
      <c r="U37" s="51"/>
    </row>
    <row r="38" spans="1:21">
      <c r="A38" t="s">
        <v>129</v>
      </c>
      <c r="B38" s="583">
        <f ca="1">(G28/B28)^(1/COUNTA(C28:G28))-1</f>
        <v>6.1502228202081621E-3</v>
      </c>
      <c r="C38" s="583" t="s">
        <v>243</v>
      </c>
      <c r="D38" s="583" t="s">
        <v>243</v>
      </c>
      <c r="E38" s="583" t="s">
        <v>243</v>
      </c>
      <c r="F38" s="583">
        <f ca="1">(K28/H28)^(1/COUNTA(I28:K28))-1</f>
        <v>4.3309655701309069E-2</v>
      </c>
      <c r="G38" s="583">
        <f ca="1">(L28/H28)^(1/COUNTA(I28:L28))-1</f>
        <v>3.0077505497612345E-2</v>
      </c>
      <c r="H38" s="1022">
        <f ca="1">(M28/H28)^(1/COUNTA(I28:M28))-1</f>
        <v>2.1309856506731339E-2</v>
      </c>
      <c r="M38" s="1263"/>
      <c r="P38" t="str">
        <f t="shared" ref="P38:Q40" si="19">A40</f>
        <v>NHS England (excl. pensions)</v>
      </c>
      <c r="Q38" s="172">
        <f t="shared" ca="1" si="19"/>
        <v>6.1502228202081621E-3</v>
      </c>
      <c r="R38" s="172">
        <f ca="1">E40</f>
        <v>2.4270364602623884E-2</v>
      </c>
      <c r="U38" s="51"/>
    </row>
    <row r="39" spans="1:21">
      <c r="A39" t="s">
        <v>232</v>
      </c>
      <c r="B39" s="583" t="s">
        <v>243</v>
      </c>
      <c r="C39" s="583" t="s">
        <v>243</v>
      </c>
      <c r="D39" s="583" t="s">
        <v>243</v>
      </c>
      <c r="E39" s="583" t="s">
        <v>243</v>
      </c>
      <c r="F39" s="583" t="s">
        <v>243</v>
      </c>
      <c r="G39" s="583" t="s">
        <v>243</v>
      </c>
      <c r="H39" s="583" t="s">
        <v>243</v>
      </c>
      <c r="P39" t="str">
        <f t="shared" si="19"/>
        <v>Of which: Other (non-NHS England)</v>
      </c>
      <c r="Q39" s="172">
        <f t="shared" ca="1" si="19"/>
        <v>-4.257040006516033E-2</v>
      </c>
      <c r="R39" s="172">
        <f ca="1">E41</f>
        <v>2.7154610998787687E-2</v>
      </c>
      <c r="U39" s="51"/>
    </row>
    <row r="40" spans="1:21">
      <c r="A40" t="s">
        <v>212</v>
      </c>
      <c r="B40" s="583">
        <f ca="1">(G30/B30)^(1/COUNTA(C30:G30))-1</f>
        <v>6.1502228202081621E-3</v>
      </c>
      <c r="C40" s="583">
        <f ca="1">(K30/G30)^(1/COUNTA(H30:K30))-1</f>
        <v>4.1991472774968397E-2</v>
      </c>
      <c r="D40" s="1022">
        <f ca="1">(L30/G30)^(1/COUNTA(H30:L30))-1</f>
        <v>3.1858173410427959E-2</v>
      </c>
      <c r="E40" s="583">
        <f ca="1">(M30/G30)^(1/COUNTA(H30:M30))-1</f>
        <v>2.4270364602623884E-2</v>
      </c>
      <c r="F40" s="583">
        <f ca="1">(K30/H30)^(1/COUNTA(I30:K30))-1</f>
        <v>4.5102595024905545E-2</v>
      </c>
      <c r="G40" s="583">
        <f ca="1">(L30/H30)^(1/COUNTA(I30:L30))-1</f>
        <v>3.1644436479666416E-2</v>
      </c>
      <c r="H40" s="583">
        <f ca="1">(M30/H30)^(1/COUNTA(I30:M30))-1</f>
        <v>2.2590026370431948E-2</v>
      </c>
      <c r="L40" s="172"/>
      <c r="P40" t="str">
        <f t="shared" si="19"/>
        <v>Capital DEL</v>
      </c>
      <c r="Q40" s="172">
        <f t="shared" ca="1" si="19"/>
        <v>-9.9448691886016016E-3</v>
      </c>
      <c r="R40" s="172">
        <f ca="1">E42</f>
        <v>9.2371809631494495E-2</v>
      </c>
      <c r="U40" s="51"/>
    </row>
    <row r="41" spans="1:21">
      <c r="A41" t="s">
        <v>234</v>
      </c>
      <c r="B41" s="583">
        <f t="shared" ref="B41:B42" ca="1" si="20">(G31/B31)^(1/COUNTA(C31:G31))-1</f>
        <v>-4.257040006516033E-2</v>
      </c>
      <c r="C41" s="583">
        <f ca="1">(K31/G31)^(1/COUNTA(H31:K31))-1</f>
        <v>9.7283237197671291E-2</v>
      </c>
      <c r="D41" s="583">
        <f ca="1">(L31/G31)^(1/COUNTA(H31:L31))-1</f>
        <v>4.5866621749615533E-2</v>
      </c>
      <c r="E41" s="583">
        <f ca="1">(M31/G31)^(1/COUNTA(H31:M31))-1</f>
        <v>2.7154610998787687E-2</v>
      </c>
      <c r="F41" s="583">
        <f ca="1">(K31/H31)^(1/COUNTA(I31:K31))-1</f>
        <v>0.15204929514753207</v>
      </c>
      <c r="G41" s="583">
        <f ca="1">(L31/H31)^(1/COUNTA(I31:L31))-1</f>
        <v>7.1839927116525093E-2</v>
      </c>
      <c r="H41" s="583">
        <f ca="1">(M31/H31)^(1/COUNTA(I31:M31))-1</f>
        <v>4.3735910341146544E-2</v>
      </c>
      <c r="U41" s="51"/>
    </row>
    <row r="42" spans="1:21">
      <c r="A42" t="s">
        <v>214</v>
      </c>
      <c r="B42" s="583">
        <f t="shared" ca="1" si="20"/>
        <v>-9.9448691886016016E-3</v>
      </c>
      <c r="C42" s="583">
        <f ca="1">(K32/G32)^(1/COUNTA(H32:K32))-1</f>
        <v>9.745600395392362E-2</v>
      </c>
      <c r="D42" s="583">
        <f ca="1">(L32/G32)^(1/COUNTA(H32:L32))-1</f>
        <v>8.7145089148180865E-2</v>
      </c>
      <c r="E42" s="583">
        <f ca="1">(M32/G32)^(1/COUNTA(H32:M32))-1</f>
        <v>9.2371809631494495E-2</v>
      </c>
      <c r="F42" s="583">
        <f ca="1">(K32/H32)^(1/COUNTA(I32:K32))-1</f>
        <v>7.9403080200082687E-2</v>
      </c>
      <c r="G42" s="583">
        <f ca="1">(L32/H32)^(1/COUNTA(I32:L32))-1</f>
        <v>7.1173959934056619E-2</v>
      </c>
      <c r="H42" s="583">
        <f ca="1">(M32/H32)^(1/COUNTA(I32:M32))-1</f>
        <v>8.0550522190069307E-2</v>
      </c>
      <c r="U42" s="51"/>
    </row>
    <row r="43" spans="1:21">
      <c r="L43" s="900"/>
      <c r="M43" s="900"/>
      <c r="P43" s="51"/>
      <c r="Q43" s="51"/>
      <c r="R43" s="51"/>
      <c r="U43" s="51"/>
    </row>
    <row r="44" spans="1:21">
      <c r="A44" s="1040" t="s">
        <v>244</v>
      </c>
      <c r="B44" s="1040" t="s">
        <v>245</v>
      </c>
      <c r="C44" s="1040" t="s">
        <v>192</v>
      </c>
      <c r="D44" s="1040" t="s">
        <v>193</v>
      </c>
      <c r="E44" s="1040" t="s">
        <v>165</v>
      </c>
      <c r="F44" s="1040" t="s">
        <v>167</v>
      </c>
      <c r="G44" s="1040" t="s">
        <v>168</v>
      </c>
      <c r="H44" s="1040" t="s">
        <v>169</v>
      </c>
      <c r="I44" s="1040" t="s">
        <v>170</v>
      </c>
      <c r="J44" s="1040" t="s">
        <v>171</v>
      </c>
      <c r="K44" s="1040" t="s">
        <v>172</v>
      </c>
      <c r="L44" s="1040" t="s">
        <v>173</v>
      </c>
      <c r="M44" s="1040" t="s">
        <v>174</v>
      </c>
      <c r="N44" s="1040"/>
      <c r="P44" s="51"/>
      <c r="Q44" s="51"/>
      <c r="R44" s="51"/>
      <c r="U44" s="51"/>
    </row>
    <row r="45" spans="1:21">
      <c r="A45" t="s">
        <v>246</v>
      </c>
      <c r="G45">
        <v>112.4</v>
      </c>
      <c r="H45">
        <v>121.7</v>
      </c>
      <c r="I45">
        <v>141</v>
      </c>
      <c r="J45">
        <v>146.69999999999999</v>
      </c>
      <c r="O45" s="98"/>
      <c r="P45" s="51"/>
      <c r="Q45" s="51"/>
      <c r="R45" s="51"/>
    </row>
    <row r="46" spans="1:21">
      <c r="A46" t="s">
        <v>269</v>
      </c>
      <c r="G46">
        <v>114.3</v>
      </c>
      <c r="H46">
        <v>123.8</v>
      </c>
      <c r="I46">
        <v>143.4</v>
      </c>
      <c r="J46">
        <v>149.4</v>
      </c>
    </row>
    <row r="47" spans="1:21">
      <c r="A47" t="s">
        <v>247</v>
      </c>
      <c r="G47" s="96">
        <f>G46-G45</f>
        <v>1.8999999999999915</v>
      </c>
      <c r="H47" s="96">
        <f>H46-H45</f>
        <v>2.0999999999999943</v>
      </c>
      <c r="I47" s="96">
        <f>I46-I45</f>
        <v>2.4000000000000057</v>
      </c>
      <c r="J47" s="96">
        <f>J46-J45</f>
        <v>2.7000000000000171</v>
      </c>
      <c r="K47" s="96">
        <v>3.3</v>
      </c>
      <c r="L47" s="96">
        <v>3.3</v>
      </c>
      <c r="M47" s="96">
        <v>3.4</v>
      </c>
      <c r="N47" s="98"/>
      <c r="P47" s="51"/>
      <c r="Q47" s="51"/>
      <c r="R47" s="51"/>
      <c r="U47" s="51"/>
    </row>
    <row r="48" spans="1:21">
      <c r="A48" t="s">
        <v>248</v>
      </c>
      <c r="B48" s="1039">
        <f>C48/(1+$N$47)</f>
        <v>1.8999999999999915</v>
      </c>
      <c r="C48" s="1039">
        <f>D48/(1+$N$47)</f>
        <v>1.8999999999999915</v>
      </c>
      <c r="D48" s="1039">
        <f>E48/(1+$N$47)</f>
        <v>1.8999999999999915</v>
      </c>
      <c r="E48" s="1039">
        <f>F48/(1+$N$47)</f>
        <v>1.8999999999999915</v>
      </c>
      <c r="F48" s="1039">
        <f>G47/(1+$N$47)</f>
        <v>1.8999999999999915</v>
      </c>
      <c r="G48" s="96">
        <f t="shared" ref="G48:M48" si="21">G47</f>
        <v>1.8999999999999915</v>
      </c>
      <c r="H48" s="96">
        <f t="shared" si="21"/>
        <v>2.0999999999999943</v>
      </c>
      <c r="I48" s="96">
        <f t="shared" si="21"/>
        <v>2.4000000000000057</v>
      </c>
      <c r="J48" s="96">
        <f t="shared" si="21"/>
        <v>2.7000000000000171</v>
      </c>
      <c r="K48" s="96">
        <f t="shared" si="21"/>
        <v>3.3</v>
      </c>
      <c r="L48" s="96">
        <f t="shared" si="21"/>
        <v>3.3</v>
      </c>
      <c r="M48" s="96">
        <f t="shared" si="21"/>
        <v>3.4</v>
      </c>
      <c r="N48" s="98"/>
      <c r="P48" s="51"/>
      <c r="Q48" s="51"/>
      <c r="R48" s="51"/>
      <c r="U48" s="51"/>
    </row>
    <row r="49" spans="1:21">
      <c r="G49" s="96"/>
      <c r="H49" s="96"/>
      <c r="I49" s="96"/>
      <c r="J49" s="96"/>
      <c r="K49" s="96"/>
      <c r="L49" s="96"/>
      <c r="M49" s="96"/>
      <c r="N49" s="98"/>
      <c r="P49" s="51"/>
      <c r="Q49" s="51"/>
      <c r="R49" s="51"/>
      <c r="U49" s="51"/>
    </row>
    <row r="50" spans="1:21">
      <c r="A50" t="s">
        <v>212</v>
      </c>
      <c r="B50" s="51">
        <f>B11</f>
        <v>93.695999999999998</v>
      </c>
      <c r="C50" s="51">
        <f t="shared" ref="C50:K50" si="22">C11</f>
        <v>97.097999999999999</v>
      </c>
      <c r="D50" s="51">
        <f t="shared" si="22"/>
        <v>100.572</v>
      </c>
      <c r="E50" s="51">
        <f t="shared" si="22"/>
        <v>105.735</v>
      </c>
      <c r="F50" s="51">
        <f t="shared" si="22"/>
        <v>109.605</v>
      </c>
      <c r="G50" s="707">
        <f t="shared" si="22"/>
        <v>112.42700000000001</v>
      </c>
      <c r="H50" s="51">
        <f t="shared" si="22"/>
        <v>118.85599999999999</v>
      </c>
      <c r="I50" s="51">
        <f t="shared" si="22"/>
        <v>138.17500000000001</v>
      </c>
      <c r="J50" s="51">
        <f t="shared" si="22"/>
        <v>143.83000000000001</v>
      </c>
      <c r="K50" s="51">
        <f t="shared" si="22"/>
        <v>152.249</v>
      </c>
      <c r="L50" s="51">
        <f>L11</f>
        <v>160.34899999999999</v>
      </c>
      <c r="M50" s="51">
        <f>M11</f>
        <v>162.04900000000001</v>
      </c>
      <c r="N50" s="51"/>
      <c r="O50" s="98">
        <f>(H50/B50)^(1/COUNTA(C50:H50))-1</f>
        <v>4.0439128425329152E-2</v>
      </c>
      <c r="P50" s="51"/>
      <c r="Q50" s="51"/>
      <c r="R50" s="51"/>
      <c r="U50" s="51"/>
    </row>
    <row r="51" spans="1:21">
      <c r="A51" t="s">
        <v>249</v>
      </c>
      <c r="B51" s="1035">
        <f>B50-B48</f>
        <v>91.796000000000006</v>
      </c>
      <c r="C51" s="1035">
        <f>C50-C48</f>
        <v>95.198000000000008</v>
      </c>
      <c r="D51" s="1035">
        <f>D50-D48</f>
        <v>98.672000000000011</v>
      </c>
      <c r="E51" s="1035">
        <f>E50-E48</f>
        <v>103.83500000000001</v>
      </c>
      <c r="F51" s="1035">
        <f>F50-F48</f>
        <v>107.70500000000001</v>
      </c>
      <c r="G51" s="96">
        <f t="shared" ref="G51:M51" si="23">G50</f>
        <v>112.42700000000001</v>
      </c>
      <c r="H51" s="96">
        <f t="shared" si="23"/>
        <v>118.85599999999999</v>
      </c>
      <c r="I51" s="96">
        <f t="shared" si="23"/>
        <v>138.17500000000001</v>
      </c>
      <c r="J51" s="96">
        <f t="shared" si="23"/>
        <v>143.83000000000001</v>
      </c>
      <c r="K51" s="96">
        <f t="shared" si="23"/>
        <v>152.249</v>
      </c>
      <c r="L51" s="96">
        <f t="shared" si="23"/>
        <v>160.34899999999999</v>
      </c>
      <c r="M51" s="96">
        <f t="shared" si="23"/>
        <v>162.04900000000001</v>
      </c>
      <c r="O51" s="98">
        <f>(H51/B51)^(1/COUNTA(C51:H51))-1</f>
        <v>4.3997740765565396E-2</v>
      </c>
      <c r="P51" s="51"/>
      <c r="Q51" s="51"/>
      <c r="R51" s="51"/>
      <c r="U51" s="78"/>
    </row>
    <row r="52" spans="1:21">
      <c r="A52" t="s">
        <v>250</v>
      </c>
      <c r="B52" s="96">
        <f>B50</f>
        <v>93.695999999999998</v>
      </c>
      <c r="C52" s="96">
        <f>C50</f>
        <v>97.097999999999999</v>
      </c>
      <c r="D52" s="96">
        <f>D50</f>
        <v>100.572</v>
      </c>
      <c r="E52" s="96">
        <f>E50</f>
        <v>105.735</v>
      </c>
      <c r="F52" s="96">
        <f>F50</f>
        <v>109.605</v>
      </c>
      <c r="G52" s="1233">
        <f t="shared" ref="G52:M52" si="24">G50+G48</f>
        <v>114.327</v>
      </c>
      <c r="H52" s="1035">
        <f t="shared" si="24"/>
        <v>120.95599999999999</v>
      </c>
      <c r="I52" s="1035">
        <f t="shared" si="24"/>
        <v>140.57500000000002</v>
      </c>
      <c r="J52" s="1035">
        <f t="shared" si="24"/>
        <v>146.53000000000003</v>
      </c>
      <c r="K52" s="1035">
        <f t="shared" si="24"/>
        <v>155.54900000000001</v>
      </c>
      <c r="L52" s="1035">
        <f t="shared" si="24"/>
        <v>163.649</v>
      </c>
      <c r="M52" s="1035">
        <f t="shared" si="24"/>
        <v>165.44900000000001</v>
      </c>
      <c r="N52" s="1035" t="s">
        <v>268</v>
      </c>
      <c r="O52" s="98">
        <f t="shared" ref="O52" si="25">(H52/B52)^(1/COUNTA(C52:H52))-1</f>
        <v>4.3480636122668948E-2</v>
      </c>
      <c r="P52" s="51"/>
      <c r="Q52" s="51"/>
      <c r="R52" s="51"/>
      <c r="U52" s="78"/>
    </row>
    <row r="54" spans="1:21">
      <c r="B54" s="1017" t="s">
        <v>245</v>
      </c>
      <c r="C54" s="1017" t="s">
        <v>192</v>
      </c>
      <c r="D54" s="1017" t="s">
        <v>193</v>
      </c>
      <c r="E54" s="1017" t="s">
        <v>165</v>
      </c>
      <c r="F54" s="1017" t="s">
        <v>167</v>
      </c>
      <c r="G54" s="1017" t="s">
        <v>168</v>
      </c>
      <c r="H54" s="1017" t="s">
        <v>169</v>
      </c>
      <c r="I54" s="1017" t="s">
        <v>170</v>
      </c>
      <c r="J54" s="1017" t="s">
        <v>171</v>
      </c>
      <c r="K54" s="1017" t="s">
        <v>172</v>
      </c>
      <c r="L54" s="1017" t="s">
        <v>173</v>
      </c>
      <c r="M54" s="1017" t="s">
        <v>174</v>
      </c>
      <c r="N54" s="1017"/>
    </row>
    <row r="55" spans="1:21">
      <c r="A55" s="76" t="s">
        <v>226</v>
      </c>
      <c r="B55" s="1016">
        <f t="shared" ref="B55:M55" si="26">B21</f>
        <v>70.480500000000006</v>
      </c>
      <c r="C55" s="1016">
        <f t="shared" si="26"/>
        <v>71.814700000000002</v>
      </c>
      <c r="D55" s="1016">
        <f t="shared" si="26"/>
        <v>73.084400000000002</v>
      </c>
      <c r="E55" s="1016">
        <f t="shared" si="26"/>
        <v>74.433499999999995</v>
      </c>
      <c r="F55" s="1016">
        <f t="shared" ca="1" si="26"/>
        <v>80.325400000000002</v>
      </c>
      <c r="G55" s="1016">
        <f t="shared" ca="1" si="26"/>
        <v>82.017099999999999</v>
      </c>
      <c r="H55" s="1016">
        <f t="shared" ca="1" si="26"/>
        <v>83.960499999999996</v>
      </c>
      <c r="I55" s="1016">
        <f t="shared" ca="1" si="26"/>
        <v>88.465500000000006</v>
      </c>
      <c r="J55" s="1016">
        <f t="shared" ca="1" si="26"/>
        <v>87.948599999999999</v>
      </c>
      <c r="K55" s="1016">
        <f t="shared" ca="1" si="26"/>
        <v>94.217500000000001</v>
      </c>
      <c r="L55" s="1016">
        <f t="shared" ca="1" si="26"/>
        <v>100</v>
      </c>
      <c r="M55" s="1016">
        <f t="shared" ca="1" si="26"/>
        <v>102.37466607696864</v>
      </c>
    </row>
    <row r="56" spans="1:21">
      <c r="B56" s="583"/>
      <c r="C56" s="583"/>
      <c r="D56" s="583"/>
    </row>
    <row r="57" spans="1:21">
      <c r="A57" s="1040" t="s">
        <v>251</v>
      </c>
      <c r="B57" s="1040" t="s">
        <v>245</v>
      </c>
      <c r="C57" s="1040" t="s">
        <v>192</v>
      </c>
      <c r="D57" s="1040" t="s">
        <v>193</v>
      </c>
      <c r="E57" s="1040" t="s">
        <v>165</v>
      </c>
      <c r="F57" s="1040" t="s">
        <v>167</v>
      </c>
      <c r="G57" s="1040" t="s">
        <v>168</v>
      </c>
      <c r="H57" s="1040" t="s">
        <v>169</v>
      </c>
      <c r="I57" s="1040" t="s">
        <v>170</v>
      </c>
      <c r="J57" s="1040" t="s">
        <v>171</v>
      </c>
      <c r="K57" s="1040" t="s">
        <v>172</v>
      </c>
      <c r="L57" s="1040" t="s">
        <v>173</v>
      </c>
      <c r="M57" s="1040" t="s">
        <v>174</v>
      </c>
      <c r="N57" s="1040"/>
    </row>
    <row r="58" spans="1:21">
      <c r="A58" t="s">
        <v>249</v>
      </c>
      <c r="B58" s="51">
        <f t="shared" ref="B58:M58" ca="1" si="27">(B51/B55)*$M55</f>
        <v>133.33595600487246</v>
      </c>
      <c r="C58" s="51">
        <f t="shared" ca="1" si="27"/>
        <v>135.70847557944626</v>
      </c>
      <c r="D58" s="51">
        <f t="shared" ca="1" si="27"/>
        <v>138.21708943559295</v>
      </c>
      <c r="E58" s="51">
        <f t="shared" ca="1" si="27"/>
        <v>142.81302709266714</v>
      </c>
      <c r="F58" s="51">
        <f t="shared" ca="1" si="27"/>
        <v>137.26994711286727</v>
      </c>
      <c r="G58" s="51">
        <f t="shared" ca="1" si="27"/>
        <v>140.33264505859574</v>
      </c>
      <c r="H58" s="51">
        <f t="shared" ca="1" si="27"/>
        <v>144.92342603062374</v>
      </c>
      <c r="I58" s="51">
        <f t="shared" ca="1" si="27"/>
        <v>159.89984214394471</v>
      </c>
      <c r="J58" s="51">
        <f t="shared" ca="1" si="27"/>
        <v>167.42220139775279</v>
      </c>
      <c r="K58" s="51">
        <f t="shared" ca="1" si="27"/>
        <v>165.4304193547101</v>
      </c>
      <c r="L58" s="51">
        <f t="shared" ca="1" si="27"/>
        <v>164.15675330775844</v>
      </c>
      <c r="M58" s="51">
        <f t="shared" ca="1" si="27"/>
        <v>162.04900000000001</v>
      </c>
      <c r="N58" s="98">
        <f ca="1">(H58/B58)^(1/COUNTA(C58:H58))-1</f>
        <v>1.3985828991228022E-2</v>
      </c>
      <c r="O58" s="98">
        <f ca="1">(M58/G58)^(1/COUNTA(H58:M58))-1</f>
        <v>2.4270364602623884E-2</v>
      </c>
    </row>
    <row r="59" spans="1:21">
      <c r="A59" t="s">
        <v>250</v>
      </c>
      <c r="B59" s="51">
        <f t="shared" ref="B59:M59" ca="1" si="28">(B52/B55)*$M55</f>
        <v>136.09575290679908</v>
      </c>
      <c r="C59" s="51">
        <f t="shared" ca="1" si="28"/>
        <v>138.41699995601877</v>
      </c>
      <c r="D59" s="51">
        <f t="shared" ca="1" si="28"/>
        <v>140.87855844329144</v>
      </c>
      <c r="E59" s="51">
        <f t="shared" ca="1" si="28"/>
        <v>145.42625723159975</v>
      </c>
      <c r="F59" s="51">
        <f t="shared" ca="1" si="28"/>
        <v>139.69149578297959</v>
      </c>
      <c r="G59" s="51">
        <f t="shared" ca="1" si="28"/>
        <v>142.70424641424279</v>
      </c>
      <c r="H59" s="51">
        <f t="shared" ca="1" si="28"/>
        <v>147.48399676045065</v>
      </c>
      <c r="I59" s="51">
        <f t="shared" ca="1" si="28"/>
        <v>162.67718696859077</v>
      </c>
      <c r="J59" s="51">
        <f t="shared" ca="1" si="28"/>
        <v>170.56507801441089</v>
      </c>
      <c r="K59" s="51">
        <f t="shared" ca="1" si="28"/>
        <v>169.01612687246418</v>
      </c>
      <c r="L59" s="51">
        <f t="shared" ca="1" si="28"/>
        <v>167.53511728829841</v>
      </c>
      <c r="M59" s="51">
        <f t="shared" ca="1" si="28"/>
        <v>165.44900000000001</v>
      </c>
      <c r="N59" s="98">
        <f ca="1">(H59/B59)^(1/COUNTA(C59:H59))-1</f>
        <v>1.3483589609351698E-2</v>
      </c>
      <c r="O59" s="98">
        <f ca="1">(M59/G59)^(1/COUNTA(H59:M59))-1</f>
        <v>2.4954394154144799E-2</v>
      </c>
    </row>
    <row r="60" spans="1:21">
      <c r="L60" s="51"/>
    </row>
    <row r="61" spans="1:21">
      <c r="B61" s="51" t="b">
        <f t="shared" ref="B61:M61" ca="1" si="29">B58=B30</f>
        <v>0</v>
      </c>
      <c r="C61" s="51" t="b">
        <f t="shared" ca="1" si="29"/>
        <v>0</v>
      </c>
      <c r="D61" s="51" t="b">
        <f t="shared" ca="1" si="29"/>
        <v>0</v>
      </c>
      <c r="E61" s="51" t="b">
        <f t="shared" ca="1" si="29"/>
        <v>0</v>
      </c>
      <c r="F61" s="51" t="b">
        <f t="shared" ca="1" si="29"/>
        <v>0</v>
      </c>
      <c r="G61" s="1200" t="b">
        <f t="shared" ca="1" si="29"/>
        <v>1</v>
      </c>
      <c r="H61" s="1200" t="b">
        <f t="shared" ca="1" si="29"/>
        <v>1</v>
      </c>
      <c r="I61" s="1200" t="b">
        <f t="shared" ca="1" si="29"/>
        <v>1</v>
      </c>
      <c r="J61" s="1200" t="b">
        <f t="shared" ca="1" si="29"/>
        <v>1</v>
      </c>
      <c r="K61" s="1200" t="b">
        <f t="shared" ca="1" si="29"/>
        <v>1</v>
      </c>
      <c r="L61" s="1200" t="b">
        <f t="shared" ca="1" si="29"/>
        <v>1</v>
      </c>
      <c r="M61" s="1200" t="b">
        <f t="shared" ca="1" si="29"/>
        <v>1</v>
      </c>
    </row>
    <row r="62" spans="1:21">
      <c r="B62" s="1200" t="b">
        <f t="shared" ref="B62:M62" ca="1" si="30">B59=B30</f>
        <v>1</v>
      </c>
      <c r="C62" s="1200" t="b">
        <f t="shared" ca="1" si="30"/>
        <v>1</v>
      </c>
      <c r="D62" s="1200" t="b">
        <f t="shared" ca="1" si="30"/>
        <v>1</v>
      </c>
      <c r="E62" s="1200" t="b">
        <f t="shared" ca="1" si="30"/>
        <v>1</v>
      </c>
      <c r="F62" s="1200" t="b">
        <f t="shared" ca="1" si="30"/>
        <v>1</v>
      </c>
      <c r="G62" s="51" t="b">
        <f t="shared" ca="1" si="30"/>
        <v>0</v>
      </c>
      <c r="H62" s="51" t="b">
        <f t="shared" ca="1" si="30"/>
        <v>0</v>
      </c>
      <c r="I62" s="51" t="b">
        <f t="shared" ca="1" si="30"/>
        <v>0</v>
      </c>
      <c r="J62" s="51" t="b">
        <f t="shared" ca="1" si="30"/>
        <v>0</v>
      </c>
      <c r="K62" s="51" t="b">
        <f t="shared" ca="1" si="30"/>
        <v>0</v>
      </c>
      <c r="L62" s="51" t="b">
        <f t="shared" ca="1" si="30"/>
        <v>0</v>
      </c>
      <c r="M62" s="51" t="b">
        <f t="shared" ca="1" si="30"/>
        <v>0</v>
      </c>
    </row>
    <row r="63" spans="1:21">
      <c r="L63" s="51"/>
    </row>
    <row r="64" spans="1:21">
      <c r="B64" s="1262">
        <v>2.8</v>
      </c>
      <c r="M64" s="1016">
        <v>3.6</v>
      </c>
    </row>
    <row r="65" spans="2:13">
      <c r="B65" s="583">
        <f>B64/B52</f>
        <v>2.9883879781420764E-2</v>
      </c>
      <c r="M65" s="583">
        <f>M64/M52</f>
        <v>2.1758971042436036E-2</v>
      </c>
    </row>
  </sheetData>
  <mergeCells count="3">
    <mergeCell ref="P5:Q5"/>
    <mergeCell ref="R5:S5"/>
    <mergeCell ref="A20:A21"/>
  </mergeCells>
  <hyperlinks>
    <hyperlink ref="L2" r:id="rId1" location=":~:text=The%20Supplementary%20Estimates%2C%20presented%20to,for%20any%20necessary%20new%20services." xr:uid="{46196200-494B-4685-B3C6-6CA2B78807F3}"/>
    <hyperlink ref="K2" r:id="rId2" xr:uid="{AAD82D2B-E73D-4461-9598-2E0251331D27}"/>
    <hyperlink ref="S21" r:id="rId3" xr:uid="{FAC70C04-3EDE-4692-9288-91D1A2F62D8E}"/>
  </hyperlinks>
  <pageMargins left="0.7" right="0.7" top="0.75" bottom="0.75" header="0.3" footer="0.3"/>
  <pageSetup paperSize="9" orientation="portrait" r:id="rId4"/>
  <legacy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1291E-C9EA-48CE-B4A4-73ED60E547BE}">
  <dimension ref="A1:B3"/>
  <sheetViews>
    <sheetView workbookViewId="0"/>
  </sheetViews>
  <sheetFormatPr defaultRowHeight="14.5"/>
  <sheetData>
    <row r="1" spans="1:2">
      <c r="A1">
        <v>182.8</v>
      </c>
      <c r="B1">
        <v>414.3</v>
      </c>
    </row>
    <row r="2" spans="1:2">
      <c r="A2">
        <v>140.30000000000001</v>
      </c>
      <c r="B2">
        <v>482.4</v>
      </c>
    </row>
    <row r="3" spans="1:2">
      <c r="A3">
        <f>A1/A2</f>
        <v>1.3029223093371347</v>
      </c>
      <c r="B3">
        <f>B2/B1</f>
        <v>1.164373642288197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89824-1BFB-4361-9EC1-14F33D085106}">
  <sheetPr>
    <tabColor theme="5" tint="0.79998168889431442"/>
  </sheetPr>
  <dimension ref="A1:U59"/>
  <sheetViews>
    <sheetView zoomScale="71" workbookViewId="0">
      <selection activeCell="O62" sqref="O62"/>
    </sheetView>
  </sheetViews>
  <sheetFormatPr defaultRowHeight="14.5"/>
  <cols>
    <col min="1" max="1" width="31.453125" bestFit="1" customWidth="1"/>
    <col min="2" max="2" width="20.1796875" customWidth="1"/>
    <col min="3" max="3" width="18" customWidth="1"/>
    <col min="4" max="4" width="15.453125" customWidth="1"/>
    <col min="5" max="5" width="14.1796875" customWidth="1"/>
    <col min="6" max="6" width="16.453125" customWidth="1"/>
    <col min="7" max="7" width="15.1796875" customWidth="1"/>
    <col min="8" max="9" width="15.453125" bestFit="1" customWidth="1"/>
    <col min="10" max="11" width="10.54296875" bestFit="1" customWidth="1"/>
    <col min="12" max="13" width="15.54296875" bestFit="1" customWidth="1"/>
    <col min="14" max="15" width="10.453125" customWidth="1"/>
    <col min="16" max="16" width="21.81640625" customWidth="1"/>
    <col min="17" max="17" width="20.81640625" customWidth="1"/>
    <col min="18" max="18" width="22.54296875" customWidth="1"/>
    <col min="19" max="19" width="19.453125" customWidth="1"/>
    <col min="20" max="20" width="10.453125" bestFit="1" customWidth="1"/>
  </cols>
  <sheetData>
    <row r="1" spans="1:19">
      <c r="A1" t="s">
        <v>177</v>
      </c>
      <c r="G1" s="702" t="s">
        <v>246</v>
      </c>
      <c r="H1" s="702"/>
      <c r="I1" s="702"/>
      <c r="J1" s="702"/>
      <c r="K1" s="1033" t="s">
        <v>179</v>
      </c>
      <c r="L1" s="43" t="s">
        <v>180</v>
      </c>
      <c r="M1" s="1033"/>
      <c r="N1" s="76" t="s">
        <v>181</v>
      </c>
    </row>
    <row r="2" spans="1:19">
      <c r="G2" s="1034" t="s">
        <v>262</v>
      </c>
      <c r="H2" s="702"/>
      <c r="I2" s="702"/>
      <c r="J2" s="702"/>
      <c r="K2" s="1032" t="s">
        <v>183</v>
      </c>
      <c r="L2" s="1112" t="s">
        <v>184</v>
      </c>
      <c r="M2" s="1033"/>
    </row>
    <row r="3" spans="1:19">
      <c r="A3" s="76" t="s">
        <v>185</v>
      </c>
      <c r="B3" s="76"/>
      <c r="C3" s="76"/>
      <c r="D3" s="76"/>
      <c r="E3" s="76"/>
      <c r="F3" s="76"/>
      <c r="G3" s="702"/>
      <c r="H3" s="702"/>
      <c r="I3" s="702"/>
      <c r="J3" s="702"/>
      <c r="K3" s="1033"/>
      <c r="L3" s="43"/>
      <c r="M3" s="1033"/>
    </row>
    <row r="4" spans="1:19">
      <c r="B4" t="s">
        <v>186</v>
      </c>
      <c r="G4" s="702"/>
      <c r="H4" s="702"/>
      <c r="I4" s="702"/>
      <c r="J4" s="702"/>
      <c r="K4" s="1033"/>
      <c r="L4" s="43"/>
      <c r="M4" s="1033"/>
    </row>
    <row r="5" spans="1:19">
      <c r="A5" s="76" t="s">
        <v>263</v>
      </c>
      <c r="B5" s="1014" t="s">
        <v>191</v>
      </c>
      <c r="C5" s="1014" t="s">
        <v>192</v>
      </c>
      <c r="D5" s="1014" t="s">
        <v>193</v>
      </c>
      <c r="E5" s="1014" t="s">
        <v>165</v>
      </c>
      <c r="F5" s="1014" t="s">
        <v>167</v>
      </c>
      <c r="G5" s="1014" t="s">
        <v>168</v>
      </c>
      <c r="H5" s="1014" t="s">
        <v>169</v>
      </c>
      <c r="I5" s="1014" t="s">
        <v>170</v>
      </c>
      <c r="J5" s="1014" t="s">
        <v>171</v>
      </c>
      <c r="K5" s="1014" t="s">
        <v>172</v>
      </c>
      <c r="L5" s="1014" t="s">
        <v>173</v>
      </c>
      <c r="M5" s="1014" t="s">
        <v>174</v>
      </c>
      <c r="N5" s="1014"/>
      <c r="P5" s="1761" t="s">
        <v>194</v>
      </c>
      <c r="Q5" s="1761"/>
      <c r="R5" s="1761" t="s">
        <v>195</v>
      </c>
      <c r="S5" s="1761"/>
    </row>
    <row r="6" spans="1:19">
      <c r="A6" s="76" t="s">
        <v>231</v>
      </c>
      <c r="B6" s="1015" t="s">
        <v>196</v>
      </c>
      <c r="C6" s="1015" t="s">
        <v>196</v>
      </c>
      <c r="D6" s="1015" t="s">
        <v>196</v>
      </c>
      <c r="E6" s="1015" t="s">
        <v>196</v>
      </c>
      <c r="F6" s="1015" t="s">
        <v>196</v>
      </c>
      <c r="G6" s="1015" t="s">
        <v>196</v>
      </c>
      <c r="H6" s="1015" t="s">
        <v>196</v>
      </c>
      <c r="I6" s="1015" t="s">
        <v>196</v>
      </c>
      <c r="J6" s="1015" t="s">
        <v>196</v>
      </c>
      <c r="K6" s="1015" t="s">
        <v>196</v>
      </c>
      <c r="L6" s="1015" t="s">
        <v>152</v>
      </c>
      <c r="M6" s="1015" t="s">
        <v>152</v>
      </c>
      <c r="N6" s="1015"/>
      <c r="P6" s="1038" t="s">
        <v>198</v>
      </c>
      <c r="Q6" s="1038" t="s">
        <v>199</v>
      </c>
      <c r="R6" s="1038" t="s">
        <v>200</v>
      </c>
      <c r="S6" s="1038" t="s">
        <v>201</v>
      </c>
    </row>
    <row r="7" spans="1:19">
      <c r="A7" s="3" t="s">
        <v>202</v>
      </c>
      <c r="B7" s="1016">
        <f>'Autumn 24'!F8-'Autumn 23'!B7</f>
        <v>0</v>
      </c>
      <c r="C7" s="1016">
        <f>'Autumn 24'!G8-'Autumn 23'!C7</f>
        <v>0</v>
      </c>
      <c r="D7" s="1016">
        <f>'Autumn 24'!H8-'Autumn 23'!D7</f>
        <v>0</v>
      </c>
      <c r="E7" s="1016">
        <f>'Autumn 24'!I8-'Autumn 23'!E7</f>
        <v>0</v>
      </c>
      <c r="F7" s="1016">
        <f>'Autumn 24'!J8-'Autumn 23'!F7</f>
        <v>0</v>
      </c>
      <c r="G7" s="1016">
        <f>'Autumn 24'!K8-'Autumn 23'!G7</f>
        <v>0</v>
      </c>
      <c r="H7" s="1016">
        <f>'Autumn 24'!L8-'Autumn 23'!H7</f>
        <v>-2.8509999999999991</v>
      </c>
      <c r="I7" s="1016">
        <f>'Autumn 24'!M8-'Autumn 23'!I7</f>
        <v>-2.8509999999999991</v>
      </c>
      <c r="J7" s="1016">
        <f>'Autumn 24'!N8-'Autumn 23'!J7</f>
        <v>-2.8509999999999991</v>
      </c>
      <c r="K7" s="1016">
        <f>'Autumn 24'!O8-'Autumn 23'!K7</f>
        <v>-2.4129999999999825</v>
      </c>
      <c r="L7" s="1016">
        <f>'Autumn 24'!P8-'Autumn 23'!L7</f>
        <v>-1.0699999999999932</v>
      </c>
      <c r="M7" s="1016">
        <f>'Autumn 24'!Q8-'Autumn 23'!M7</f>
        <v>7.249225000000024</v>
      </c>
      <c r="N7" s="1016"/>
      <c r="O7" s="583"/>
      <c r="P7" s="583">
        <f t="shared" ref="P7:Q13" si="0">L7/K7-1</f>
        <v>-0.55656858682138377</v>
      </c>
      <c r="Q7" s="583">
        <f t="shared" si="0"/>
        <v>-7.7749766355140846</v>
      </c>
      <c r="R7" s="51">
        <f t="shared" ref="R7:S13" si="1">L7-K7</f>
        <v>1.3429999999999893</v>
      </c>
      <c r="S7" s="51">
        <f t="shared" si="1"/>
        <v>8.3192250000000172</v>
      </c>
    </row>
    <row r="8" spans="1:19">
      <c r="A8" t="s">
        <v>204</v>
      </c>
      <c r="B8" s="1016">
        <f>'Autumn 24'!F9-'Autumn 23'!B8</f>
        <v>0</v>
      </c>
      <c r="C8" s="1016">
        <f>'Autumn 24'!G9-'Autumn 23'!C8</f>
        <v>0</v>
      </c>
      <c r="D8" s="1016">
        <f>'Autumn 24'!H9-'Autumn 23'!D8</f>
        <v>0</v>
      </c>
      <c r="E8" s="1016">
        <f>'Autumn 24'!I9-'Autumn 23'!E8</f>
        <v>0</v>
      </c>
      <c r="F8" s="1016">
        <f>'Autumn 24'!J9-'Autumn 23'!F8</f>
        <v>0</v>
      </c>
      <c r="G8" s="1016">
        <f>'Autumn 24'!K9-'Autumn 23'!G8</f>
        <v>0</v>
      </c>
      <c r="H8" s="1016">
        <f>'Autumn 24'!L9-'Autumn 23'!H8</f>
        <v>0</v>
      </c>
      <c r="I8" s="1016">
        <f>'Autumn 24'!M9-'Autumn 23'!I8</f>
        <v>0</v>
      </c>
      <c r="J8" s="1016">
        <f>'Autumn 24'!N9-'Autumn 23'!J8</f>
        <v>0</v>
      </c>
      <c r="K8" s="1016">
        <f>'Autumn 24'!O9-'Autumn 23'!K8</f>
        <v>0.48599999999999</v>
      </c>
      <c r="L8" s="1016">
        <f>'Autumn 24'!P9-'Autumn 23'!L8</f>
        <v>3.3269999999999982</v>
      </c>
      <c r="M8" s="1016">
        <f>'Autumn 24'!Q9-'Autumn 23'!M8</f>
        <v>12.929518000000002</v>
      </c>
      <c r="P8" s="583">
        <f t="shared" si="0"/>
        <v>5.8456790123458164</v>
      </c>
      <c r="Q8" s="583">
        <f t="shared" si="0"/>
        <v>2.8862392545837117</v>
      </c>
      <c r="R8" s="51">
        <f t="shared" si="1"/>
        <v>2.8410000000000082</v>
      </c>
      <c r="S8" s="51">
        <f t="shared" si="1"/>
        <v>9.6025180000000034</v>
      </c>
    </row>
    <row r="9" spans="1:19">
      <c r="A9" t="s">
        <v>129</v>
      </c>
      <c r="B9" s="1016">
        <f>'Autumn 24'!F10-'Autumn 23'!B9</f>
        <v>0</v>
      </c>
      <c r="C9" s="1016">
        <f>'Autumn 24'!G10-'Autumn 23'!C9</f>
        <v>0</v>
      </c>
      <c r="D9" s="1016">
        <f>'Autumn 24'!H10-'Autumn 23'!D9</f>
        <v>0</v>
      </c>
      <c r="E9" s="1016">
        <f>'Autumn 24'!I10-'Autumn 23'!E9</f>
        <v>0</v>
      </c>
      <c r="F9" s="1016">
        <f>'Autumn 24'!J10-'Autumn 23'!F9</f>
        <v>0</v>
      </c>
      <c r="G9" s="1016">
        <f>'Autumn 24'!K10-'Autumn 23'!G9</f>
        <v>0</v>
      </c>
      <c r="H9" s="1016">
        <f>'Autumn 24'!L10-'Autumn 23'!H9</f>
        <v>4.7349999999999994</v>
      </c>
      <c r="I9" s="1016">
        <f>'Autumn 24'!M10-'Autumn 23'!I9</f>
        <v>4.9919999999999902</v>
      </c>
      <c r="J9" s="1016">
        <f>'Autumn 24'!N10-'Autumn 23'!J9</f>
        <v>5.6359999999999957</v>
      </c>
      <c r="K9" s="1016">
        <f>'Autumn 24'!O10-'Autumn 23'!K9</f>
        <v>5.8389999999999986</v>
      </c>
      <c r="L9" s="1016">
        <f>'Autumn 24'!P10-'Autumn 23'!L9</f>
        <v>9.8990000000000009</v>
      </c>
      <c r="M9" s="1016">
        <f>'Autumn 24'!Q10-'Autumn 23'!M9</f>
        <v>18.914299999999997</v>
      </c>
      <c r="N9" s="1016"/>
      <c r="P9" s="583">
        <f t="shared" si="0"/>
        <v>0.69532454187360915</v>
      </c>
      <c r="Q9" s="583">
        <f t="shared" si="0"/>
        <v>0.91072835639963579</v>
      </c>
      <c r="R9" s="51">
        <f t="shared" si="1"/>
        <v>4.0600000000000023</v>
      </c>
      <c r="S9" s="51">
        <f t="shared" si="1"/>
        <v>9.0152999999999963</v>
      </c>
    </row>
    <row r="10" spans="1:19">
      <c r="A10" t="s">
        <v>232</v>
      </c>
      <c r="B10" s="1016">
        <f>'Autumn 24'!F12-'Autumn 23'!B10</f>
        <v>0</v>
      </c>
      <c r="C10" s="1016">
        <f>'Autumn 24'!G12-'Autumn 23'!C10</f>
        <v>0</v>
      </c>
      <c r="D10" s="1016">
        <f>'Autumn 24'!H12-'Autumn 23'!D10</f>
        <v>0</v>
      </c>
      <c r="E10" s="1016">
        <f>'Autumn 24'!I12-'Autumn 23'!E10</f>
        <v>0</v>
      </c>
      <c r="F10" s="1016">
        <f>'Autumn 24'!J12-'Autumn 23'!F10</f>
        <v>0</v>
      </c>
      <c r="G10" s="1016">
        <f>'Autumn 24'!K12-'Autumn 23'!G10</f>
        <v>0</v>
      </c>
      <c r="H10" s="1016">
        <f>'Autumn 24'!L12-'Autumn 23'!H10</f>
        <v>-2.851</v>
      </c>
      <c r="I10" s="1016">
        <f>'Autumn 24'!M12-'Autumn 23'!I10</f>
        <v>-2.851</v>
      </c>
      <c r="J10" s="1016">
        <f>'Autumn 24'!N12-'Autumn 23'!J10</f>
        <v>-2.851</v>
      </c>
      <c r="K10" s="1016">
        <f>'Autumn 24'!O12-'Autumn 23'!K10</f>
        <v>-2.851</v>
      </c>
      <c r="L10" s="1016">
        <f>'Autumn 24'!P12-'Autumn 23'!L10</f>
        <v>-2.851</v>
      </c>
      <c r="M10" s="1016">
        <f>'Autumn 24'!Q12-'Autumn 23'!M10</f>
        <v>-0.8859999999999999</v>
      </c>
      <c r="N10" s="1016"/>
      <c r="O10" s="1016"/>
      <c r="P10" s="583">
        <f t="shared" si="0"/>
        <v>0</v>
      </c>
      <c r="Q10" s="583">
        <f t="shared" si="0"/>
        <v>-0.68923184847421959</v>
      </c>
      <c r="R10" s="51">
        <f t="shared" si="1"/>
        <v>0</v>
      </c>
      <c r="S10" s="51">
        <f t="shared" si="1"/>
        <v>1.9650000000000001</v>
      </c>
    </row>
    <row r="11" spans="1:19">
      <c r="A11" t="s">
        <v>212</v>
      </c>
      <c r="B11" s="1016">
        <f>'Autumn 24'!F15-'Autumn 23'!B11</f>
        <v>0</v>
      </c>
      <c r="C11" s="1016">
        <f>'Autumn 24'!G15-'Autumn 23'!C11</f>
        <v>0</v>
      </c>
      <c r="D11" s="1016">
        <f>'Autumn 24'!H15-'Autumn 23'!D11</f>
        <v>0</v>
      </c>
      <c r="E11" s="1016">
        <f>'Autumn 24'!I15-'Autumn 23'!E11</f>
        <v>0</v>
      </c>
      <c r="F11" s="1016">
        <f>'Autumn 24'!J15-'Autumn 23'!F11</f>
        <v>0</v>
      </c>
      <c r="G11" s="1016">
        <f>'Autumn 24'!K15-'Autumn 23'!G11</f>
        <v>0</v>
      </c>
      <c r="H11" s="1016">
        <f>'Autumn 24'!L15-'Autumn 23'!H11</f>
        <v>4.7349999999999994</v>
      </c>
      <c r="I11" s="1016">
        <f>'Autumn 24'!M15-'Autumn 23'!I11</f>
        <v>4.9919999999999902</v>
      </c>
      <c r="J11" s="1016">
        <f>'Autumn 24'!N15-'Autumn 23'!J11</f>
        <v>5.6359999999999957</v>
      </c>
      <c r="K11" s="1016">
        <f>'Autumn 24'!O15-'Autumn 23'!K11</f>
        <v>5.8389999999999986</v>
      </c>
      <c r="L11" s="1016">
        <f>'Autumn 24'!P15-'Autumn 23'!L11</f>
        <v>9.8990000000000009</v>
      </c>
      <c r="M11" s="1016">
        <f>'Autumn 24'!Q15-'Autumn 23'!M11</f>
        <v>16.949299999999994</v>
      </c>
      <c r="N11" s="1016"/>
      <c r="O11" s="1016"/>
      <c r="P11" s="583">
        <f t="shared" si="0"/>
        <v>0.69532454187360915</v>
      </c>
      <c r="Q11" s="583">
        <f t="shared" si="0"/>
        <v>0.71222345691483913</v>
      </c>
      <c r="R11" s="51">
        <f t="shared" si="1"/>
        <v>4.0600000000000023</v>
      </c>
      <c r="S11" s="51">
        <f t="shared" si="1"/>
        <v>7.0502999999999929</v>
      </c>
    </row>
    <row r="12" spans="1:19">
      <c r="A12" t="s">
        <v>234</v>
      </c>
      <c r="B12" s="1016">
        <f>'Autumn 24'!F16-'Autumn 23'!B12</f>
        <v>0</v>
      </c>
      <c r="C12" s="1016">
        <f>'Autumn 24'!G16-'Autumn 23'!C12</f>
        <v>0</v>
      </c>
      <c r="D12" s="1016">
        <f>'Autumn 24'!H16-'Autumn 23'!D12</f>
        <v>0</v>
      </c>
      <c r="E12" s="1016">
        <f>'Autumn 24'!I16-'Autumn 23'!E12</f>
        <v>0</v>
      </c>
      <c r="F12" s="1016">
        <f>'Autumn 24'!J16-'Autumn 23'!F12</f>
        <v>0</v>
      </c>
      <c r="G12" s="1016">
        <f>'Autumn 24'!K16-'Autumn 23'!G12</f>
        <v>0</v>
      </c>
      <c r="H12" s="1016">
        <f>'Autumn 24'!L16-'Autumn 23'!H12</f>
        <v>-4.7349999999999994</v>
      </c>
      <c r="I12" s="1016">
        <f>'Autumn 24'!M16-'Autumn 23'!I12</f>
        <v>-4.9919999999999902</v>
      </c>
      <c r="J12" s="1016">
        <f>'Autumn 24'!N16-'Autumn 23'!J12</f>
        <v>-5.6359999999999957</v>
      </c>
      <c r="K12" s="1016">
        <f>'Autumn 24'!O16-'Autumn 23'!K12</f>
        <v>-5.3530000000000086</v>
      </c>
      <c r="L12" s="1016">
        <f>'Autumn 24'!P16-'Autumn 23'!L12</f>
        <v>-6.5720000000000027</v>
      </c>
      <c r="M12" s="1016">
        <f>'Autumn 24'!Q16-'Autumn 23'!M12</f>
        <v>-5.9847819999999956</v>
      </c>
      <c r="N12" s="1016"/>
      <c r="O12" s="1016"/>
      <c r="P12" s="583">
        <f t="shared" si="0"/>
        <v>0.22772277227722615</v>
      </c>
      <c r="Q12" s="583">
        <f t="shared" si="0"/>
        <v>-8.9351491174681552E-2</v>
      </c>
      <c r="R12" s="51">
        <f t="shared" si="1"/>
        <v>-1.2189999999999941</v>
      </c>
      <c r="S12" s="51">
        <f t="shared" si="1"/>
        <v>0.58721800000000712</v>
      </c>
    </row>
    <row r="13" spans="1:19">
      <c r="A13" t="s">
        <v>214</v>
      </c>
      <c r="B13" s="1016">
        <f>'Autumn 24'!F17-'Autumn 23'!B13</f>
        <v>0</v>
      </c>
      <c r="C13" s="1016">
        <f>'Autumn 24'!G17-'Autumn 23'!C13</f>
        <v>0</v>
      </c>
      <c r="D13" s="1016">
        <f>'Autumn 24'!H17-'Autumn 23'!D13</f>
        <v>0</v>
      </c>
      <c r="E13" s="1016">
        <f>'Autumn 24'!I17-'Autumn 23'!E13</f>
        <v>0</v>
      </c>
      <c r="F13" s="1016">
        <f>'Autumn 24'!J17-'Autumn 23'!F13</f>
        <v>0</v>
      </c>
      <c r="G13" s="1016">
        <f>'Autumn 24'!K17-'Autumn 23'!G13</f>
        <v>0</v>
      </c>
      <c r="H13" s="1016">
        <f>'Autumn 24'!L17-'Autumn 23'!H13</f>
        <v>0</v>
      </c>
      <c r="I13" s="1016">
        <f>'Autumn 24'!M17-'Autumn 23'!I13</f>
        <v>0</v>
      </c>
      <c r="J13" s="1016">
        <f>'Autumn 24'!N17-'Autumn 23'!J13</f>
        <v>0</v>
      </c>
      <c r="K13" s="1016">
        <f>'Autumn 24'!O17-'Autumn 23'!K13</f>
        <v>-4.8000000000000043E-2</v>
      </c>
      <c r="L13" s="1016">
        <f>'Autumn 24'!P17-'Autumn 23'!L13</f>
        <v>-1.5459999999999994</v>
      </c>
      <c r="M13" s="1016">
        <f>'Autumn 24'!Q17-'Autumn 23'!M13</f>
        <v>-0.86429299999999998</v>
      </c>
      <c r="P13" s="583">
        <f t="shared" si="0"/>
        <v>31.208333333333293</v>
      </c>
      <c r="Q13" s="583">
        <f t="shared" si="0"/>
        <v>-0.44094890038809809</v>
      </c>
      <c r="R13" s="51">
        <f t="shared" si="1"/>
        <v>-1.4979999999999993</v>
      </c>
      <c r="S13" s="51">
        <f t="shared" si="1"/>
        <v>0.6817069999999994</v>
      </c>
    </row>
    <row r="14" spans="1:19">
      <c r="G14" s="1016"/>
      <c r="H14" s="1016"/>
      <c r="I14" s="1016"/>
      <c r="J14" s="1016"/>
      <c r="K14" s="1016"/>
      <c r="L14" s="1016"/>
      <c r="M14" s="1016"/>
      <c r="N14" s="1016"/>
      <c r="O14" s="1016"/>
    </row>
    <row r="15" spans="1:19">
      <c r="A15" s="627" t="s">
        <v>225</v>
      </c>
      <c r="B15" s="1036" t="e">
        <f t="shared" ref="B15:M15" si="2">B9/B7</f>
        <v>#DIV/0!</v>
      </c>
      <c r="C15" s="1036" t="e">
        <f t="shared" si="2"/>
        <v>#DIV/0!</v>
      </c>
      <c r="D15" s="1036" t="e">
        <f t="shared" si="2"/>
        <v>#DIV/0!</v>
      </c>
      <c r="E15" s="1036" t="e">
        <f t="shared" si="2"/>
        <v>#DIV/0!</v>
      </c>
      <c r="F15" s="1036" t="e">
        <f t="shared" si="2"/>
        <v>#DIV/0!</v>
      </c>
      <c r="G15" s="1036" t="e">
        <f t="shared" si="2"/>
        <v>#DIV/0!</v>
      </c>
      <c r="H15" s="1036">
        <f t="shared" si="2"/>
        <v>-1.660820764643985</v>
      </c>
      <c r="I15" s="1036">
        <f t="shared" si="2"/>
        <v>-1.7509645738337396</v>
      </c>
      <c r="J15" s="1036">
        <f t="shared" si="2"/>
        <v>-1.9768502279901781</v>
      </c>
      <c r="K15" s="1036">
        <f t="shared" si="2"/>
        <v>-2.4198093659345385</v>
      </c>
      <c r="L15" s="1036">
        <f t="shared" si="2"/>
        <v>-9.2514018691589381</v>
      </c>
      <c r="M15" s="1036">
        <f t="shared" si="2"/>
        <v>2.609147874427947</v>
      </c>
      <c r="N15" s="1036"/>
      <c r="O15" s="1016"/>
    </row>
    <row r="16" spans="1:19">
      <c r="G16" s="1016"/>
      <c r="H16" s="1016"/>
      <c r="I16" s="1016"/>
      <c r="J16" s="1016"/>
      <c r="K16" s="1016"/>
      <c r="L16" s="1016"/>
      <c r="M16" s="1016"/>
      <c r="N16" s="1016"/>
      <c r="O16" s="1016"/>
    </row>
    <row r="17" spans="1:19">
      <c r="B17" s="1017" t="s">
        <v>191</v>
      </c>
      <c r="C17" s="1017" t="s">
        <v>192</v>
      </c>
      <c r="D17" s="1017" t="s">
        <v>193</v>
      </c>
      <c r="E17" s="1017" t="s">
        <v>165</v>
      </c>
      <c r="F17" s="1017" t="s">
        <v>167</v>
      </c>
      <c r="G17" s="1017" t="s">
        <v>168</v>
      </c>
      <c r="H17" s="1017" t="s">
        <v>169</v>
      </c>
      <c r="I17" s="1017" t="s">
        <v>170</v>
      </c>
      <c r="J17" s="1017" t="s">
        <v>171</v>
      </c>
      <c r="K17" s="1017" t="s">
        <v>172</v>
      </c>
      <c r="L17" s="1017" t="s">
        <v>173</v>
      </c>
      <c r="M17" s="1017" t="s">
        <v>174</v>
      </c>
      <c r="N17" s="1017"/>
    </row>
    <row r="18" spans="1:19" ht="15.5">
      <c r="A18" s="76" t="s">
        <v>226</v>
      </c>
      <c r="B18" s="1157">
        <v>91.025000000000006</v>
      </c>
      <c r="C18" s="1157">
        <v>92.125</v>
      </c>
      <c r="D18" s="1157">
        <v>92.8</v>
      </c>
      <c r="E18" s="1157">
        <v>94.9</v>
      </c>
      <c r="F18" s="1157">
        <v>96.375</v>
      </c>
      <c r="G18" s="1157">
        <v>98.4</v>
      </c>
      <c r="H18" s="1157">
        <v>100.72499999999999</v>
      </c>
      <c r="I18" s="1157">
        <v>106.19999999999999</v>
      </c>
      <c r="J18" s="1157">
        <v>105.35</v>
      </c>
      <c r="K18" s="1157">
        <v>112.52500000000001</v>
      </c>
      <c r="L18" s="1157">
        <v>119.88907591807526</v>
      </c>
      <c r="M18" s="1157">
        <v>120.85279824992584</v>
      </c>
      <c r="N18" s="1016" t="s">
        <v>264</v>
      </c>
    </row>
    <row r="19" spans="1:19">
      <c r="A19" t="s">
        <v>228</v>
      </c>
      <c r="L19" s="98"/>
    </row>
    <row r="20" spans="1:19">
      <c r="L20" s="51"/>
    </row>
    <row r="21" spans="1:19">
      <c r="A21" s="76" t="s">
        <v>265</v>
      </c>
      <c r="B21" s="1018" t="s">
        <v>191</v>
      </c>
      <c r="C21" s="1018" t="s">
        <v>192</v>
      </c>
      <c r="D21" s="1018" t="s">
        <v>193</v>
      </c>
      <c r="E21" s="1018" t="s">
        <v>165</v>
      </c>
      <c r="F21" s="1018" t="s">
        <v>167</v>
      </c>
      <c r="G21" s="1018" t="s">
        <v>168</v>
      </c>
      <c r="H21" s="1018" t="s">
        <v>169</v>
      </c>
      <c r="I21" s="1018" t="s">
        <v>170</v>
      </c>
      <c r="J21" s="1018" t="s">
        <v>171</v>
      </c>
      <c r="K21" s="1018" t="s">
        <v>172</v>
      </c>
      <c r="L21" s="1018" t="s">
        <v>173</v>
      </c>
      <c r="M21" s="1018" t="s">
        <v>174</v>
      </c>
      <c r="N21" s="1018"/>
      <c r="P21" s="1037" t="s">
        <v>194</v>
      </c>
      <c r="Q21" s="1037"/>
      <c r="R21" s="1037" t="s">
        <v>195</v>
      </c>
      <c r="S21" s="1037"/>
    </row>
    <row r="22" spans="1:19">
      <c r="A22" s="76" t="s">
        <v>231</v>
      </c>
      <c r="B22" s="1018" t="s">
        <v>196</v>
      </c>
      <c r="C22" s="1018" t="s">
        <v>196</v>
      </c>
      <c r="D22" s="1018" t="s">
        <v>196</v>
      </c>
      <c r="E22" s="1018" t="s">
        <v>196</v>
      </c>
      <c r="F22" s="1018" t="s">
        <v>196</v>
      </c>
      <c r="G22" s="1019" t="s">
        <v>196</v>
      </c>
      <c r="H22" s="1019" t="s">
        <v>196</v>
      </c>
      <c r="I22" s="1019" t="s">
        <v>196</v>
      </c>
      <c r="J22" s="1019" t="s">
        <v>196</v>
      </c>
      <c r="K22" s="1019" t="s">
        <v>196</v>
      </c>
      <c r="L22" s="1019" t="s">
        <v>152</v>
      </c>
      <c r="M22" s="1019" t="s">
        <v>152</v>
      </c>
      <c r="N22" s="1019"/>
      <c r="P22" s="1038" t="s">
        <v>198</v>
      </c>
      <c r="Q22" s="1038" t="s">
        <v>199</v>
      </c>
      <c r="R22" s="1038" t="s">
        <v>200</v>
      </c>
      <c r="S22" s="1038" t="s">
        <v>201</v>
      </c>
    </row>
    <row r="23" spans="1:19">
      <c r="A23" s="3" t="s">
        <v>202</v>
      </c>
      <c r="B23" s="1016">
        <f t="shared" ref="B23:K23" si="3">(B7/B$18)*$L$18</f>
        <v>0</v>
      </c>
      <c r="C23" s="1016">
        <f t="shared" si="3"/>
        <v>0</v>
      </c>
      <c r="D23" s="1016">
        <f t="shared" si="3"/>
        <v>0</v>
      </c>
      <c r="E23" s="1016">
        <f t="shared" si="3"/>
        <v>0</v>
      </c>
      <c r="F23" s="1016">
        <f t="shared" si="3"/>
        <v>0</v>
      </c>
      <c r="G23" s="1016">
        <f t="shared" si="3"/>
        <v>0</v>
      </c>
      <c r="H23" s="1016">
        <f t="shared" si="3"/>
        <v>-3.393435149589799</v>
      </c>
      <c r="I23" s="1016">
        <f t="shared" si="3"/>
        <v>-3.2184911058609464</v>
      </c>
      <c r="J23" s="1016">
        <f t="shared" si="3"/>
        <v>-3.2444589980297338</v>
      </c>
      <c r="K23" s="1016">
        <f t="shared" si="3"/>
        <v>-2.5709161536575293</v>
      </c>
      <c r="L23" s="1016">
        <f t="shared" ref="L23:M29" si="4">(L7/L$18)*$M$18</f>
        <v>-1.078601141406611</v>
      </c>
      <c r="M23" s="1016">
        <f t="shared" si="4"/>
        <v>7.249225000000024</v>
      </c>
      <c r="N23" s="590">
        <f t="shared" ref="N23:N29" si="5">M23/L23-1</f>
        <v>-7.7209506106643468</v>
      </c>
      <c r="O23" s="1016">
        <f>M23-L23</f>
        <v>8.3278261414066357</v>
      </c>
      <c r="P23" s="583">
        <f t="shared" ref="P23:Q29" si="6">L23/K23-1</f>
        <v>-0.58046039740653055</v>
      </c>
      <c r="Q23" s="583">
        <f t="shared" si="6"/>
        <v>-7.7209506106643468</v>
      </c>
      <c r="R23" s="51">
        <f t="shared" ref="R23:S29" si="7">L23-K23</f>
        <v>1.4923150122509183</v>
      </c>
      <c r="S23" s="51">
        <f t="shared" si="7"/>
        <v>8.3278261414066357</v>
      </c>
    </row>
    <row r="24" spans="1:19">
      <c r="A24" t="s">
        <v>204</v>
      </c>
      <c r="B24" s="1016">
        <f t="shared" ref="B24:K24" si="8">(B8/B$18)*$L$18</f>
        <v>0</v>
      </c>
      <c r="C24" s="1016">
        <f t="shared" si="8"/>
        <v>0</v>
      </c>
      <c r="D24" s="1016">
        <f t="shared" si="8"/>
        <v>0</v>
      </c>
      <c r="E24" s="1016">
        <f t="shared" si="8"/>
        <v>0</v>
      </c>
      <c r="F24" s="1016">
        <f t="shared" si="8"/>
        <v>0</v>
      </c>
      <c r="G24" s="1016">
        <f t="shared" si="8"/>
        <v>0</v>
      </c>
      <c r="H24" s="1016">
        <f t="shared" si="8"/>
        <v>0</v>
      </c>
      <c r="I24" s="1016">
        <f t="shared" si="8"/>
        <v>0</v>
      </c>
      <c r="J24" s="1016">
        <f t="shared" si="8"/>
        <v>0</v>
      </c>
      <c r="K24" s="1016">
        <f t="shared" si="8"/>
        <v>0.51780574002384694</v>
      </c>
      <c r="L24" s="1016">
        <f t="shared" si="4"/>
        <v>3.3537439228596413</v>
      </c>
      <c r="M24" s="1016">
        <f t="shared" si="4"/>
        <v>12.929518000000002</v>
      </c>
      <c r="N24" s="590">
        <f t="shared" si="5"/>
        <v>2.8552490283680849</v>
      </c>
      <c r="O24" s="1080"/>
      <c r="P24" s="583">
        <f t="shared" si="6"/>
        <v>5.4768380564981545</v>
      </c>
      <c r="Q24" s="583">
        <f t="shared" si="6"/>
        <v>2.8552490283680849</v>
      </c>
      <c r="R24" s="51">
        <f t="shared" si="7"/>
        <v>2.8359381828357941</v>
      </c>
      <c r="S24" s="51">
        <f t="shared" si="7"/>
        <v>9.5757740771403608</v>
      </c>
    </row>
    <row r="25" spans="1:19">
      <c r="A25" t="s">
        <v>129</v>
      </c>
      <c r="B25" s="1016">
        <f t="shared" ref="B25:K25" si="9">(B9/B$18)*$L$18</f>
        <v>0</v>
      </c>
      <c r="C25" s="1016">
        <f t="shared" si="9"/>
        <v>0</v>
      </c>
      <c r="D25" s="1016">
        <f t="shared" si="9"/>
        <v>0</v>
      </c>
      <c r="E25" s="1016">
        <f t="shared" si="9"/>
        <v>0</v>
      </c>
      <c r="F25" s="1016">
        <f t="shared" si="9"/>
        <v>0</v>
      </c>
      <c r="G25" s="1016">
        <f t="shared" si="9"/>
        <v>0</v>
      </c>
      <c r="H25" s="1016">
        <f t="shared" si="9"/>
        <v>5.635887559911505</v>
      </c>
      <c r="I25" s="1016">
        <f t="shared" si="9"/>
        <v>5.6354639075614932</v>
      </c>
      <c r="J25" s="1016">
        <f t="shared" si="9"/>
        <v>6.4138095099598642</v>
      </c>
      <c r="K25" s="1016">
        <f t="shared" si="9"/>
        <v>6.2211269876528883</v>
      </c>
      <c r="L25" s="1016">
        <f t="shared" si="4"/>
        <v>9.978572615686085</v>
      </c>
      <c r="M25" s="1016">
        <f t="shared" si="4"/>
        <v>18.914299999999997</v>
      </c>
      <c r="N25" s="590">
        <f t="shared" si="5"/>
        <v>0.89549154257465191</v>
      </c>
      <c r="O25" s="1080">
        <f>L9/L7</f>
        <v>-9.2514018691589381</v>
      </c>
      <c r="P25" s="583">
        <f t="shared" si="6"/>
        <v>0.60398150294803887</v>
      </c>
      <c r="Q25" s="583">
        <f t="shared" si="6"/>
        <v>0.89549154257465191</v>
      </c>
      <c r="R25" s="51">
        <f t="shared" si="7"/>
        <v>3.7574456280331967</v>
      </c>
      <c r="S25" s="51">
        <f t="shared" si="7"/>
        <v>8.9357273843139122</v>
      </c>
    </row>
    <row r="26" spans="1:19">
      <c r="A26" t="s">
        <v>232</v>
      </c>
      <c r="B26" s="1016">
        <f t="shared" ref="B26:K26" si="10">(B10/B$18)*$L$18</f>
        <v>0</v>
      </c>
      <c r="C26" s="1016">
        <f t="shared" si="10"/>
        <v>0</v>
      </c>
      <c r="D26" s="1016">
        <f t="shared" si="10"/>
        <v>0</v>
      </c>
      <c r="E26" s="1016">
        <f t="shared" si="10"/>
        <v>0</v>
      </c>
      <c r="F26" s="1016">
        <f t="shared" si="10"/>
        <v>0</v>
      </c>
      <c r="G26" s="1016">
        <f t="shared" si="10"/>
        <v>0</v>
      </c>
      <c r="H26" s="1016">
        <f t="shared" si="10"/>
        <v>-3.3934351495898003</v>
      </c>
      <c r="I26" s="1016">
        <f t="shared" si="10"/>
        <v>-3.2184911058609473</v>
      </c>
      <c r="J26" s="1016">
        <f t="shared" si="10"/>
        <v>-3.2444589980297351</v>
      </c>
      <c r="K26" s="1016">
        <f t="shared" si="10"/>
        <v>-3.037580586024728</v>
      </c>
      <c r="L26" s="1016">
        <f t="shared" si="4"/>
        <v>-2.8739176207011847</v>
      </c>
      <c r="M26" s="1016">
        <f t="shared" si="4"/>
        <v>-0.8859999999999999</v>
      </c>
      <c r="N26" s="590">
        <f>M26/L26-1</f>
        <v>-0.69171002202080112</v>
      </c>
      <c r="O26" s="1016"/>
      <c r="P26" s="583">
        <f t="shared" si="6"/>
        <v>-5.3879382188746661E-2</v>
      </c>
      <c r="Q26" s="583">
        <f t="shared" si="6"/>
        <v>-0.69171002202080112</v>
      </c>
      <c r="R26" s="51">
        <f t="shared" si="7"/>
        <v>0.1636629653235433</v>
      </c>
      <c r="S26" s="51">
        <f t="shared" si="7"/>
        <v>1.9879176207011848</v>
      </c>
    </row>
    <row r="27" spans="1:19">
      <c r="A27" t="s">
        <v>212</v>
      </c>
      <c r="B27" s="1016">
        <f t="shared" ref="B27:K27" si="11">(B11/B$18)*$L$18</f>
        <v>0</v>
      </c>
      <c r="C27" s="1016">
        <f t="shared" si="11"/>
        <v>0</v>
      </c>
      <c r="D27" s="1016">
        <f t="shared" si="11"/>
        <v>0</v>
      </c>
      <c r="E27" s="1016">
        <f t="shared" si="11"/>
        <v>0</v>
      </c>
      <c r="F27" s="1016">
        <f t="shared" si="11"/>
        <v>0</v>
      </c>
      <c r="G27" s="1016">
        <f t="shared" si="11"/>
        <v>0</v>
      </c>
      <c r="H27" s="1016">
        <f t="shared" si="11"/>
        <v>5.635887559911505</v>
      </c>
      <c r="I27" s="1016">
        <f t="shared" si="11"/>
        <v>5.6354639075614932</v>
      </c>
      <c r="J27" s="1016">
        <f t="shared" si="11"/>
        <v>6.4138095099598642</v>
      </c>
      <c r="K27" s="1016">
        <f t="shared" si="11"/>
        <v>6.2211269876528883</v>
      </c>
      <c r="L27" s="1016">
        <f t="shared" si="4"/>
        <v>9.978572615686085</v>
      </c>
      <c r="M27" s="1016">
        <f t="shared" si="4"/>
        <v>16.949299999999994</v>
      </c>
      <c r="N27" s="590">
        <f t="shared" si="5"/>
        <v>0.69856959033961297</v>
      </c>
      <c r="O27" s="1016"/>
      <c r="P27" s="583">
        <f t="shared" si="6"/>
        <v>0.60398150294803887</v>
      </c>
      <c r="Q27" s="583">
        <f t="shared" si="6"/>
        <v>0.69856959033961297</v>
      </c>
      <c r="R27" s="51">
        <f t="shared" si="7"/>
        <v>3.7574456280331967</v>
      </c>
      <c r="S27" s="51">
        <f t="shared" si="7"/>
        <v>6.9707273843139088</v>
      </c>
    </row>
    <row r="28" spans="1:19">
      <c r="A28" t="s">
        <v>234</v>
      </c>
      <c r="B28" s="1016">
        <f t="shared" ref="B28:K28" si="12">(B12/B$18)*$L$18</f>
        <v>0</v>
      </c>
      <c r="C28" s="1016">
        <f t="shared" si="12"/>
        <v>0</v>
      </c>
      <c r="D28" s="1016">
        <f t="shared" si="12"/>
        <v>0</v>
      </c>
      <c r="E28" s="1016">
        <f t="shared" si="12"/>
        <v>0</v>
      </c>
      <c r="F28" s="1016">
        <f t="shared" si="12"/>
        <v>0</v>
      </c>
      <c r="G28" s="1016">
        <f t="shared" si="12"/>
        <v>0</v>
      </c>
      <c r="H28" s="1016">
        <f t="shared" si="12"/>
        <v>-5.635887559911505</v>
      </c>
      <c r="I28" s="1016">
        <f t="shared" si="12"/>
        <v>-5.6354639075614932</v>
      </c>
      <c r="J28" s="1016">
        <f t="shared" si="12"/>
        <v>-6.4138095099598642</v>
      </c>
      <c r="K28" s="1016">
        <f t="shared" si="12"/>
        <v>-5.7033212476290416</v>
      </c>
      <c r="L28" s="1016">
        <f t="shared" si="4"/>
        <v>-6.624828692826445</v>
      </c>
      <c r="M28" s="1016">
        <f t="shared" si="4"/>
        <v>-5.9847819999999956</v>
      </c>
      <c r="N28" s="590">
        <f t="shared" si="5"/>
        <v>-9.6613319755650462E-2</v>
      </c>
      <c r="O28" s="1016"/>
      <c r="P28" s="583">
        <f t="shared" si="6"/>
        <v>0.16157382780787399</v>
      </c>
      <c r="Q28" s="583">
        <f t="shared" si="6"/>
        <v>-9.6613319755650462E-2</v>
      </c>
      <c r="R28" s="51">
        <f t="shared" si="7"/>
        <v>-0.92150744519740346</v>
      </c>
      <c r="S28" s="51">
        <f t="shared" si="7"/>
        <v>0.64004669282644944</v>
      </c>
    </row>
    <row r="29" spans="1:19">
      <c r="A29" t="s">
        <v>214</v>
      </c>
      <c r="B29" s="1016">
        <f t="shared" ref="B29:K29" si="13">(B13/B$18)*$L$18</f>
        <v>0</v>
      </c>
      <c r="C29" s="1016">
        <f t="shared" si="13"/>
        <v>0</v>
      </c>
      <c r="D29" s="1016">
        <f t="shared" si="13"/>
        <v>0</v>
      </c>
      <c r="E29" s="1016">
        <f t="shared" si="13"/>
        <v>0</v>
      </c>
      <c r="F29" s="1016">
        <f t="shared" si="13"/>
        <v>0</v>
      </c>
      <c r="G29" s="1016">
        <f t="shared" si="13"/>
        <v>0</v>
      </c>
      <c r="H29" s="1016">
        <f t="shared" si="13"/>
        <v>0</v>
      </c>
      <c r="I29" s="1016">
        <f t="shared" si="13"/>
        <v>0</v>
      </c>
      <c r="J29" s="1016">
        <f t="shared" si="13"/>
        <v>0</v>
      </c>
      <c r="K29" s="1016">
        <f t="shared" si="13"/>
        <v>-5.1141307656677341E-2</v>
      </c>
      <c r="L29" s="1016">
        <f t="shared" si="4"/>
        <v>-1.5584274435650753</v>
      </c>
      <c r="M29" s="1016">
        <f t="shared" si="4"/>
        <v>-0.86429299999999998</v>
      </c>
      <c r="N29" s="590">
        <f t="shared" si="5"/>
        <v>-0.44540696869221319</v>
      </c>
      <c r="O29" s="583"/>
      <c r="P29" s="583">
        <f t="shared" si="6"/>
        <v>29.472968232004074</v>
      </c>
      <c r="Q29" s="583">
        <f t="shared" si="6"/>
        <v>-0.44540696869221319</v>
      </c>
      <c r="R29" s="51">
        <f t="shared" si="7"/>
        <v>-1.507286135908398</v>
      </c>
      <c r="S29" s="51">
        <f t="shared" si="7"/>
        <v>0.69413444356507537</v>
      </c>
    </row>
    <row r="30" spans="1:19">
      <c r="G30" s="1016"/>
      <c r="L30" s="1016"/>
      <c r="P30" s="583" t="e">
        <f>L30/L32-1</f>
        <v>#DIV/0!</v>
      </c>
      <c r="Q30" s="583"/>
      <c r="R30" s="51">
        <f>L30-L32</f>
        <v>0</v>
      </c>
      <c r="S30" s="51"/>
    </row>
    <row r="31" spans="1:19">
      <c r="B31" s="1762" t="s">
        <v>235</v>
      </c>
      <c r="C31" s="1762"/>
      <c r="D31" s="1762"/>
      <c r="E31" s="1762"/>
      <c r="F31" s="1762"/>
      <c r="G31" s="1762"/>
      <c r="L31" s="51"/>
      <c r="N31" s="51"/>
      <c r="P31" s="78"/>
      <c r="Q31" s="51"/>
    </row>
    <row r="32" spans="1:19">
      <c r="A32" s="76" t="s">
        <v>231</v>
      </c>
      <c r="B32" s="1019" t="s">
        <v>237</v>
      </c>
      <c r="C32" s="1019" t="s">
        <v>238</v>
      </c>
      <c r="D32" s="1019" t="s">
        <v>239</v>
      </c>
      <c r="E32" s="1019" t="s">
        <v>240</v>
      </c>
      <c r="F32" s="1019" t="s">
        <v>241</v>
      </c>
      <c r="G32" s="1019" t="s">
        <v>242</v>
      </c>
      <c r="L32" s="51"/>
      <c r="Q32" s="51"/>
    </row>
    <row r="33" spans="1:21">
      <c r="A33" s="3" t="s">
        <v>202</v>
      </c>
      <c r="B33" s="583" t="e">
        <f>(K23/G23)^(1/COUNTA(H23:K23))-1</f>
        <v>#DIV/0!</v>
      </c>
      <c r="C33" s="583" t="e">
        <f>(L23/G23)^(1/COUNTA(H23:L23))-1</f>
        <v>#DIV/0!</v>
      </c>
      <c r="D33" s="583" t="e">
        <f>(M23/G23)^(1/COUNTA(H23:M23))-1</f>
        <v>#DIV/0!</v>
      </c>
      <c r="E33" s="1022">
        <f>(K23/H23)^(1/COUNTA(I23:K23))-1</f>
        <v>-8.8375224367905791E-2</v>
      </c>
      <c r="F33" s="583">
        <f>(L23/H23)^(1/COUNTA(I23:L23))-1</f>
        <v>-0.24914629102108665</v>
      </c>
      <c r="G33" s="1022">
        <f>(M23/H23)^(1/COUNTA(I23:M23))-1</f>
        <v>-2.1639394952834881</v>
      </c>
      <c r="Q33" s="51"/>
    </row>
    <row r="34" spans="1:21">
      <c r="A34" t="s">
        <v>204</v>
      </c>
      <c r="B34" s="583" t="e">
        <f>(K24/G24)^(1/COUNTA(H24:K24))-1</f>
        <v>#DIV/0!</v>
      </c>
      <c r="C34" s="583" t="e">
        <f>(L24/G24)^(1/COUNTA(H24:L24))-1</f>
        <v>#DIV/0!</v>
      </c>
      <c r="D34" s="583" t="e">
        <f>(M24/G24)^(1/COUNTA(H24:M24))-1</f>
        <v>#DIV/0!</v>
      </c>
      <c r="E34" s="583" t="e">
        <f>(K24/H24)^(1/COUNTA(I24:K24))-1</f>
        <v>#DIV/0!</v>
      </c>
      <c r="F34" s="583" t="e">
        <f>(L24/H24)^(1/COUNTA(I24:L24))-1</f>
        <v>#DIV/0!</v>
      </c>
      <c r="G34" s="583" t="e">
        <f>(M24/H24)^(1/COUNTA(I24:M24))-1</f>
        <v>#DIV/0!</v>
      </c>
    </row>
    <row r="35" spans="1:21">
      <c r="A35" t="s">
        <v>129</v>
      </c>
      <c r="B35" s="583" t="s">
        <v>243</v>
      </c>
      <c r="C35" s="583" t="s">
        <v>243</v>
      </c>
      <c r="D35" s="583" t="s">
        <v>243</v>
      </c>
      <c r="E35" s="583">
        <f>(K25/H25)^(1/COUNTA(I25:K25))-1</f>
        <v>3.3480409897834074E-2</v>
      </c>
      <c r="F35" s="583">
        <f>(L25/H25)^(1/COUNTA(I25:L25))-1</f>
        <v>0.15352370973974705</v>
      </c>
      <c r="G35" s="1022">
        <f>(M25/H25)^(1/COUNTA(I25:M25))-1</f>
        <v>0.27398874310857524</v>
      </c>
    </row>
    <row r="36" spans="1:21">
      <c r="A36" t="s">
        <v>232</v>
      </c>
      <c r="B36" s="583" t="s">
        <v>243</v>
      </c>
      <c r="C36" s="583" t="s">
        <v>243</v>
      </c>
      <c r="D36" s="583" t="s">
        <v>243</v>
      </c>
      <c r="E36" s="583" t="s">
        <v>243</v>
      </c>
      <c r="F36" s="583" t="s">
        <v>243</v>
      </c>
      <c r="G36" s="583" t="s">
        <v>243</v>
      </c>
      <c r="P36" s="51"/>
      <c r="Q36" s="51"/>
      <c r="R36" s="51"/>
    </row>
    <row r="37" spans="1:21">
      <c r="A37" t="s">
        <v>212</v>
      </c>
      <c r="B37" s="583" t="e">
        <f>(K27/G27)^(1/COUNTA(H27:K27))-1</f>
        <v>#DIV/0!</v>
      </c>
      <c r="C37" s="1022" t="e">
        <f>(L27/G27)^(1/COUNTA(H27:L27))-1</f>
        <v>#DIV/0!</v>
      </c>
      <c r="D37" s="583" t="e">
        <f>(M27/G27)^(1/COUNTA(H27:M27))-1</f>
        <v>#DIV/0!</v>
      </c>
      <c r="E37" s="583">
        <f>(K27/H27)^(1/COUNTA(I27:K27))-1</f>
        <v>3.3480409897834074E-2</v>
      </c>
      <c r="F37" s="583">
        <f>(L27/H27)^(1/COUNTA(I27:L27))-1</f>
        <v>0.15352370973974705</v>
      </c>
      <c r="G37" s="583">
        <f>(M27/H27)^(1/COUNTA(I27:M27))-1</f>
        <v>0.24634389104326182</v>
      </c>
      <c r="L37" s="172"/>
      <c r="P37" s="51"/>
      <c r="Q37" s="51"/>
      <c r="R37" s="51"/>
    </row>
    <row r="38" spans="1:21">
      <c r="A38" t="s">
        <v>234</v>
      </c>
      <c r="B38" s="583" t="e">
        <f>(K28/G28)^(1/COUNTA(H28:K28))-1</f>
        <v>#DIV/0!</v>
      </c>
      <c r="C38" s="583" t="e">
        <f>(L28/G28)^(1/COUNTA(H28:L28))-1</f>
        <v>#DIV/0!</v>
      </c>
      <c r="D38" s="583" t="e">
        <f>(M28/G28)^(1/COUNTA(H28:M28))-1</f>
        <v>#DIV/0!</v>
      </c>
      <c r="E38" s="583">
        <f>(K28/H28)^(1/COUNTA(I28:K28))-1</f>
        <v>3.9725486267807586E-3</v>
      </c>
      <c r="F38" s="583">
        <f>(L28/H28)^(1/COUNTA(I28:L28))-1</f>
        <v>4.1245369663536646E-2</v>
      </c>
      <c r="G38" s="583">
        <f>(M28/H28)^(1/COUNTA(I28:M28))-1</f>
        <v>1.2085500635033775E-2</v>
      </c>
      <c r="P38" s="51"/>
      <c r="Q38" s="51"/>
      <c r="R38" s="51"/>
    </row>
    <row r="39" spans="1:21">
      <c r="A39" t="s">
        <v>214</v>
      </c>
      <c r="B39" s="583" t="e">
        <f>(K29/G29)^(1/COUNTA(H29:K29))-1</f>
        <v>#DIV/0!</v>
      </c>
      <c r="C39" s="583" t="e">
        <f>(L29/G29)^(1/COUNTA(H29:L29))-1</f>
        <v>#DIV/0!</v>
      </c>
      <c r="D39" s="583" t="e">
        <f>(M29/G29)^(1/COUNTA(H29:M29))-1</f>
        <v>#DIV/0!</v>
      </c>
      <c r="E39" s="583" t="e">
        <f>(K29/H29)^(1/COUNTA(I29:K29))-1</f>
        <v>#DIV/0!</v>
      </c>
      <c r="F39" s="583" t="e">
        <f>(L29/H29)^(1/COUNTA(I29:L29))-1</f>
        <v>#DIV/0!</v>
      </c>
      <c r="G39" s="583" t="e">
        <f>(M29/H29)^(1/COUNTA(I29:M29))-1</f>
        <v>#DIV/0!</v>
      </c>
      <c r="P39" s="51"/>
      <c r="Q39" s="51"/>
      <c r="R39" s="51"/>
    </row>
    <row r="40" spans="1:21">
      <c r="P40" s="51"/>
      <c r="Q40" s="51"/>
      <c r="R40" s="51"/>
    </row>
    <row r="41" spans="1:21">
      <c r="A41" s="1040" t="s">
        <v>244</v>
      </c>
      <c r="B41" s="1040" t="s">
        <v>245</v>
      </c>
      <c r="C41" s="1040" t="s">
        <v>192</v>
      </c>
      <c r="D41" s="1040" t="s">
        <v>193</v>
      </c>
      <c r="E41" s="1040" t="s">
        <v>165</v>
      </c>
      <c r="F41" s="1040" t="s">
        <v>167</v>
      </c>
      <c r="G41" s="1040" t="s">
        <v>168</v>
      </c>
      <c r="H41" s="1040" t="s">
        <v>169</v>
      </c>
      <c r="I41" s="1040" t="s">
        <v>170</v>
      </c>
      <c r="J41" s="1040" t="s">
        <v>171</v>
      </c>
      <c r="K41" s="1040" t="s">
        <v>172</v>
      </c>
      <c r="L41" s="1040" t="s">
        <v>173</v>
      </c>
      <c r="M41" s="1040" t="s">
        <v>174</v>
      </c>
      <c r="N41" s="1040"/>
      <c r="P41" s="51"/>
      <c r="Q41" s="51"/>
      <c r="R41" s="51"/>
    </row>
    <row r="42" spans="1:21">
      <c r="A42" t="s">
        <v>212</v>
      </c>
      <c r="B42" s="51">
        <f t="shared" ref="B42:M42" si="14">B11</f>
        <v>0</v>
      </c>
      <c r="C42" s="51">
        <f t="shared" si="14"/>
        <v>0</v>
      </c>
      <c r="D42" s="51">
        <f t="shared" si="14"/>
        <v>0</v>
      </c>
      <c r="E42" s="51">
        <f t="shared" si="14"/>
        <v>0</v>
      </c>
      <c r="F42" s="51">
        <f t="shared" si="14"/>
        <v>0</v>
      </c>
      <c r="G42" s="51">
        <f t="shared" si="14"/>
        <v>0</v>
      </c>
      <c r="H42" s="51">
        <f t="shared" si="14"/>
        <v>4.7349999999999994</v>
      </c>
      <c r="I42" s="51">
        <f t="shared" si="14"/>
        <v>4.9919999999999902</v>
      </c>
      <c r="J42" s="51">
        <f t="shared" si="14"/>
        <v>5.6359999999999957</v>
      </c>
      <c r="K42" s="51">
        <f t="shared" si="14"/>
        <v>5.8389999999999986</v>
      </c>
      <c r="L42" s="51">
        <f t="shared" si="14"/>
        <v>9.8990000000000009</v>
      </c>
      <c r="M42" s="51">
        <f t="shared" si="14"/>
        <v>16.949299999999994</v>
      </c>
      <c r="N42" s="51"/>
      <c r="P42" s="51"/>
      <c r="Q42" s="51"/>
      <c r="R42" s="51"/>
    </row>
    <row r="43" spans="1:21">
      <c r="A43" t="s">
        <v>266</v>
      </c>
      <c r="G43" s="96">
        <f>G48-G47</f>
        <v>1.8999999999999915</v>
      </c>
      <c r="H43" s="96">
        <f>H48-H47</f>
        <v>2.0999999999999943</v>
      </c>
      <c r="I43" s="96">
        <f>I48-I47</f>
        <v>2.4000000000000057</v>
      </c>
      <c r="J43" s="96">
        <f>J48-J47</f>
        <v>2.7000000000000171</v>
      </c>
      <c r="K43" s="96">
        <v>3.3</v>
      </c>
      <c r="L43" s="96">
        <v>3.3</v>
      </c>
      <c r="M43" s="96">
        <v>3.4</v>
      </c>
      <c r="N43" s="96"/>
      <c r="P43" s="51"/>
      <c r="Q43" s="51"/>
      <c r="R43" s="51"/>
      <c r="U43" s="78"/>
    </row>
    <row r="44" spans="1:21">
      <c r="A44" t="s">
        <v>267</v>
      </c>
      <c r="B44" s="1039">
        <f>C44/(1+$U$43)</f>
        <v>1.8999999999999915</v>
      </c>
      <c r="C44" s="1039">
        <f>D44/(1+$U$43)</f>
        <v>1.8999999999999915</v>
      </c>
      <c r="D44" s="1039">
        <f>E44/(1+$U$43)</f>
        <v>1.8999999999999915</v>
      </c>
      <c r="E44" s="1039">
        <f>F44/(1+$U$43)</f>
        <v>1.8999999999999915</v>
      </c>
      <c r="F44" s="1039">
        <f>G43/(1+$U$43)</f>
        <v>1.8999999999999915</v>
      </c>
      <c r="G44" s="96">
        <f t="shared" ref="G44:M44" si="15">G43</f>
        <v>1.8999999999999915</v>
      </c>
      <c r="H44" s="96">
        <f t="shared" si="15"/>
        <v>2.0999999999999943</v>
      </c>
      <c r="I44" s="96">
        <f t="shared" si="15"/>
        <v>2.4000000000000057</v>
      </c>
      <c r="J44" s="96">
        <f t="shared" si="15"/>
        <v>2.7000000000000171</v>
      </c>
      <c r="K44" s="96">
        <f t="shared" si="15"/>
        <v>3.3</v>
      </c>
      <c r="L44" s="96">
        <f t="shared" si="15"/>
        <v>3.3</v>
      </c>
      <c r="M44" s="96">
        <f t="shared" si="15"/>
        <v>3.4</v>
      </c>
      <c r="N44" s="96"/>
      <c r="P44" s="51"/>
      <c r="Q44" s="51"/>
      <c r="R44" s="51"/>
      <c r="U44" s="78"/>
    </row>
    <row r="45" spans="1:21">
      <c r="A45" t="s">
        <v>249</v>
      </c>
      <c r="B45" s="1035">
        <f>B42-B44</f>
        <v>-1.8999999999999915</v>
      </c>
      <c r="C45" s="1035">
        <f>C42-C44</f>
        <v>-1.8999999999999915</v>
      </c>
      <c r="D45" s="1035">
        <f>D42-D44</f>
        <v>-1.8999999999999915</v>
      </c>
      <c r="E45" s="1035">
        <f>E42-E44</f>
        <v>-1.8999999999999915</v>
      </c>
      <c r="F45" s="1035">
        <f>F42-F44</f>
        <v>-1.8999999999999915</v>
      </c>
      <c r="G45" s="96">
        <f t="shared" ref="G45:M45" si="16">G42</f>
        <v>0</v>
      </c>
      <c r="H45" s="96">
        <f t="shared" si="16"/>
        <v>4.7349999999999994</v>
      </c>
      <c r="I45" s="96">
        <f t="shared" si="16"/>
        <v>4.9919999999999902</v>
      </c>
      <c r="J45" s="96">
        <f t="shared" si="16"/>
        <v>5.6359999999999957</v>
      </c>
      <c r="K45" s="96">
        <f t="shared" si="16"/>
        <v>5.8389999999999986</v>
      </c>
      <c r="L45" s="96">
        <f t="shared" si="16"/>
        <v>9.8990000000000009</v>
      </c>
      <c r="M45" s="96">
        <f t="shared" si="16"/>
        <v>16.949299999999994</v>
      </c>
      <c r="N45" s="96"/>
      <c r="P45" s="51"/>
      <c r="Q45" s="51"/>
      <c r="R45" s="51"/>
      <c r="U45" s="78"/>
    </row>
    <row r="46" spans="1:21">
      <c r="A46" t="s">
        <v>250</v>
      </c>
      <c r="B46" s="96">
        <f>B42</f>
        <v>0</v>
      </c>
      <c r="C46" s="96">
        <f>C42</f>
        <v>0</v>
      </c>
      <c r="D46" s="96">
        <f>D42</f>
        <v>0</v>
      </c>
      <c r="E46" s="96">
        <f>E42</f>
        <v>0</v>
      </c>
      <c r="F46" s="96">
        <f>F42</f>
        <v>0</v>
      </c>
      <c r="G46" s="1035">
        <f t="shared" ref="G46:M46" si="17">G42+G44</f>
        <v>1.8999999999999915</v>
      </c>
      <c r="H46" s="1035">
        <f t="shared" si="17"/>
        <v>6.8349999999999937</v>
      </c>
      <c r="I46" s="1035">
        <f t="shared" si="17"/>
        <v>7.3919999999999959</v>
      </c>
      <c r="J46" s="1035">
        <f t="shared" si="17"/>
        <v>8.3360000000000127</v>
      </c>
      <c r="K46" s="1035">
        <f>K42+K44</f>
        <v>9.1389999999999993</v>
      </c>
      <c r="L46" s="1035">
        <f t="shared" si="17"/>
        <v>13.199000000000002</v>
      </c>
      <c r="M46" s="1035">
        <f t="shared" si="17"/>
        <v>20.349299999999992</v>
      </c>
      <c r="N46" s="1035" t="s">
        <v>268</v>
      </c>
      <c r="P46" s="51"/>
      <c r="Q46" s="51"/>
      <c r="R46" s="51"/>
      <c r="U46" s="78"/>
    </row>
    <row r="47" spans="1:21">
      <c r="A47" t="s">
        <v>246</v>
      </c>
      <c r="G47">
        <v>112.4</v>
      </c>
      <c r="H47">
        <v>121.7</v>
      </c>
      <c r="I47">
        <v>141</v>
      </c>
      <c r="J47">
        <v>146.69999999999999</v>
      </c>
      <c r="P47" s="51"/>
      <c r="Q47" s="51"/>
      <c r="R47" s="51"/>
    </row>
    <row r="48" spans="1:21">
      <c r="A48" t="s">
        <v>269</v>
      </c>
      <c r="G48">
        <v>114.3</v>
      </c>
      <c r="H48">
        <v>123.8</v>
      </c>
      <c r="I48">
        <v>143.4</v>
      </c>
      <c r="J48">
        <v>149.4</v>
      </c>
    </row>
    <row r="50" spans="1:14">
      <c r="B50" s="1017" t="s">
        <v>245</v>
      </c>
      <c r="C50" s="1017" t="s">
        <v>192</v>
      </c>
      <c r="D50" s="1017" t="s">
        <v>193</v>
      </c>
      <c r="E50" s="1017" t="s">
        <v>165</v>
      </c>
      <c r="F50" s="1017" t="s">
        <v>167</v>
      </c>
      <c r="G50" s="1017" t="s">
        <v>168</v>
      </c>
      <c r="H50" s="1017" t="s">
        <v>169</v>
      </c>
      <c r="I50" s="1017" t="s">
        <v>170</v>
      </c>
      <c r="J50" s="1017" t="s">
        <v>171</v>
      </c>
      <c r="K50" s="1017" t="s">
        <v>172</v>
      </c>
      <c r="L50" s="1017" t="s">
        <v>173</v>
      </c>
      <c r="M50" s="1017" t="s">
        <v>174</v>
      </c>
      <c r="N50" s="1017"/>
    </row>
    <row r="51" spans="1:14">
      <c r="A51" s="76" t="s">
        <v>226</v>
      </c>
      <c r="B51">
        <v>91.025000000000006</v>
      </c>
      <c r="C51">
        <v>92.125</v>
      </c>
      <c r="D51">
        <v>92.8</v>
      </c>
      <c r="E51">
        <v>94.9</v>
      </c>
      <c r="F51">
        <v>96.375</v>
      </c>
      <c r="G51" s="1016">
        <v>98.4</v>
      </c>
      <c r="H51" s="1016">
        <v>100.72499999999999</v>
      </c>
      <c r="I51" s="1016">
        <v>106.19999999999999</v>
      </c>
      <c r="J51" s="1016">
        <v>105.375</v>
      </c>
      <c r="K51" s="1016">
        <v>112.4</v>
      </c>
      <c r="L51" s="1016">
        <v>119.2549027044208</v>
      </c>
      <c r="M51" s="1016">
        <v>121.25506271536932</v>
      </c>
      <c r="N51" s="1016"/>
    </row>
    <row r="52" spans="1:14">
      <c r="B52" s="583"/>
      <c r="C52" s="583"/>
      <c r="D52" s="583"/>
    </row>
    <row r="53" spans="1:14">
      <c r="A53" s="1040" t="s">
        <v>251</v>
      </c>
      <c r="B53" s="1040" t="s">
        <v>245</v>
      </c>
      <c r="C53" s="1040" t="s">
        <v>192</v>
      </c>
      <c r="D53" s="1040" t="s">
        <v>193</v>
      </c>
      <c r="E53" s="1040" t="s">
        <v>165</v>
      </c>
      <c r="F53" s="1040" t="s">
        <v>167</v>
      </c>
      <c r="G53" s="1040" t="s">
        <v>168</v>
      </c>
      <c r="H53" s="1040" t="s">
        <v>169</v>
      </c>
      <c r="I53" s="1040" t="s">
        <v>170</v>
      </c>
      <c r="J53" s="1040" t="s">
        <v>171</v>
      </c>
      <c r="K53" s="1040" t="s">
        <v>172</v>
      </c>
      <c r="L53" s="1040" t="s">
        <v>173</v>
      </c>
      <c r="M53" s="1040" t="s">
        <v>174</v>
      </c>
      <c r="N53" s="1040"/>
    </row>
    <row r="54" spans="1:14">
      <c r="A54" t="s">
        <v>249</v>
      </c>
      <c r="B54" s="51">
        <f t="shared" ref="B54:M54" si="18">(B45/B51)*$L51</f>
        <v>-2.4892536680955617</v>
      </c>
      <c r="C54" s="51">
        <f t="shared" si="18"/>
        <v>-2.4595312362377042</v>
      </c>
      <c r="D54" s="51">
        <f t="shared" si="18"/>
        <v>-2.4416413269223978</v>
      </c>
      <c r="E54" s="51">
        <f t="shared" si="18"/>
        <v>-2.3876113291717438</v>
      </c>
      <c r="F54" s="51">
        <f t="shared" si="18"/>
        <v>-2.3510694177784539</v>
      </c>
      <c r="G54" s="51">
        <f t="shared" si="18"/>
        <v>0</v>
      </c>
      <c r="H54" s="51">
        <f t="shared" si="18"/>
        <v>5.6060755949906422</v>
      </c>
      <c r="I54" s="51">
        <f t="shared" si="18"/>
        <v>5.6056541836202216</v>
      </c>
      <c r="J54" s="51">
        <f t="shared" si="18"/>
        <v>6.3783689835550659</v>
      </c>
      <c r="K54" s="51">
        <f t="shared" si="18"/>
        <v>6.1951012178924634</v>
      </c>
      <c r="L54" s="51">
        <f t="shared" si="18"/>
        <v>9.8990000000000009</v>
      </c>
      <c r="M54" s="51">
        <f t="shared" si="18"/>
        <v>16.669713223873799</v>
      </c>
      <c r="N54" s="51"/>
    </row>
    <row r="55" spans="1:14">
      <c r="A55" t="s">
        <v>250</v>
      </c>
      <c r="B55" s="51">
        <f t="shared" ref="B55:M55" si="19">(B46/B51)*$L51</f>
        <v>0</v>
      </c>
      <c r="C55" s="51">
        <f t="shared" si="19"/>
        <v>0</v>
      </c>
      <c r="D55" s="51">
        <f t="shared" si="19"/>
        <v>0</v>
      </c>
      <c r="E55" s="51">
        <f t="shared" si="19"/>
        <v>0</v>
      </c>
      <c r="F55" s="51">
        <f t="shared" si="19"/>
        <v>0</v>
      </c>
      <c r="G55" s="51">
        <f t="shared" si="19"/>
        <v>2.3026861294552692</v>
      </c>
      <c r="H55" s="51">
        <f t="shared" si="19"/>
        <v>8.0924026804141533</v>
      </c>
      <c r="I55" s="51">
        <f t="shared" si="19"/>
        <v>8.3006802334376459</v>
      </c>
      <c r="J55" s="51">
        <f t="shared" si="19"/>
        <v>9.4340106186861519</v>
      </c>
      <c r="K55" s="51">
        <f t="shared" si="19"/>
        <v>9.6963572581468114</v>
      </c>
      <c r="L55" s="51">
        <f t="shared" si="19"/>
        <v>13.199000000000002</v>
      </c>
      <c r="M55" s="51">
        <f t="shared" si="19"/>
        <v>20.01362860451907</v>
      </c>
      <c r="N55" s="51"/>
    </row>
    <row r="56" spans="1:14">
      <c r="L56" s="51"/>
    </row>
    <row r="57" spans="1:14">
      <c r="L57" s="51">
        <f>K54-L54</f>
        <v>-3.7038987821075375</v>
      </c>
      <c r="M57" s="51">
        <f>L54-M54</f>
        <v>-6.7707132238737984</v>
      </c>
    </row>
    <row r="58" spans="1:14">
      <c r="L58" s="51">
        <f>K55-L55</f>
        <v>-3.5026427418531902</v>
      </c>
    </row>
    <row r="59" spans="1:14">
      <c r="L59" s="51"/>
    </row>
  </sheetData>
  <mergeCells count="3">
    <mergeCell ref="P5:Q5"/>
    <mergeCell ref="R5:S5"/>
    <mergeCell ref="B31:G31"/>
  </mergeCells>
  <hyperlinks>
    <hyperlink ref="L2" r:id="rId1" location=":~:text=The%20Supplementary%20Estimates%2C%20presented%20to,for%20any%20necessary%20new%20services." xr:uid="{95919216-B2C4-4A10-9FBA-97DD5C005EAF}"/>
  </hyperlinks>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57D64-D100-4C56-AD97-E8E17CB4D272}">
  <sheetPr>
    <tabColor rgb="FFFF9999"/>
  </sheetPr>
  <dimension ref="B2:Z59"/>
  <sheetViews>
    <sheetView topLeftCell="E1" zoomScaleNormal="100" workbookViewId="0">
      <selection activeCell="N24" sqref="N24"/>
    </sheetView>
  </sheetViews>
  <sheetFormatPr defaultRowHeight="14.5"/>
  <cols>
    <col min="2" max="2" width="15.26953125" bestFit="1" customWidth="1"/>
    <col min="4" max="6" width="9.54296875" bestFit="1" customWidth="1"/>
    <col min="8" max="8" width="24" bestFit="1" customWidth="1"/>
    <col min="14" max="14" width="10.453125" bestFit="1" customWidth="1"/>
    <col min="19" max="19" width="11.54296875" bestFit="1" customWidth="1"/>
    <col min="20" max="20" width="16.1796875" bestFit="1" customWidth="1"/>
    <col min="21" max="22" width="13.54296875" bestFit="1" customWidth="1"/>
    <col min="23" max="23" width="19" bestFit="1" customWidth="1"/>
    <col min="24" max="24" width="20.453125" bestFit="1" customWidth="1"/>
  </cols>
  <sheetData>
    <row r="2" spans="2:24">
      <c r="B2" s="1702"/>
      <c r="C2" s="1702"/>
      <c r="D2" s="1702" t="s">
        <v>274</v>
      </c>
      <c r="E2" s="1702" t="s">
        <v>275</v>
      </c>
      <c r="F2" s="1702" t="s">
        <v>276</v>
      </c>
      <c r="H2" s="1702"/>
      <c r="I2" s="1702"/>
      <c r="J2" s="1702" t="s">
        <v>274</v>
      </c>
      <c r="K2" s="1702" t="s">
        <v>275</v>
      </c>
      <c r="L2" s="1702" t="s">
        <v>276</v>
      </c>
      <c r="P2" s="1702" t="s">
        <v>274</v>
      </c>
      <c r="Q2" s="1702" t="s">
        <v>275</v>
      </c>
      <c r="R2" s="1702" t="s">
        <v>276</v>
      </c>
      <c r="U2" s="1702" t="s">
        <v>277</v>
      </c>
      <c r="V2" s="1702" t="s">
        <v>278</v>
      </c>
      <c r="W2" s="1702" t="s">
        <v>279</v>
      </c>
    </row>
    <row r="3" spans="2:24">
      <c r="B3" s="1764" t="s">
        <v>280</v>
      </c>
      <c r="C3" s="1702" t="s">
        <v>281</v>
      </c>
      <c r="D3" s="1703">
        <f>'Autumn 24'!P9</f>
        <v>177.92699999999999</v>
      </c>
      <c r="E3" s="1703">
        <f>'Autumn 24'!Q9</f>
        <v>190.12951799999999</v>
      </c>
      <c r="F3" s="1703">
        <f>'Autumn 24'!R9</f>
        <v>200.49934437966382</v>
      </c>
      <c r="H3" s="1764" t="s">
        <v>282</v>
      </c>
      <c r="I3" s="1702" t="s">
        <v>281</v>
      </c>
      <c r="J3" s="1703">
        <f>'Autumn 24'!P14</f>
        <v>175.07599999999999</v>
      </c>
      <c r="K3" s="1703">
        <f>'Autumn 24'!Q14</f>
        <v>185.31351799999999</v>
      </c>
      <c r="L3" s="1703">
        <f>'Autumn 24'!R14</f>
        <v>195.68334437966382</v>
      </c>
      <c r="N3" s="1764" t="s">
        <v>283</v>
      </c>
      <c r="O3" s="1702" t="s">
        <v>281</v>
      </c>
      <c r="P3" s="1703">
        <f ca="1">J3*($E$25/D$25)</f>
        <v>179.23347038091359</v>
      </c>
      <c r="Q3" s="1703">
        <f t="shared" ref="Q3:R5" ca="1" si="0">K3*($E$25/E$25)</f>
        <v>185.31351799999999</v>
      </c>
      <c r="R3" s="1703">
        <f ca="1">L3*($E$25/F$25)</f>
        <v>191.12320618860363</v>
      </c>
      <c r="S3" s="51"/>
      <c r="T3" s="1764" t="s">
        <v>284</v>
      </c>
      <c r="U3" s="1704">
        <f ca="1">Q3/P3-1</f>
        <v>3.3922501227950708E-2</v>
      </c>
      <c r="V3" s="1704">
        <f ca="1">R3/Q3-1</f>
        <v>3.1350590347130725E-2</v>
      </c>
      <c r="W3" s="1704">
        <f ca="1">(R3/P3)^(1/2)-1</f>
        <v>3.2635745078887446E-2</v>
      </c>
    </row>
    <row r="4" spans="2:24">
      <c r="B4" s="1764"/>
      <c r="C4" s="1702" t="s">
        <v>285</v>
      </c>
      <c r="D4" s="1703">
        <f>'Autumn 24'!P10</f>
        <v>170.999</v>
      </c>
      <c r="E4" s="1703">
        <f>'Autumn 24'!Q10</f>
        <v>181.4143</v>
      </c>
      <c r="F4" s="1703">
        <f>'Autumn 24'!R10</f>
        <v>191.955378695077</v>
      </c>
      <c r="H4" s="1764"/>
      <c r="I4" s="1702" t="s">
        <v>285</v>
      </c>
      <c r="J4" s="1703">
        <f>'Autumn 24'!P15</f>
        <v>168.148</v>
      </c>
      <c r="K4" s="1703">
        <f>'Autumn 24'!Q15</f>
        <v>176.59829999999999</v>
      </c>
      <c r="L4" s="1703">
        <f>'Autumn 24'!R15</f>
        <v>187.139378695077</v>
      </c>
      <c r="N4" s="1764"/>
      <c r="O4" s="1702" t="s">
        <v>285</v>
      </c>
      <c r="P4" s="1703">
        <f t="shared" ref="P4:P5" ca="1" si="1">J4*($E$25/D$25)</f>
        <v>172.14095351510122</v>
      </c>
      <c r="Q4" s="1703">
        <f t="shared" ca="1" si="0"/>
        <v>176.59829999999999</v>
      </c>
      <c r="R4" s="1703">
        <f t="shared" ca="1" si="0"/>
        <v>182.77834617826264</v>
      </c>
      <c r="S4" s="51"/>
      <c r="T4" s="1764"/>
      <c r="U4" s="1704">
        <f t="shared" ref="U4:U5" ca="1" si="2">Q4/P4-1</f>
        <v>2.5893585424503707E-2</v>
      </c>
      <c r="V4" s="1704">
        <f t="shared" ref="V4:V5" ca="1" si="3">R4/Q4-1</f>
        <v>3.499493584175295E-2</v>
      </c>
      <c r="W4" s="1704">
        <f ca="1">(R4/P4)^(1/2)-1</f>
        <v>3.0434212178002129E-2</v>
      </c>
    </row>
    <row r="5" spans="2:24">
      <c r="B5" s="1764"/>
      <c r="C5" s="1702" t="s">
        <v>130</v>
      </c>
      <c r="D5" s="1703">
        <f>'Autumn 24'!P17</f>
        <v>10.542</v>
      </c>
      <c r="E5" s="1703">
        <f>'Autumn 24'!Q17</f>
        <v>11.775707000000001</v>
      </c>
      <c r="F5" s="1703">
        <f>'Autumn 24'!R17</f>
        <v>13.596952494293854</v>
      </c>
      <c r="H5" s="1764"/>
      <c r="I5" s="1702" t="s">
        <v>130</v>
      </c>
      <c r="J5" s="1703">
        <f>D5</f>
        <v>10.542</v>
      </c>
      <c r="K5" s="1703">
        <f t="shared" ref="K5:L5" si="4">E5</f>
        <v>11.775707000000001</v>
      </c>
      <c r="L5" s="1703">
        <f t="shared" si="4"/>
        <v>13.596952494293854</v>
      </c>
      <c r="N5" s="1764"/>
      <c r="O5" s="1702" t="s">
        <v>130</v>
      </c>
      <c r="P5" s="1703">
        <f t="shared" ca="1" si="1"/>
        <v>10.792337297834033</v>
      </c>
      <c r="Q5" s="1703">
        <f t="shared" ca="1" si="0"/>
        <v>11.775707000000001</v>
      </c>
      <c r="R5" s="1703">
        <f t="shared" ca="1" si="0"/>
        <v>13.280093731746538</v>
      </c>
      <c r="S5" s="51"/>
      <c r="T5" s="1764"/>
      <c r="U5" s="1704">
        <f t="shared" ca="1" si="2"/>
        <v>9.1117398856995102E-2</v>
      </c>
      <c r="V5" s="1704">
        <f t="shared" ca="1" si="3"/>
        <v>0.1277534106229492</v>
      </c>
      <c r="W5" s="1704">
        <f ca="1">(R5/P5)^(1/2)-1</f>
        <v>0.10928416916091299</v>
      </c>
      <c r="X5" s="1675"/>
    </row>
    <row r="6" spans="2:24">
      <c r="B6" s="1764"/>
      <c r="C6" s="1707" t="s">
        <v>131</v>
      </c>
      <c r="D6" s="1708">
        <f>D5+D3</f>
        <v>188.46899999999999</v>
      </c>
      <c r="E6" s="1708">
        <f t="shared" ref="E6:F6" si="5">E5+E3</f>
        <v>201.905225</v>
      </c>
      <c r="F6" s="1708">
        <f t="shared" si="5"/>
        <v>214.09629687395767</v>
      </c>
      <c r="H6" s="1764"/>
      <c r="I6" s="1707" t="s">
        <v>131</v>
      </c>
      <c r="J6" s="1708">
        <f>J5+J3</f>
        <v>185.61799999999999</v>
      </c>
      <c r="K6" s="1708">
        <f t="shared" ref="K6" si="6">K5+K3</f>
        <v>197.089225</v>
      </c>
      <c r="L6" s="1708">
        <f>L5+L3</f>
        <v>209.28029687395767</v>
      </c>
      <c r="N6" s="1764"/>
      <c r="O6" s="1707" t="s">
        <v>131</v>
      </c>
      <c r="P6" s="1708">
        <f ca="1">P5+P3</f>
        <v>190.02580767874761</v>
      </c>
      <c r="Q6" s="1708">
        <f t="shared" ref="Q6" ca="1" si="7">Q5+Q3</f>
        <v>197.089225</v>
      </c>
      <c r="R6" s="1708">
        <f ca="1">R5+R3</f>
        <v>204.40329992035018</v>
      </c>
      <c r="S6" s="1536"/>
      <c r="T6" s="1764"/>
      <c r="U6" s="1704">
        <f ca="1">Q6/P6-1</f>
        <v>3.7170831728254639E-2</v>
      </c>
      <c r="V6" s="1704">
        <f ca="1">R6/Q6-1</f>
        <v>3.7110475828144196E-2</v>
      </c>
      <c r="W6" s="1704">
        <f ca="1">(R6/P6)^(1/2)-1</f>
        <v>3.7140653339151619E-2</v>
      </c>
    </row>
    <row r="7" spans="2:24">
      <c r="B7" s="554"/>
      <c r="H7" s="554"/>
    </row>
    <row r="8" spans="2:24">
      <c r="B8" s="554"/>
      <c r="H8" s="554"/>
      <c r="P8" s="51"/>
    </row>
    <row r="9" spans="2:24">
      <c r="C9" t="s">
        <v>286</v>
      </c>
    </row>
    <row r="10" spans="2:24">
      <c r="B10" t="s">
        <v>166</v>
      </c>
      <c r="P10" s="1702" t="s">
        <v>274</v>
      </c>
      <c r="Q10" s="1702" t="s">
        <v>275</v>
      </c>
      <c r="R10" s="1702" t="s">
        <v>276</v>
      </c>
      <c r="V10" s="1702" t="s">
        <v>274</v>
      </c>
      <c r="W10" s="1702" t="s">
        <v>275</v>
      </c>
      <c r="X10" s="1702" t="s">
        <v>276</v>
      </c>
    </row>
    <row r="11" spans="2:24">
      <c r="C11" t="s">
        <v>287</v>
      </c>
      <c r="D11">
        <v>1.9650000000000001</v>
      </c>
      <c r="E11">
        <v>0</v>
      </c>
      <c r="F11">
        <v>0</v>
      </c>
      <c r="N11" s="1764" t="s">
        <v>280</v>
      </c>
      <c r="O11" s="1702" t="s">
        <v>281</v>
      </c>
      <c r="P11" s="1703">
        <f>D3</f>
        <v>177.92699999999999</v>
      </c>
      <c r="Q11" s="1703">
        <f t="shared" ref="Q11:R11" si="8">E3</f>
        <v>190.12951799999999</v>
      </c>
      <c r="R11" s="1703">
        <f t="shared" si="8"/>
        <v>200.49934437966382</v>
      </c>
      <c r="T11" s="1764" t="s">
        <v>288</v>
      </c>
      <c r="U11" s="1702" t="s">
        <v>281</v>
      </c>
      <c r="V11" s="1703">
        <f>J3</f>
        <v>175.07599999999999</v>
      </c>
      <c r="W11" s="1703">
        <f t="shared" ref="W11:W14" si="9">K3</f>
        <v>185.31351799999999</v>
      </c>
      <c r="X11" s="1703">
        <f t="shared" ref="X11:X14" si="10">L3</f>
        <v>195.68334437966382</v>
      </c>
    </row>
    <row r="12" spans="2:24">
      <c r="C12" t="s">
        <v>289</v>
      </c>
      <c r="D12">
        <f>0.597+0.433</f>
        <v>1.03</v>
      </c>
      <c r="N12" s="1764"/>
      <c r="O12" s="1702" t="s">
        <v>285</v>
      </c>
      <c r="P12" s="1703">
        <f t="shared" ref="P12:R12" si="11">D4</f>
        <v>170.999</v>
      </c>
      <c r="Q12" s="1703">
        <f t="shared" si="11"/>
        <v>181.4143</v>
      </c>
      <c r="R12" s="1703">
        <f t="shared" si="11"/>
        <v>191.955378695077</v>
      </c>
      <c r="T12" s="1764"/>
      <c r="U12" s="1702" t="s">
        <v>285</v>
      </c>
      <c r="V12" s="1703">
        <f t="shared" ref="V12:V14" si="12">J4</f>
        <v>168.148</v>
      </c>
      <c r="W12" s="1703">
        <f t="shared" si="9"/>
        <v>176.59829999999999</v>
      </c>
      <c r="X12" s="1703">
        <f t="shared" si="10"/>
        <v>187.139378695077</v>
      </c>
    </row>
    <row r="13" spans="2:24">
      <c r="N13" s="1764"/>
      <c r="O13" s="1702" t="s">
        <v>130</v>
      </c>
      <c r="P13" s="1703">
        <f t="shared" ref="P13:R13" si="13">D5</f>
        <v>10.542</v>
      </c>
      <c r="Q13" s="1703">
        <f t="shared" si="13"/>
        <v>11.775707000000001</v>
      </c>
      <c r="R13" s="1703">
        <f t="shared" si="13"/>
        <v>13.596952494293854</v>
      </c>
      <c r="T13" s="1764"/>
      <c r="U13" s="1702" t="s">
        <v>130</v>
      </c>
      <c r="V13" s="1703">
        <f t="shared" si="12"/>
        <v>10.542</v>
      </c>
      <c r="W13" s="1703">
        <f t="shared" si="9"/>
        <v>11.775707000000001</v>
      </c>
      <c r="X13" s="1703">
        <f t="shared" si="10"/>
        <v>13.596952494293854</v>
      </c>
    </row>
    <row r="14" spans="2:24">
      <c r="C14" t="s">
        <v>290</v>
      </c>
      <c r="D14">
        <v>2.74</v>
      </c>
      <c r="N14" s="1764"/>
      <c r="O14" s="1707" t="s">
        <v>131</v>
      </c>
      <c r="P14" s="1708">
        <f t="shared" ref="P14:R14" si="14">D6</f>
        <v>188.46899999999999</v>
      </c>
      <c r="Q14" s="1708">
        <f t="shared" si="14"/>
        <v>201.905225</v>
      </c>
      <c r="R14" s="1708">
        <f t="shared" si="14"/>
        <v>214.09629687395767</v>
      </c>
      <c r="T14" s="1764"/>
      <c r="U14" s="1707" t="s">
        <v>131</v>
      </c>
      <c r="V14" s="1708">
        <f t="shared" si="12"/>
        <v>185.61799999999999</v>
      </c>
      <c r="W14" s="1708">
        <f t="shared" si="9"/>
        <v>197.089225</v>
      </c>
      <c r="X14" s="1708">
        <f t="shared" si="10"/>
        <v>209.28029687395767</v>
      </c>
    </row>
    <row r="16" spans="2:24">
      <c r="B16" t="s">
        <v>291</v>
      </c>
      <c r="D16" s="51">
        <f>D3+D11-D12</f>
        <v>178.86199999999999</v>
      </c>
      <c r="E16" s="51">
        <f>E3+E11-E12</f>
        <v>190.12951799999999</v>
      </c>
      <c r="F16" s="51">
        <f>F3+F11-F12</f>
        <v>200.49934437966382</v>
      </c>
    </row>
    <row r="17" spans="2:24">
      <c r="D17" s="51">
        <f>D4-D14+D11-D12</f>
        <v>169.19399999999999</v>
      </c>
      <c r="E17" s="51">
        <f>E4-E14+E11-E12</f>
        <v>181.4143</v>
      </c>
      <c r="F17" s="51">
        <f>F4-F14+F11-F12</f>
        <v>191.955378695077</v>
      </c>
      <c r="P17" s="1702" t="s">
        <v>274</v>
      </c>
      <c r="Q17" s="1702" t="s">
        <v>275</v>
      </c>
      <c r="R17" s="1702" t="s">
        <v>276</v>
      </c>
      <c r="V17" s="1702" t="s">
        <v>277</v>
      </c>
      <c r="W17" s="1702" t="s">
        <v>278</v>
      </c>
      <c r="X17" s="1702" t="s">
        <v>279</v>
      </c>
    </row>
    <row r="18" spans="2:24">
      <c r="N18" s="1764" t="s">
        <v>283</v>
      </c>
      <c r="O18" s="1702" t="s">
        <v>281</v>
      </c>
      <c r="P18" s="1703">
        <f t="shared" ref="P18:R21" ca="1" si="15">P3</f>
        <v>179.23347038091359</v>
      </c>
      <c r="Q18" s="1703">
        <f t="shared" ca="1" si="15"/>
        <v>185.31351799999999</v>
      </c>
      <c r="R18" s="1703">
        <f t="shared" ca="1" si="15"/>
        <v>191.12320618860363</v>
      </c>
      <c r="S18" s="51"/>
      <c r="T18" s="1764" t="s">
        <v>284</v>
      </c>
      <c r="U18" s="1702" t="s">
        <v>281</v>
      </c>
      <c r="V18" s="1704">
        <f t="shared" ref="V18:X21" ca="1" si="16">U3</f>
        <v>3.3922501227950708E-2</v>
      </c>
      <c r="W18" s="1704">
        <f t="shared" ca="1" si="16"/>
        <v>3.1350590347130725E-2</v>
      </c>
      <c r="X18" s="1704">
        <f t="shared" ca="1" si="16"/>
        <v>3.2635745078887446E-2</v>
      </c>
    </row>
    <row r="19" spans="2:24">
      <c r="B19" t="s">
        <v>292</v>
      </c>
      <c r="C19" t="s">
        <v>281</v>
      </c>
      <c r="D19">
        <v>178.9</v>
      </c>
      <c r="N19" s="1764"/>
      <c r="O19" s="1702" t="s">
        <v>285</v>
      </c>
      <c r="P19" s="1703">
        <f t="shared" ca="1" si="15"/>
        <v>172.14095351510122</v>
      </c>
      <c r="Q19" s="1703">
        <f t="shared" ca="1" si="15"/>
        <v>176.59829999999999</v>
      </c>
      <c r="R19" s="1703">
        <f t="shared" ca="1" si="15"/>
        <v>182.77834617826264</v>
      </c>
      <c r="S19" s="51"/>
      <c r="T19" s="1764"/>
      <c r="U19" s="1702" t="s">
        <v>285</v>
      </c>
      <c r="V19" s="1704">
        <f t="shared" ca="1" si="16"/>
        <v>2.5893585424503707E-2</v>
      </c>
      <c r="W19" s="1704">
        <f t="shared" ca="1" si="16"/>
        <v>3.499493584175295E-2</v>
      </c>
      <c r="X19" s="1704">
        <f t="shared" ca="1" si="16"/>
        <v>3.0434212178002129E-2</v>
      </c>
    </row>
    <row r="20" spans="2:24">
      <c r="C20" t="s">
        <v>285</v>
      </c>
      <c r="D20">
        <v>169.2</v>
      </c>
      <c r="N20" s="1764"/>
      <c r="O20" s="1702" t="s">
        <v>130</v>
      </c>
      <c r="P20" s="1703">
        <f t="shared" ca="1" si="15"/>
        <v>10.792337297834033</v>
      </c>
      <c r="Q20" s="1703">
        <f t="shared" ca="1" si="15"/>
        <v>11.775707000000001</v>
      </c>
      <c r="R20" s="1703">
        <f t="shared" ca="1" si="15"/>
        <v>13.280093731746538</v>
      </c>
      <c r="S20" s="51"/>
      <c r="T20" s="1764"/>
      <c r="U20" s="1702" t="s">
        <v>130</v>
      </c>
      <c r="V20" s="1704">
        <f t="shared" ca="1" si="16"/>
        <v>9.1117398856995102E-2</v>
      </c>
      <c r="W20" s="1704">
        <f t="shared" ca="1" si="16"/>
        <v>0.1277534106229492</v>
      </c>
      <c r="X20" s="1704">
        <f t="shared" ca="1" si="16"/>
        <v>0.10928416916091299</v>
      </c>
    </row>
    <row r="21" spans="2:24">
      <c r="N21" s="1764"/>
      <c r="O21" s="1707" t="s">
        <v>131</v>
      </c>
      <c r="P21" s="1708">
        <f t="shared" ca="1" si="15"/>
        <v>190.02580767874761</v>
      </c>
      <c r="Q21" s="1708">
        <f t="shared" ca="1" si="15"/>
        <v>197.089225</v>
      </c>
      <c r="R21" s="1708">
        <f t="shared" ca="1" si="15"/>
        <v>204.40329992035018</v>
      </c>
      <c r="S21" s="1536"/>
      <c r="T21" s="1764"/>
      <c r="U21" s="1707" t="s">
        <v>131</v>
      </c>
      <c r="V21" s="1709">
        <f t="shared" ca="1" si="16"/>
        <v>3.7170831728254639E-2</v>
      </c>
      <c r="W21" s="1709">
        <f t="shared" ca="1" si="16"/>
        <v>3.7110475828144196E-2</v>
      </c>
      <c r="X21" s="1709">
        <f t="shared" ca="1" si="16"/>
        <v>3.7140653339151619E-2</v>
      </c>
    </row>
    <row r="22" spans="2:24">
      <c r="B22" t="s">
        <v>293</v>
      </c>
      <c r="D22" s="51">
        <f>D3-D19</f>
        <v>-0.97300000000001319</v>
      </c>
    </row>
    <row r="23" spans="2:24">
      <c r="D23" s="51">
        <f>D4-D20</f>
        <v>1.7990000000000066</v>
      </c>
    </row>
    <row r="25" spans="2:24">
      <c r="C25" t="s">
        <v>226</v>
      </c>
      <c r="D25">
        <f ca="1">'Autumn 24'!P33</f>
        <v>100</v>
      </c>
      <c r="E25">
        <f ca="1">'Autumn 24'!Q33</f>
        <v>102.37466607696864</v>
      </c>
      <c r="F25">
        <f ca="1">'Autumn 24'!R33</f>
        <v>104.81729266263783</v>
      </c>
      <c r="N25" t="s">
        <v>294</v>
      </c>
    </row>
    <row r="26" spans="2:24" ht="58">
      <c r="O26" s="3" t="s">
        <v>295</v>
      </c>
      <c r="P26" s="3" t="s">
        <v>296</v>
      </c>
      <c r="Q26" s="3" t="s">
        <v>297</v>
      </c>
      <c r="R26" s="3" t="s">
        <v>298</v>
      </c>
      <c r="S26" s="3" t="s">
        <v>283</v>
      </c>
    </row>
    <row r="27" spans="2:24" ht="43.5">
      <c r="B27" t="s">
        <v>251</v>
      </c>
      <c r="H27" t="s">
        <v>299</v>
      </c>
      <c r="O27" s="3" t="s">
        <v>202</v>
      </c>
      <c r="P27" s="3" t="s">
        <v>300</v>
      </c>
      <c r="Q27" s="724">
        <f>'Autumn 24'!O7</f>
        <v>182.131</v>
      </c>
      <c r="R27" s="724">
        <f>'Autumn 24'!O8</f>
        <v>179.28</v>
      </c>
      <c r="S27" s="724">
        <f ca="1">'Autumn 24'!O38</f>
        <v>194.80171023725887</v>
      </c>
    </row>
    <row r="28" spans="2:24">
      <c r="C28" t="s">
        <v>281</v>
      </c>
      <c r="D28">
        <f ca="1">D16*($E$25/D$25)</f>
        <v>183.10937523858763</v>
      </c>
      <c r="E28">
        <f t="shared" ref="E28:F29" ca="1" si="17">E16*($E$25/E$25)</f>
        <v>190.12951799999999</v>
      </c>
      <c r="F28">
        <f t="shared" ca="1" si="17"/>
        <v>195.82697576041997</v>
      </c>
      <c r="H28" s="98">
        <f ca="1">E28/D28-1</f>
        <v>3.8338521729241126E-2</v>
      </c>
      <c r="I28" s="98">
        <f ca="1">F28/E28-1</f>
        <v>2.9966192626754484E-2</v>
      </c>
      <c r="J28" s="98">
        <f ca="1">(F28/D28)^(1/2)-1</f>
        <v>3.4143884516636858E-2</v>
      </c>
      <c r="O28" s="3" t="s">
        <v>301</v>
      </c>
      <c r="P28" s="3" t="s">
        <v>300</v>
      </c>
      <c r="Q28" s="724"/>
      <c r="R28" s="724"/>
      <c r="S28" s="724"/>
    </row>
    <row r="29" spans="2:24" ht="29">
      <c r="C29" t="s">
        <v>285</v>
      </c>
      <c r="D29">
        <f ca="1">D17*($E$25/D$25)</f>
        <v>173.21179252226631</v>
      </c>
      <c r="E29">
        <f t="shared" ca="1" si="17"/>
        <v>181.4143</v>
      </c>
      <c r="F29">
        <f t="shared" ca="1" si="17"/>
        <v>187.48211575007898</v>
      </c>
      <c r="H29" s="98">
        <f t="shared" ref="H29:H30" ca="1" si="18">E29/D29-1</f>
        <v>4.7355363963912822E-2</v>
      </c>
      <c r="I29" s="98">
        <f t="shared" ref="I29:I30" ca="1" si="19">F29/E29-1</f>
        <v>3.3447284751416895E-2</v>
      </c>
      <c r="J29" s="98">
        <f t="shared" ref="J29" ca="1" si="20">(F29/D29)^(1/2)-1</f>
        <v>4.0378083707234724E-2</v>
      </c>
      <c r="O29" s="3" t="s">
        <v>302</v>
      </c>
      <c r="P29" s="3" t="s">
        <v>300</v>
      </c>
      <c r="Q29" s="724">
        <f>'Autumn 24'!O9</f>
        <v>172.28299999999999</v>
      </c>
      <c r="R29" s="724">
        <f>'Autumn 24'!O14</f>
        <v>169.43199999999999</v>
      </c>
      <c r="S29" s="724">
        <f ca="1">'Autumn 24'!O42</f>
        <v>184.10108974185206</v>
      </c>
    </row>
    <row r="30" spans="2:24">
      <c r="C30" t="s">
        <v>130</v>
      </c>
      <c r="D30">
        <f ca="1">D5*($E$25/D$25)</f>
        <v>10.792337297834033</v>
      </c>
      <c r="E30">
        <f ca="1">E5*($E$25/E$25)</f>
        <v>11.775707000000001</v>
      </c>
      <c r="F30">
        <f ca="1">F5*($E$25/F$25)</f>
        <v>13.280093731746538</v>
      </c>
      <c r="H30" s="98">
        <f t="shared" ca="1" si="18"/>
        <v>9.1117398856995102E-2</v>
      </c>
      <c r="I30" s="98">
        <f t="shared" ca="1" si="19"/>
        <v>0.1277534106229492</v>
      </c>
      <c r="J30" s="98">
        <f ca="1">(F30/D30)^(1/2)-1</f>
        <v>0.10928416916091299</v>
      </c>
      <c r="O30" s="3" t="s">
        <v>303</v>
      </c>
      <c r="P30" s="3" t="s">
        <v>300</v>
      </c>
      <c r="Q30" s="724">
        <f>'Autumn 24'!O10</f>
        <v>160.93899999999999</v>
      </c>
      <c r="R30" s="724">
        <f>'Autumn 24'!O15</f>
        <v>158.08799999999999</v>
      </c>
      <c r="S30" s="724">
        <f ca="1">'Autumn 24'!O43</f>
        <v>171.77494850506346</v>
      </c>
    </row>
    <row r="31" spans="2:24" ht="43.5">
      <c r="O31" s="3" t="s">
        <v>304</v>
      </c>
      <c r="P31" s="3" t="s">
        <v>300</v>
      </c>
      <c r="Q31" s="724">
        <f>'Autumn 24'!O16</f>
        <v>11.343999999999994</v>
      </c>
      <c r="R31" s="724">
        <f>'Autumn 24'!O16</f>
        <v>11.343999999999994</v>
      </c>
      <c r="S31" s="724">
        <f ca="1">'Autumn 24'!O44</f>
        <v>12.326141236788619</v>
      </c>
    </row>
    <row r="32" spans="2:24">
      <c r="O32" s="3" t="s">
        <v>305</v>
      </c>
      <c r="P32" s="3" t="s">
        <v>300</v>
      </c>
      <c r="Q32" s="724">
        <f>'Autumn 24'!O17</f>
        <v>9.8480000000000008</v>
      </c>
      <c r="R32" s="724">
        <f>'Autumn 24'!O17</f>
        <v>9.8480000000000008</v>
      </c>
      <c r="S32" s="724">
        <f ca="1">'Autumn 24'!O45</f>
        <v>10.700620495406769</v>
      </c>
    </row>
    <row r="33" spans="15:19" ht="43.5">
      <c r="O33" s="3" t="s">
        <v>202</v>
      </c>
      <c r="P33" s="3" t="s">
        <v>274</v>
      </c>
      <c r="Q33" s="724">
        <f>P14</f>
        <v>188.46899999999999</v>
      </c>
      <c r="R33" s="724">
        <f>V14</f>
        <v>185.61799999999999</v>
      </c>
      <c r="S33" s="724">
        <f ca="1">P21</f>
        <v>190.02580767874761</v>
      </c>
    </row>
    <row r="34" spans="15:19">
      <c r="O34" s="3" t="s">
        <v>301</v>
      </c>
      <c r="P34" s="3" t="s">
        <v>274</v>
      </c>
      <c r="Q34" s="724"/>
      <c r="R34" s="724"/>
      <c r="S34" s="724"/>
    </row>
    <row r="35" spans="15:19" ht="29">
      <c r="O35" s="3" t="s">
        <v>302</v>
      </c>
      <c r="P35" s="3" t="s">
        <v>274</v>
      </c>
      <c r="Q35" s="724">
        <f>P11</f>
        <v>177.92699999999999</v>
      </c>
      <c r="R35" s="724">
        <f>V11</f>
        <v>175.07599999999999</v>
      </c>
      <c r="S35" s="724">
        <f ca="1">P18</f>
        <v>179.23347038091359</v>
      </c>
    </row>
    <row r="36" spans="15:19">
      <c r="O36" s="3" t="s">
        <v>303</v>
      </c>
      <c r="P36" s="3" t="s">
        <v>274</v>
      </c>
      <c r="Q36" s="724">
        <f>P12</f>
        <v>170.999</v>
      </c>
      <c r="R36" s="724">
        <f>V12</f>
        <v>168.148</v>
      </c>
      <c r="S36" s="724">
        <f ca="1">P19</f>
        <v>172.14095351510122</v>
      </c>
    </row>
    <row r="37" spans="15:19" ht="43.5">
      <c r="O37" s="3" t="s">
        <v>304</v>
      </c>
      <c r="P37" s="3" t="s">
        <v>274</v>
      </c>
      <c r="Q37" s="724">
        <f>P11-P12</f>
        <v>6.9279999999999973</v>
      </c>
      <c r="R37" s="724">
        <f>V11-V12</f>
        <v>6.9279999999999973</v>
      </c>
      <c r="S37" s="724">
        <f ca="1">P18-P19</f>
        <v>7.092516865812371</v>
      </c>
    </row>
    <row r="38" spans="15:19">
      <c r="O38" s="3" t="s">
        <v>305</v>
      </c>
      <c r="P38" s="3" t="s">
        <v>274</v>
      </c>
      <c r="Q38" s="724">
        <f>P13</f>
        <v>10.542</v>
      </c>
      <c r="R38" s="724">
        <f>V13</f>
        <v>10.542</v>
      </c>
      <c r="S38" s="724">
        <f ca="1">P20</f>
        <v>10.792337297834033</v>
      </c>
    </row>
    <row r="39" spans="15:19" ht="43.5">
      <c r="O39" s="3" t="s">
        <v>202</v>
      </c>
      <c r="P39" s="3" t="s">
        <v>306</v>
      </c>
      <c r="Q39" s="724">
        <f>Q14</f>
        <v>201.905225</v>
      </c>
      <c r="R39" s="724">
        <f>W14</f>
        <v>197.089225</v>
      </c>
      <c r="S39" s="724">
        <f ca="1">Q21</f>
        <v>197.089225</v>
      </c>
    </row>
    <row r="40" spans="15:19" ht="43.5">
      <c r="O40" s="3" t="s">
        <v>301</v>
      </c>
      <c r="P40" s="3" t="s">
        <v>306</v>
      </c>
      <c r="Q40" s="724"/>
      <c r="R40" s="724"/>
      <c r="S40" s="724"/>
    </row>
    <row r="41" spans="15:19" ht="43.5">
      <c r="O41" s="3" t="s">
        <v>302</v>
      </c>
      <c r="P41" s="3" t="s">
        <v>306</v>
      </c>
      <c r="Q41" s="724">
        <f>Q11</f>
        <v>190.12951799999999</v>
      </c>
      <c r="R41" s="724">
        <f>W11</f>
        <v>185.31351799999999</v>
      </c>
      <c r="S41" s="724">
        <f ca="1">Q18</f>
        <v>185.31351799999999</v>
      </c>
    </row>
    <row r="42" spans="15:19" ht="43.5">
      <c r="O42" s="3" t="s">
        <v>303</v>
      </c>
      <c r="P42" s="3" t="s">
        <v>306</v>
      </c>
      <c r="Q42" s="724">
        <f>Q12</f>
        <v>181.4143</v>
      </c>
      <c r="R42" s="724">
        <f>W12</f>
        <v>176.59829999999999</v>
      </c>
      <c r="S42" s="724">
        <f ca="1">Q19</f>
        <v>176.59829999999999</v>
      </c>
    </row>
    <row r="43" spans="15:19" ht="43.5">
      <c r="O43" s="3" t="s">
        <v>304</v>
      </c>
      <c r="P43" s="3" t="s">
        <v>306</v>
      </c>
      <c r="Q43" s="724">
        <f>Q41-Q42</f>
        <v>8.715217999999993</v>
      </c>
      <c r="R43" s="724">
        <f t="shared" ref="R43:S43" si="21">R41-R42</f>
        <v>8.715217999999993</v>
      </c>
      <c r="S43" s="724">
        <f t="shared" ca="1" si="21"/>
        <v>8.715217999999993</v>
      </c>
    </row>
    <row r="44" spans="15:19" ht="43.5">
      <c r="O44" s="3" t="s">
        <v>305</v>
      </c>
      <c r="P44" s="3" t="s">
        <v>306</v>
      </c>
      <c r="Q44" s="724">
        <f>Q13</f>
        <v>11.775707000000001</v>
      </c>
      <c r="R44" s="724">
        <f>Q44</f>
        <v>11.775707000000001</v>
      </c>
      <c r="S44" s="724">
        <f>R44</f>
        <v>11.775707000000001</v>
      </c>
    </row>
    <row r="45" spans="15:19" ht="43.5">
      <c r="O45" s="3" t="s">
        <v>202</v>
      </c>
      <c r="P45" s="3" t="s">
        <v>307</v>
      </c>
      <c r="Q45" s="724">
        <f>R14</f>
        <v>214.09629687395767</v>
      </c>
      <c r="R45" s="724">
        <f>X14</f>
        <v>209.28029687395767</v>
      </c>
      <c r="S45" s="724">
        <f ca="1">R21</f>
        <v>204.40329992035018</v>
      </c>
    </row>
    <row r="46" spans="15:19" ht="43.5">
      <c r="O46" s="3" t="s">
        <v>301</v>
      </c>
      <c r="P46" s="3" t="s">
        <v>307</v>
      </c>
      <c r="Q46" s="724"/>
      <c r="R46" s="724"/>
      <c r="S46" s="724"/>
    </row>
    <row r="47" spans="15:19" ht="43.5">
      <c r="O47" s="3" t="s">
        <v>302</v>
      </c>
      <c r="P47" s="3" t="s">
        <v>307</v>
      </c>
      <c r="Q47" s="724">
        <f>R11</f>
        <v>200.49934437966382</v>
      </c>
      <c r="R47" s="724">
        <f>X11</f>
        <v>195.68334437966382</v>
      </c>
      <c r="S47" s="724">
        <f ca="1">R18</f>
        <v>191.12320618860363</v>
      </c>
    </row>
    <row r="48" spans="15:19" ht="43.5">
      <c r="O48" s="3" t="s">
        <v>303</v>
      </c>
      <c r="P48" s="3" t="s">
        <v>307</v>
      </c>
      <c r="Q48" s="724">
        <f>R12</f>
        <v>191.955378695077</v>
      </c>
      <c r="R48" s="724">
        <f>X12</f>
        <v>187.139378695077</v>
      </c>
      <c r="S48" s="724">
        <f ca="1">R19</f>
        <v>182.77834617826264</v>
      </c>
    </row>
    <row r="49" spans="14:26" ht="43.5">
      <c r="O49" s="3" t="s">
        <v>304</v>
      </c>
      <c r="P49" s="3" t="s">
        <v>307</v>
      </c>
      <c r="Q49" s="724">
        <f>Q47-Q48</f>
        <v>8.5439656845868228</v>
      </c>
      <c r="R49" s="724">
        <f t="shared" ref="R49:S49" si="22">R47-R48</f>
        <v>8.5439656845868228</v>
      </c>
      <c r="S49" s="724">
        <f t="shared" ca="1" si="22"/>
        <v>8.3448600103409944</v>
      </c>
    </row>
    <row r="50" spans="14:26" ht="43.5">
      <c r="O50" s="3" t="s">
        <v>305</v>
      </c>
      <c r="P50" s="3" t="s">
        <v>307</v>
      </c>
      <c r="Q50" s="724">
        <f>X13</f>
        <v>13.596952494293854</v>
      </c>
      <c r="R50" s="724">
        <f>Q50</f>
        <v>13.596952494293854</v>
      </c>
      <c r="S50" s="724">
        <f ca="1">R20</f>
        <v>13.280093731746538</v>
      </c>
    </row>
    <row r="54" spans="14:26">
      <c r="O54" s="1763" t="s">
        <v>280</v>
      </c>
      <c r="P54" s="1763"/>
      <c r="Q54" s="1763"/>
      <c r="R54" s="1763" t="s">
        <v>308</v>
      </c>
      <c r="S54" s="1763"/>
      <c r="T54" s="1763"/>
      <c r="U54" s="1763" t="s">
        <v>309</v>
      </c>
      <c r="V54" s="1763"/>
      <c r="W54" s="1763"/>
      <c r="X54" s="1763" t="s">
        <v>310</v>
      </c>
      <c r="Y54" s="1763"/>
      <c r="Z54" s="1763"/>
    </row>
    <row r="55" spans="14:26">
      <c r="O55" s="1702" t="s">
        <v>274</v>
      </c>
      <c r="P55" s="1702" t="s">
        <v>275</v>
      </c>
      <c r="Q55" s="1702" t="s">
        <v>276</v>
      </c>
      <c r="R55" s="1702" t="s">
        <v>274</v>
      </c>
      <c r="S55" s="1702" t="s">
        <v>275</v>
      </c>
      <c r="T55" s="1702" t="s">
        <v>276</v>
      </c>
      <c r="U55" s="1702" t="s">
        <v>274</v>
      </c>
      <c r="V55" s="1702" t="s">
        <v>275</v>
      </c>
      <c r="W55" s="1702" t="s">
        <v>276</v>
      </c>
      <c r="X55" s="1702" t="s">
        <v>277</v>
      </c>
      <c r="Y55" s="1702" t="s">
        <v>278</v>
      </c>
      <c r="Z55" s="1702" t="s">
        <v>279</v>
      </c>
    </row>
    <row r="56" spans="14:26">
      <c r="N56" s="1702" t="s">
        <v>281</v>
      </c>
      <c r="O56" s="1703">
        <f>P11</f>
        <v>177.92699999999999</v>
      </c>
      <c r="P56" s="1703">
        <f t="shared" ref="P56:Q56" si="23">Q11</f>
        <v>190.12951799999999</v>
      </c>
      <c r="Q56" s="1703">
        <f t="shared" si="23"/>
        <v>200.49934437966382</v>
      </c>
      <c r="R56" s="1703">
        <f>V11</f>
        <v>175.07599999999999</v>
      </c>
      <c r="S56" s="1703">
        <f t="shared" ref="S56:T56" si="24">W11</f>
        <v>185.31351799999999</v>
      </c>
      <c r="T56" s="1703">
        <f t="shared" si="24"/>
        <v>195.68334437966382</v>
      </c>
      <c r="U56" s="1703">
        <f ca="1">P18</f>
        <v>179.23347038091359</v>
      </c>
      <c r="V56" s="1703">
        <f t="shared" ref="V56:W56" ca="1" si="25">Q18</f>
        <v>185.31351799999999</v>
      </c>
      <c r="W56" s="1703">
        <f t="shared" ca="1" si="25"/>
        <v>191.12320618860363</v>
      </c>
      <c r="X56" s="1704">
        <f ca="1">V18</f>
        <v>3.3922501227950708E-2</v>
      </c>
      <c r="Y56" s="1704">
        <f t="shared" ref="Y56:Z56" ca="1" si="26">W18</f>
        <v>3.1350590347130725E-2</v>
      </c>
      <c r="Z56" s="1704">
        <f t="shared" ca="1" si="26"/>
        <v>3.2635745078887446E-2</v>
      </c>
    </row>
    <row r="57" spans="14:26">
      <c r="N57" s="1702" t="s">
        <v>285</v>
      </c>
      <c r="O57" s="1703">
        <f t="shared" ref="O57:Q57" si="27">P12</f>
        <v>170.999</v>
      </c>
      <c r="P57" s="1703">
        <f t="shared" si="27"/>
        <v>181.4143</v>
      </c>
      <c r="Q57" s="1703">
        <f t="shared" si="27"/>
        <v>191.955378695077</v>
      </c>
      <c r="R57" s="1703">
        <f t="shared" ref="R57:T57" si="28">V12</f>
        <v>168.148</v>
      </c>
      <c r="S57" s="1703">
        <f t="shared" si="28"/>
        <v>176.59829999999999</v>
      </c>
      <c r="T57" s="1703">
        <f t="shared" si="28"/>
        <v>187.139378695077</v>
      </c>
      <c r="U57" s="1703">
        <f t="shared" ref="U57:W57" ca="1" si="29">P19</f>
        <v>172.14095351510122</v>
      </c>
      <c r="V57" s="1703">
        <f t="shared" ca="1" si="29"/>
        <v>176.59829999999999</v>
      </c>
      <c r="W57" s="1703">
        <f t="shared" ca="1" si="29"/>
        <v>182.77834617826264</v>
      </c>
      <c r="X57" s="1704">
        <f t="shared" ref="X57:Z57" ca="1" si="30">V19</f>
        <v>2.5893585424503707E-2</v>
      </c>
      <c r="Y57" s="1704">
        <f t="shared" ca="1" si="30"/>
        <v>3.499493584175295E-2</v>
      </c>
      <c r="Z57" s="1704">
        <f t="shared" ca="1" si="30"/>
        <v>3.0434212178002129E-2</v>
      </c>
    </row>
    <row r="58" spans="14:26">
      <c r="N58" s="1702" t="s">
        <v>130</v>
      </c>
      <c r="O58" s="1703">
        <f t="shared" ref="O58:Q58" si="31">P13</f>
        <v>10.542</v>
      </c>
      <c r="P58" s="1703">
        <f t="shared" si="31"/>
        <v>11.775707000000001</v>
      </c>
      <c r="Q58" s="1703">
        <f t="shared" si="31"/>
        <v>13.596952494293854</v>
      </c>
      <c r="R58" s="1703">
        <f t="shared" ref="R58:T58" si="32">V13</f>
        <v>10.542</v>
      </c>
      <c r="S58" s="1703">
        <f t="shared" si="32"/>
        <v>11.775707000000001</v>
      </c>
      <c r="T58" s="1703">
        <f t="shared" si="32"/>
        <v>13.596952494293854</v>
      </c>
      <c r="U58" s="1703">
        <f t="shared" ref="U58:W58" ca="1" si="33">P20</f>
        <v>10.792337297834033</v>
      </c>
      <c r="V58" s="1703">
        <f t="shared" ca="1" si="33"/>
        <v>11.775707000000001</v>
      </c>
      <c r="W58" s="1703">
        <f t="shared" ca="1" si="33"/>
        <v>13.280093731746538</v>
      </c>
      <c r="X58" s="1704">
        <f t="shared" ref="X58:Z58" ca="1" si="34">V20</f>
        <v>9.1117398856995102E-2</v>
      </c>
      <c r="Y58" s="1704">
        <f t="shared" ca="1" si="34"/>
        <v>0.1277534106229492</v>
      </c>
      <c r="Z58" s="1704">
        <f t="shared" ca="1" si="34"/>
        <v>0.10928416916091299</v>
      </c>
    </row>
    <row r="59" spans="14:26">
      <c r="N59" s="1707" t="s">
        <v>131</v>
      </c>
      <c r="O59" s="1708">
        <f t="shared" ref="O59:Q59" si="35">P14</f>
        <v>188.46899999999999</v>
      </c>
      <c r="P59" s="1708">
        <f t="shared" si="35"/>
        <v>201.905225</v>
      </c>
      <c r="Q59" s="1708">
        <f t="shared" si="35"/>
        <v>214.09629687395767</v>
      </c>
      <c r="R59" s="1708">
        <f t="shared" ref="R59:T59" si="36">V14</f>
        <v>185.61799999999999</v>
      </c>
      <c r="S59" s="1708">
        <f t="shared" si="36"/>
        <v>197.089225</v>
      </c>
      <c r="T59" s="1708">
        <f t="shared" si="36"/>
        <v>209.28029687395767</v>
      </c>
      <c r="U59" s="1708">
        <f t="shared" ref="U59:W59" ca="1" si="37">P21</f>
        <v>190.02580767874761</v>
      </c>
      <c r="V59" s="1708">
        <f t="shared" ca="1" si="37"/>
        <v>197.089225</v>
      </c>
      <c r="W59" s="1708">
        <f t="shared" ca="1" si="37"/>
        <v>204.40329992035018</v>
      </c>
      <c r="X59" s="1709">
        <f t="shared" ref="X59:Z59" ca="1" si="38">V21</f>
        <v>3.7170831728254639E-2</v>
      </c>
      <c r="Y59" s="1709">
        <f t="shared" ca="1" si="38"/>
        <v>3.7110475828144196E-2</v>
      </c>
      <c r="Z59" s="1709">
        <f t="shared" ca="1" si="38"/>
        <v>3.7140653339151619E-2</v>
      </c>
    </row>
  </sheetData>
  <mergeCells count="12">
    <mergeCell ref="B3:B6"/>
    <mergeCell ref="H3:H6"/>
    <mergeCell ref="N3:N6"/>
    <mergeCell ref="T3:T6"/>
    <mergeCell ref="N11:N14"/>
    <mergeCell ref="T11:T14"/>
    <mergeCell ref="O54:Q54"/>
    <mergeCell ref="R54:T54"/>
    <mergeCell ref="U54:W54"/>
    <mergeCell ref="X54:Z54"/>
    <mergeCell ref="N18:N21"/>
    <mergeCell ref="T18:T21"/>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7CE6-335A-4E90-89E1-A9EB3600F0C2}">
  <sheetPr>
    <tabColor theme="5"/>
  </sheetPr>
  <dimension ref="A1:U59"/>
  <sheetViews>
    <sheetView zoomScale="85" zoomScaleNormal="85" workbookViewId="0">
      <pane xSplit="1" topLeftCell="B1" activePane="topRight" state="frozen"/>
      <selection activeCell="A4" sqref="A4"/>
      <selection pane="topRight" activeCell="K2" sqref="K2"/>
    </sheetView>
  </sheetViews>
  <sheetFormatPr defaultRowHeight="14.5"/>
  <cols>
    <col min="1" max="1" width="31.453125" bestFit="1" customWidth="1"/>
    <col min="2" max="2" width="20.1796875" customWidth="1"/>
    <col min="3" max="3" width="18" customWidth="1"/>
    <col min="4" max="4" width="15.453125" customWidth="1"/>
    <col min="5" max="5" width="14.1796875" customWidth="1"/>
    <col min="6" max="6" width="16.453125" customWidth="1"/>
    <col min="7" max="7" width="15.1796875" customWidth="1"/>
    <col min="8" max="9" width="15.1796875" bestFit="1" customWidth="1"/>
    <col min="10" max="13" width="10.453125" bestFit="1" customWidth="1"/>
    <col min="14" max="15" width="10.453125" customWidth="1"/>
    <col min="16" max="16" width="21.81640625" customWidth="1"/>
    <col min="17" max="17" width="20.81640625" customWidth="1"/>
    <col min="18" max="18" width="22.54296875" customWidth="1"/>
    <col min="19" max="19" width="19.453125" customWidth="1"/>
    <col min="20" max="20" width="10.453125" bestFit="1" customWidth="1"/>
  </cols>
  <sheetData>
    <row r="1" spans="1:19">
      <c r="A1" t="s">
        <v>177</v>
      </c>
      <c r="G1" s="702" t="s">
        <v>246</v>
      </c>
      <c r="H1" s="702"/>
      <c r="I1" s="702"/>
      <c r="J1" s="702"/>
      <c r="K1" s="1033" t="s">
        <v>311</v>
      </c>
      <c r="L1" s="1033"/>
      <c r="M1" s="1033"/>
      <c r="N1" s="76" t="s">
        <v>181</v>
      </c>
    </row>
    <row r="2" spans="1:19">
      <c r="G2" s="1034" t="s">
        <v>262</v>
      </c>
      <c r="H2" s="702"/>
      <c r="I2" s="702"/>
      <c r="J2" s="702"/>
      <c r="K2" s="1032" t="s">
        <v>312</v>
      </c>
      <c r="L2" s="1033"/>
      <c r="M2" s="1033"/>
    </row>
    <row r="3" spans="1:19">
      <c r="A3" s="76" t="s">
        <v>185</v>
      </c>
      <c r="B3" s="76"/>
      <c r="C3" s="76"/>
      <c r="D3" s="76"/>
      <c r="E3" s="76"/>
      <c r="F3" s="76"/>
      <c r="G3" s="702"/>
      <c r="H3" s="702"/>
      <c r="I3" s="702"/>
      <c r="J3" s="702"/>
      <c r="K3" s="1033"/>
      <c r="L3" s="1033"/>
      <c r="M3" s="1033"/>
    </row>
    <row r="4" spans="1:19">
      <c r="B4" t="s">
        <v>186</v>
      </c>
      <c r="G4" s="702"/>
      <c r="H4" s="702"/>
      <c r="I4" s="702"/>
      <c r="J4" s="702"/>
      <c r="K4" s="1033"/>
      <c r="L4" s="1033"/>
      <c r="M4" s="1033"/>
    </row>
    <row r="5" spans="1:19">
      <c r="A5" s="76" t="s">
        <v>263</v>
      </c>
      <c r="B5" s="1014" t="s">
        <v>191</v>
      </c>
      <c r="C5" s="1014" t="s">
        <v>192</v>
      </c>
      <c r="D5" s="1014" t="s">
        <v>193</v>
      </c>
      <c r="E5" s="1014" t="s">
        <v>165</v>
      </c>
      <c r="F5" s="1014" t="s">
        <v>167</v>
      </c>
      <c r="G5" s="1014" t="s">
        <v>168</v>
      </c>
      <c r="H5" s="1014" t="s">
        <v>169</v>
      </c>
      <c r="I5" s="1014" t="s">
        <v>170</v>
      </c>
      <c r="J5" s="1014" t="s">
        <v>171</v>
      </c>
      <c r="K5" s="1014" t="s">
        <v>172</v>
      </c>
      <c r="L5" s="1014" t="s">
        <v>173</v>
      </c>
      <c r="M5" s="1014" t="s">
        <v>174</v>
      </c>
      <c r="N5" s="1014"/>
      <c r="P5" s="1761" t="s">
        <v>194</v>
      </c>
      <c r="Q5" s="1761"/>
      <c r="R5" s="1761" t="s">
        <v>195</v>
      </c>
      <c r="S5" s="1761"/>
    </row>
    <row r="6" spans="1:19">
      <c r="A6" s="76" t="s">
        <v>231</v>
      </c>
      <c r="B6" s="1015" t="s">
        <v>196</v>
      </c>
      <c r="C6" s="1015" t="s">
        <v>196</v>
      </c>
      <c r="D6" s="1015" t="s">
        <v>196</v>
      </c>
      <c r="E6" s="1015" t="s">
        <v>196</v>
      </c>
      <c r="F6" s="1015" t="s">
        <v>196</v>
      </c>
      <c r="G6" s="1015" t="s">
        <v>196</v>
      </c>
      <c r="H6" s="1015" t="s">
        <v>196</v>
      </c>
      <c r="I6" s="1015" t="s">
        <v>196</v>
      </c>
      <c r="J6" s="1015" t="s">
        <v>196</v>
      </c>
      <c r="K6" s="1015" t="s">
        <v>196</v>
      </c>
      <c r="L6" s="1015" t="s">
        <v>152</v>
      </c>
      <c r="M6" s="1015" t="s">
        <v>152</v>
      </c>
      <c r="N6" s="1015"/>
      <c r="P6" s="1038" t="s">
        <v>198</v>
      </c>
      <c r="Q6" s="1038" t="s">
        <v>199</v>
      </c>
      <c r="R6" s="1038" t="s">
        <v>200</v>
      </c>
      <c r="S6" s="1038" t="s">
        <v>201</v>
      </c>
    </row>
    <row r="7" spans="1:19">
      <c r="A7" s="3" t="s">
        <v>202</v>
      </c>
      <c r="B7" s="1016">
        <f t="shared" ref="B7:F7" si="0">B8+B13</f>
        <v>109.77430665328011</v>
      </c>
      <c r="C7" s="1016">
        <f t="shared" si="0"/>
        <v>113.344612</v>
      </c>
      <c r="D7" s="1016">
        <f t="shared" si="0"/>
        <v>117.247606</v>
      </c>
      <c r="E7" s="1016">
        <f t="shared" si="0"/>
        <v>121.556</v>
      </c>
      <c r="F7" s="1016">
        <f t="shared" si="0"/>
        <v>125.15600000000001</v>
      </c>
      <c r="G7" s="1016">
        <f t="shared" ref="G7:M7" si="1">G8+G13</f>
        <v>128.39599999999999</v>
      </c>
      <c r="H7" s="1016">
        <f t="shared" si="1"/>
        <v>138.45499999999998</v>
      </c>
      <c r="I7" s="1016">
        <f t="shared" si="1"/>
        <v>190.61</v>
      </c>
      <c r="J7" s="1016">
        <f t="shared" si="1"/>
        <v>187.274</v>
      </c>
      <c r="K7" s="1016">
        <f t="shared" si="1"/>
        <v>181.69299999999998</v>
      </c>
      <c r="L7" s="1016">
        <f t="shared" si="1"/>
        <v>186.68799999999999</v>
      </c>
      <c r="M7" s="1016">
        <f t="shared" si="1"/>
        <v>189.83999999999997</v>
      </c>
      <c r="N7" s="1016"/>
      <c r="P7" s="583">
        <f>L7/K7-1</f>
        <v>2.7491427848073346E-2</v>
      </c>
      <c r="Q7" s="583">
        <f>M7/L7-1</f>
        <v>1.6883784710318706E-2</v>
      </c>
      <c r="R7" s="51">
        <f>L7-K7</f>
        <v>4.9950000000000045</v>
      </c>
      <c r="S7" s="51">
        <f>M7-L7</f>
        <v>3.1519999999999868</v>
      </c>
    </row>
    <row r="8" spans="1:19">
      <c r="A8" t="s">
        <v>204</v>
      </c>
      <c r="B8" s="1016">
        <v>104.40736065328011</v>
      </c>
      <c r="C8" s="1016">
        <v>108.373357</v>
      </c>
      <c r="D8" s="1016">
        <v>112.595276</v>
      </c>
      <c r="E8" s="1016">
        <v>117</v>
      </c>
      <c r="F8" s="1016">
        <v>119.91800000000001</v>
      </c>
      <c r="G8" s="1016">
        <v>122.455</v>
      </c>
      <c r="H8" s="1016">
        <v>131.44</v>
      </c>
      <c r="I8" s="1016">
        <v>177.90600000000001</v>
      </c>
      <c r="J8" s="1016">
        <v>178.155</v>
      </c>
      <c r="K8" s="1016">
        <v>171.797</v>
      </c>
      <c r="L8" s="1016">
        <v>174.6</v>
      </c>
      <c r="M8" s="1016">
        <v>177.2</v>
      </c>
      <c r="N8" t="s">
        <v>270</v>
      </c>
      <c r="O8" t="s">
        <v>271</v>
      </c>
      <c r="P8" s="583">
        <f t="shared" ref="P8:P13" si="2">L8/K8-1</f>
        <v>1.6315768028545286E-2</v>
      </c>
      <c r="Q8" s="583">
        <f t="shared" ref="Q8:Q13" si="3">M8/L8-1</f>
        <v>1.4891179839633395E-2</v>
      </c>
      <c r="R8" s="51">
        <f t="shared" ref="R8:R13" si="4">L8-K8</f>
        <v>2.8029999999999973</v>
      </c>
      <c r="S8" s="51">
        <f t="shared" ref="S8:S13" si="5">M8-L8</f>
        <v>2.5999999999999943</v>
      </c>
    </row>
    <row r="9" spans="1:19">
      <c r="A9" t="s">
        <v>129</v>
      </c>
      <c r="B9" s="1016">
        <v>93.695999999999998</v>
      </c>
      <c r="C9" s="1016">
        <v>97.097999999999999</v>
      </c>
      <c r="D9" s="1016">
        <v>100.572</v>
      </c>
      <c r="E9" s="1016">
        <v>105.735</v>
      </c>
      <c r="F9" s="1016">
        <v>109.605</v>
      </c>
      <c r="G9" s="1016">
        <v>112.42700000000001</v>
      </c>
      <c r="H9" s="1016">
        <v>121.70699999999999</v>
      </c>
      <c r="I9" s="1016">
        <v>141.02600000000001</v>
      </c>
      <c r="J9" s="1016">
        <v>146.68100000000001</v>
      </c>
      <c r="K9" s="1016">
        <v>155.1</v>
      </c>
      <c r="L9" s="1016">
        <v>161.1</v>
      </c>
      <c r="M9" s="1016">
        <v>162.5</v>
      </c>
      <c r="N9" s="1016"/>
      <c r="P9" s="583">
        <f t="shared" si="2"/>
        <v>3.8684719535783341E-2</v>
      </c>
      <c r="Q9" s="583">
        <f t="shared" si="3"/>
        <v>8.6902545003104681E-3</v>
      </c>
      <c r="R9" s="51">
        <f t="shared" si="4"/>
        <v>6</v>
      </c>
      <c r="S9" s="51">
        <f t="shared" si="5"/>
        <v>1.4000000000000057</v>
      </c>
    </row>
    <row r="10" spans="1:19">
      <c r="A10" t="s">
        <v>232</v>
      </c>
      <c r="B10" s="1016">
        <v>0</v>
      </c>
      <c r="C10" s="1016">
        <v>0</v>
      </c>
      <c r="D10" s="1016">
        <v>0</v>
      </c>
      <c r="E10" s="1016">
        <v>0</v>
      </c>
      <c r="F10" s="1016">
        <v>0</v>
      </c>
      <c r="G10" s="1016">
        <v>0</v>
      </c>
      <c r="H10" s="1016">
        <v>2.851</v>
      </c>
      <c r="I10" s="1016">
        <v>2.851</v>
      </c>
      <c r="J10" s="1016">
        <v>2.851</v>
      </c>
      <c r="K10" s="1016">
        <v>2.851</v>
      </c>
      <c r="L10" s="1016">
        <v>2.851</v>
      </c>
      <c r="M10" s="1016">
        <v>2.851</v>
      </c>
      <c r="N10" s="1016" t="s">
        <v>313</v>
      </c>
      <c r="O10" s="1016"/>
      <c r="P10" s="583">
        <f t="shared" si="2"/>
        <v>0</v>
      </c>
      <c r="Q10" s="583">
        <f t="shared" si="3"/>
        <v>0</v>
      </c>
      <c r="R10" s="51">
        <f t="shared" si="4"/>
        <v>0</v>
      </c>
      <c r="S10" s="51">
        <f t="shared" si="5"/>
        <v>0</v>
      </c>
    </row>
    <row r="11" spans="1:19">
      <c r="A11" t="s">
        <v>212</v>
      </c>
      <c r="B11" s="1016">
        <f t="shared" ref="B11:F11" si="6">B9-B10</f>
        <v>93.695999999999998</v>
      </c>
      <c r="C11" s="1016">
        <f t="shared" si="6"/>
        <v>97.097999999999999</v>
      </c>
      <c r="D11" s="1016">
        <f t="shared" si="6"/>
        <v>100.572</v>
      </c>
      <c r="E11" s="1016">
        <f t="shared" si="6"/>
        <v>105.735</v>
      </c>
      <c r="F11" s="1016">
        <f t="shared" si="6"/>
        <v>109.605</v>
      </c>
      <c r="G11" s="1016">
        <f t="shared" ref="G11:M11" si="7">G9-G10</f>
        <v>112.42700000000001</v>
      </c>
      <c r="H11" s="1016">
        <f t="shared" si="7"/>
        <v>118.85599999999999</v>
      </c>
      <c r="I11" s="1016">
        <f t="shared" si="7"/>
        <v>138.17500000000001</v>
      </c>
      <c r="J11" s="1016">
        <f t="shared" si="7"/>
        <v>143.83000000000001</v>
      </c>
      <c r="K11" s="1016">
        <f t="shared" si="7"/>
        <v>152.249</v>
      </c>
      <c r="L11" s="1016">
        <f t="shared" si="7"/>
        <v>158.249</v>
      </c>
      <c r="M11" s="1016">
        <f t="shared" si="7"/>
        <v>159.649</v>
      </c>
      <c r="N11" s="1016"/>
      <c r="O11" s="1016"/>
      <c r="P11" s="583">
        <f t="shared" si="2"/>
        <v>3.9409125839906967E-2</v>
      </c>
      <c r="Q11" s="583">
        <f t="shared" si="3"/>
        <v>8.8468173574556275E-3</v>
      </c>
      <c r="R11" s="51">
        <f t="shared" si="4"/>
        <v>6</v>
      </c>
      <c r="S11" s="51">
        <f t="shared" si="5"/>
        <v>1.4000000000000057</v>
      </c>
    </row>
    <row r="12" spans="1:19">
      <c r="A12" t="s">
        <v>234</v>
      </c>
      <c r="B12" s="1016">
        <f t="shared" ref="B12:F12" si="8">B8-B9</f>
        <v>10.71136065328011</v>
      </c>
      <c r="C12" s="1016">
        <f t="shared" si="8"/>
        <v>11.275357</v>
      </c>
      <c r="D12" s="1016">
        <f t="shared" si="8"/>
        <v>12.023275999999996</v>
      </c>
      <c r="E12" s="1016">
        <f t="shared" si="8"/>
        <v>11.265000000000001</v>
      </c>
      <c r="F12" s="1016">
        <f t="shared" si="8"/>
        <v>10.313000000000002</v>
      </c>
      <c r="G12" s="1016">
        <f t="shared" ref="G12:M12" si="9">G8-G9</f>
        <v>10.027999999999992</v>
      </c>
      <c r="H12" s="1016">
        <f t="shared" si="9"/>
        <v>9.7330000000000041</v>
      </c>
      <c r="I12" s="1016">
        <f t="shared" si="9"/>
        <v>36.879999999999995</v>
      </c>
      <c r="J12" s="1016">
        <f t="shared" si="9"/>
        <v>31.47399999999999</v>
      </c>
      <c r="K12" s="1016">
        <f t="shared" si="9"/>
        <v>16.697000000000003</v>
      </c>
      <c r="L12" s="1016">
        <f t="shared" si="9"/>
        <v>13.5</v>
      </c>
      <c r="M12" s="1016">
        <f t="shared" si="9"/>
        <v>14.699999999999989</v>
      </c>
      <c r="N12" s="1016"/>
      <c r="O12" s="1016"/>
      <c r="P12" s="583">
        <f t="shared" si="2"/>
        <v>-0.19147152183026905</v>
      </c>
      <c r="Q12" s="583">
        <f t="shared" si="3"/>
        <v>8.8888888888888129E-2</v>
      </c>
      <c r="R12" s="51">
        <f t="shared" si="4"/>
        <v>-3.1970000000000027</v>
      </c>
      <c r="S12" s="51">
        <f t="shared" si="5"/>
        <v>1.1999999999999886</v>
      </c>
    </row>
    <row r="13" spans="1:19">
      <c r="A13" t="s">
        <v>214</v>
      </c>
      <c r="B13" s="1016">
        <v>5.3669460000000004</v>
      </c>
      <c r="C13" s="1016">
        <v>4.9712550000000002</v>
      </c>
      <c r="D13" s="1016">
        <v>4.6523300000000001</v>
      </c>
      <c r="E13" s="1016">
        <v>4.556</v>
      </c>
      <c r="F13" s="1016">
        <v>5.2380000000000004</v>
      </c>
      <c r="G13" s="1016">
        <v>5.9409999999999998</v>
      </c>
      <c r="H13" s="1016">
        <v>7.0149999999999997</v>
      </c>
      <c r="I13" s="1016">
        <v>12.704000000000001</v>
      </c>
      <c r="J13" s="1016">
        <v>9.1189999999999998</v>
      </c>
      <c r="K13" s="1016">
        <v>9.8960000000000008</v>
      </c>
      <c r="L13" s="1016">
        <v>12.087999999999999</v>
      </c>
      <c r="M13" s="1016">
        <v>12.64</v>
      </c>
      <c r="N13" t="s">
        <v>272</v>
      </c>
      <c r="O13" t="s">
        <v>273</v>
      </c>
      <c r="P13" s="583">
        <f t="shared" si="2"/>
        <v>0.22150363783346783</v>
      </c>
      <c r="Q13" s="583">
        <f t="shared" si="3"/>
        <v>4.5665122435473382E-2</v>
      </c>
      <c r="R13" s="51">
        <f t="shared" si="4"/>
        <v>2.1919999999999984</v>
      </c>
      <c r="S13" s="51">
        <f t="shared" si="5"/>
        <v>0.55200000000000138</v>
      </c>
    </row>
    <row r="14" spans="1:19">
      <c r="G14" s="1016"/>
      <c r="H14" s="1016"/>
      <c r="I14" s="1016"/>
      <c r="J14" s="1016"/>
      <c r="K14" s="1016"/>
      <c r="L14" s="1016"/>
      <c r="M14" s="1016"/>
      <c r="N14" s="1016"/>
      <c r="O14" s="1016"/>
    </row>
    <row r="15" spans="1:19">
      <c r="A15" s="627" t="s">
        <v>225</v>
      </c>
      <c r="B15" s="1036">
        <f t="shared" ref="B15:L15" si="10">B9/B7</f>
        <v>0.85353306121018724</v>
      </c>
      <c r="C15" s="1036">
        <f t="shared" si="10"/>
        <v>0.85666180585628549</v>
      </c>
      <c r="D15" s="1036">
        <f t="shared" si="10"/>
        <v>0.85777444359930044</v>
      </c>
      <c r="E15" s="1036">
        <f t="shared" si="10"/>
        <v>0.86984599690677544</v>
      </c>
      <c r="F15" s="1036">
        <f t="shared" si="10"/>
        <v>0.8757470676595609</v>
      </c>
      <c r="G15" s="1036">
        <f t="shared" si="10"/>
        <v>0.87562696657216754</v>
      </c>
      <c r="H15" s="1036">
        <f t="shared" si="10"/>
        <v>0.87903651005741945</v>
      </c>
      <c r="I15" s="1036">
        <f t="shared" si="10"/>
        <v>0.73986674361261218</v>
      </c>
      <c r="J15" s="1036">
        <f t="shared" si="10"/>
        <v>0.78324273524354693</v>
      </c>
      <c r="K15" s="1036">
        <f t="shared" si="10"/>
        <v>0.85363772957681372</v>
      </c>
      <c r="L15" s="1036">
        <f t="shared" si="10"/>
        <v>0.86293709290366816</v>
      </c>
      <c r="M15" s="1036">
        <f>M9/M7</f>
        <v>0.8559839865149601</v>
      </c>
      <c r="N15" s="1036"/>
      <c r="O15" s="1016"/>
    </row>
    <row r="16" spans="1:19" ht="15" thickBot="1">
      <c r="A16" s="1016">
        <v>2</v>
      </c>
      <c r="B16" s="1016">
        <v>7</v>
      </c>
      <c r="C16" s="1016">
        <v>8</v>
      </c>
      <c r="D16" s="1016">
        <v>9</v>
      </c>
      <c r="E16" s="1016">
        <v>10</v>
      </c>
      <c r="F16" s="1016">
        <v>11</v>
      </c>
      <c r="G16" s="1016">
        <v>12</v>
      </c>
      <c r="H16" s="1016">
        <v>13</v>
      </c>
      <c r="I16" s="1016">
        <v>14</v>
      </c>
      <c r="J16" s="1016">
        <v>15</v>
      </c>
      <c r="K16" s="1016">
        <v>16</v>
      </c>
      <c r="L16" s="1016">
        <v>17</v>
      </c>
      <c r="M16" s="1016">
        <v>18</v>
      </c>
      <c r="N16" s="1016"/>
      <c r="O16" s="1016"/>
    </row>
    <row r="17" spans="1:19" ht="15" thickBot="1">
      <c r="A17" s="1754" t="s">
        <v>226</v>
      </c>
      <c r="B17" s="1509"/>
      <c r="C17" s="1520"/>
      <c r="D17" s="1520"/>
      <c r="E17" s="1520"/>
      <c r="F17" s="1521"/>
      <c r="G17" s="1522"/>
      <c r="H17" s="1522"/>
      <c r="I17" s="1522"/>
      <c r="J17" s="1522"/>
      <c r="K17" s="1522"/>
      <c r="L17" s="1522"/>
      <c r="M17" s="1522"/>
      <c r="N17" s="1017"/>
    </row>
    <row r="18" spans="1:19" ht="15" thickBot="1">
      <c r="A18" s="1755"/>
      <c r="B18" s="1451">
        <v>70.480500000000006</v>
      </c>
      <c r="C18" s="1451">
        <v>71.814700000000002</v>
      </c>
      <c r="D18" s="1451">
        <v>73.084400000000002</v>
      </c>
      <c r="E18" s="1451">
        <v>74.433499999999995</v>
      </c>
      <c r="F18" s="1538" cm="1">
        <f t="array" aca="1" ref="F18" ca="1">INDIRECT(_xlfn.CONCAT("'MASTER DEFLATOR'!D",F16))</f>
        <v>80.325400000000002</v>
      </c>
      <c r="G18" s="1538" cm="1">
        <f t="array" aca="1" ref="G18" ca="1">INDIRECT(_xlfn.CONCAT("'MASTER DEFLATOR'!D",G16))</f>
        <v>82.017099999999999</v>
      </c>
      <c r="H18" s="1538" cm="1">
        <f t="array" aca="1" ref="H18" ca="1">INDIRECT(_xlfn.CONCAT("'MASTER DEFLATOR'!D",H16))</f>
        <v>83.960499999999996</v>
      </c>
      <c r="I18" s="1538" cm="1">
        <f t="array" aca="1" ref="I18" ca="1">INDIRECT(_xlfn.CONCAT("'MASTER DEFLATOR'!D",I16))</f>
        <v>88.465500000000006</v>
      </c>
      <c r="J18" s="1538" cm="1">
        <f t="array" aca="1" ref="J18" ca="1">INDIRECT(_xlfn.CONCAT("'MASTER DEFLATOR'!D",J16))</f>
        <v>87.948599999999999</v>
      </c>
      <c r="K18" s="1538" cm="1">
        <f t="array" aca="1" ref="K18" ca="1">INDIRECT(_xlfn.CONCAT("'MASTER DEFLATOR'!D",K16))</f>
        <v>94.217500000000001</v>
      </c>
      <c r="L18" s="1538" cm="1">
        <f t="array" aca="1" ref="L18" ca="1">INDIRECT(_xlfn.CONCAT("'MASTER DEFLATOR'!D",L16))</f>
        <v>100</v>
      </c>
      <c r="M18" s="1538" cm="1">
        <f t="array" aca="1" ref="M18" ca="1">INDIRECT(_xlfn.CONCAT("'MASTER DEFLATOR'!D",M16))</f>
        <v>102.37466607696864</v>
      </c>
      <c r="N18" s="1016" t="s">
        <v>264</v>
      </c>
    </row>
    <row r="19" spans="1:19">
      <c r="A19" t="s">
        <v>228</v>
      </c>
      <c r="L19" s="98"/>
    </row>
    <row r="20" spans="1:19">
      <c r="L20" s="51"/>
    </row>
    <row r="21" spans="1:19">
      <c r="A21" s="76" t="s">
        <v>265</v>
      </c>
      <c r="B21" s="1018" t="s">
        <v>191</v>
      </c>
      <c r="C21" s="1018" t="s">
        <v>192</v>
      </c>
      <c r="D21" s="1018" t="s">
        <v>193</v>
      </c>
      <c r="E21" s="1018" t="s">
        <v>165</v>
      </c>
      <c r="F21" s="1018" t="s">
        <v>167</v>
      </c>
      <c r="G21" s="1018" t="s">
        <v>168</v>
      </c>
      <c r="H21" s="1018" t="s">
        <v>169</v>
      </c>
      <c r="I21" s="1018" t="s">
        <v>170</v>
      </c>
      <c r="J21" s="1018" t="s">
        <v>171</v>
      </c>
      <c r="K21" s="1018" t="s">
        <v>172</v>
      </c>
      <c r="L21" s="1018" t="s">
        <v>173</v>
      </c>
      <c r="M21" s="1018" t="s">
        <v>174</v>
      </c>
      <c r="N21" s="1018"/>
      <c r="P21" s="1037" t="s">
        <v>194</v>
      </c>
      <c r="Q21" s="1037"/>
      <c r="R21" s="1037" t="s">
        <v>195</v>
      </c>
      <c r="S21" s="1037"/>
    </row>
    <row r="22" spans="1:19">
      <c r="A22" s="76" t="s">
        <v>231</v>
      </c>
      <c r="B22" s="1018" t="s">
        <v>196</v>
      </c>
      <c r="C22" s="1018" t="s">
        <v>196</v>
      </c>
      <c r="D22" s="1018" t="s">
        <v>196</v>
      </c>
      <c r="E22" s="1018" t="s">
        <v>196</v>
      </c>
      <c r="F22" s="1018" t="s">
        <v>196</v>
      </c>
      <c r="G22" s="1019" t="s">
        <v>196</v>
      </c>
      <c r="H22" s="1019" t="s">
        <v>196</v>
      </c>
      <c r="I22" s="1019" t="s">
        <v>196</v>
      </c>
      <c r="J22" s="1019" t="s">
        <v>196</v>
      </c>
      <c r="K22" s="1019" t="s">
        <v>196</v>
      </c>
      <c r="L22" s="1019" t="s">
        <v>152</v>
      </c>
      <c r="M22" s="1019" t="s">
        <v>152</v>
      </c>
      <c r="N22" s="1019"/>
      <c r="P22" s="1038" t="s">
        <v>198</v>
      </c>
      <c r="Q22" s="1038" t="s">
        <v>199</v>
      </c>
      <c r="R22" s="1038" t="s">
        <v>200</v>
      </c>
      <c r="S22" s="1038" t="s">
        <v>201</v>
      </c>
    </row>
    <row r="23" spans="1:19">
      <c r="A23" s="3" t="s">
        <v>202</v>
      </c>
      <c r="B23" s="1016">
        <f t="shared" ref="B23:F23" ca="1" si="11">(B7/B$18)*$L$18</f>
        <v>155.75131653901448</v>
      </c>
      <c r="C23" s="1016">
        <f t="shared" ca="1" si="11"/>
        <v>157.82926336808481</v>
      </c>
      <c r="D23" s="1016">
        <f t="shared" ca="1" si="11"/>
        <v>160.42767813651068</v>
      </c>
      <c r="E23" s="1016">
        <f t="shared" ca="1" si="11"/>
        <v>163.30818784552653</v>
      </c>
      <c r="F23" s="1016">
        <f t="shared" ca="1" si="11"/>
        <v>155.811237790288</v>
      </c>
      <c r="G23" s="1016">
        <f t="shared" ref="G23:M29" ca="1" si="12">(G7/G$18)*$L$18</f>
        <v>156.54784185249173</v>
      </c>
      <c r="H23" s="1016">
        <f t="shared" ca="1" si="12"/>
        <v>164.90492553045777</v>
      </c>
      <c r="I23" s="1016">
        <f t="shared" ca="1" si="12"/>
        <v>215.46252493910055</v>
      </c>
      <c r="J23" s="1016">
        <f t="shared" ca="1" si="12"/>
        <v>212.93573746483742</v>
      </c>
      <c r="K23" s="1016">
        <f t="shared" ca="1" si="12"/>
        <v>192.84421683869769</v>
      </c>
      <c r="L23" s="1016">
        <f ca="1">(L7/L$18)*$M$18</f>
        <v>191.1212166057712</v>
      </c>
      <c r="M23" s="1016">
        <f ca="1">(M7/M$18)*$L$18</f>
        <v>185.43650228589954</v>
      </c>
      <c r="N23" s="1080"/>
      <c r="O23" s="1016"/>
      <c r="P23" s="583">
        <f ca="1">L23/K23-1</f>
        <v>-8.9346741176463684E-3</v>
      </c>
      <c r="Q23" s="583">
        <f ca="1">M23/L23-1</f>
        <v>-2.9744025393044771E-2</v>
      </c>
      <c r="R23" s="51">
        <f ca="1">L23-K23</f>
        <v>-1.7230002329264948</v>
      </c>
      <c r="S23" s="51">
        <f ca="1">M23-L23</f>
        <v>-5.6847143198716594</v>
      </c>
    </row>
    <row r="24" spans="1:19">
      <c r="A24" t="s">
        <v>204</v>
      </c>
      <c r="B24" s="1016">
        <f t="shared" ref="B24:F24" ca="1" si="13">(B8/B$18)*$L$18</f>
        <v>148.13652095725783</v>
      </c>
      <c r="C24" s="1016">
        <f t="shared" ca="1" si="13"/>
        <v>150.90692713330279</v>
      </c>
      <c r="D24" s="1016">
        <f t="shared" ca="1" si="13"/>
        <v>154.06198313183111</v>
      </c>
      <c r="E24" s="1016">
        <f t="shared" ca="1" si="13"/>
        <v>157.18728798188988</v>
      </c>
      <c r="F24" s="1016">
        <f t="shared" ca="1" si="13"/>
        <v>149.29026185988491</v>
      </c>
      <c r="G24" s="1016">
        <f t="shared" ca="1" si="12"/>
        <v>149.30423045925789</v>
      </c>
      <c r="H24" s="1016">
        <f t="shared" ca="1" si="12"/>
        <v>156.5498061588485</v>
      </c>
      <c r="I24" s="1016">
        <f t="shared" ca="1" si="12"/>
        <v>201.10212455703072</v>
      </c>
      <c r="J24" s="1016">
        <f t="shared" ca="1" si="12"/>
        <v>202.56718128543264</v>
      </c>
      <c r="K24" s="1016">
        <f t="shared" ca="1" si="12"/>
        <v>182.34086024358533</v>
      </c>
      <c r="L24" s="1016">
        <f t="shared" ca="1" si="12"/>
        <v>174.6</v>
      </c>
      <c r="M24" s="1016">
        <f t="shared" ca="1" si="12"/>
        <v>173.08969766677939</v>
      </c>
      <c r="N24" s="1016"/>
      <c r="O24" s="1016"/>
      <c r="P24" s="583">
        <f t="shared" ref="P24:P27" ca="1" si="14">L24/K24-1</f>
        <v>-4.2452691257705344E-2</v>
      </c>
      <c r="Q24" s="583">
        <f t="shared" ref="Q24:Q29" ca="1" si="15">M24/L24-1</f>
        <v>-8.6500706370022939E-3</v>
      </c>
      <c r="R24" s="51">
        <f t="shared" ref="R24:R29" ca="1" si="16">L24-K24</f>
        <v>-7.7408602435853311</v>
      </c>
      <c r="S24" s="51">
        <f t="shared" ref="S24:S29" ca="1" si="17">M24-L24</f>
        <v>-1.5103023332206078</v>
      </c>
    </row>
    <row r="25" spans="1:19">
      <c r="A25" t="s">
        <v>129</v>
      </c>
      <c r="B25" s="1016">
        <f t="shared" ref="B25:F25" ca="1" si="18">(B9/B$18)*$L$18</f>
        <v>132.93889799306189</v>
      </c>
      <c r="C25" s="1016">
        <f t="shared" ca="1" si="18"/>
        <v>135.20630177387082</v>
      </c>
      <c r="D25" s="1016">
        <f t="shared" ca="1" si="18"/>
        <v>137.61076235147308</v>
      </c>
      <c r="E25" s="1016">
        <f t="shared" ca="1" si="18"/>
        <v>142.05297345953102</v>
      </c>
      <c r="F25" s="1016">
        <f t="shared" ca="1" si="18"/>
        <v>136.45123460325129</v>
      </c>
      <c r="G25" s="1016">
        <f t="shared" ca="1" si="12"/>
        <v>137.07751188471673</v>
      </c>
      <c r="H25" s="1016">
        <f t="shared" ca="1" si="12"/>
        <v>144.95745022957226</v>
      </c>
      <c r="I25" s="1016">
        <f t="shared" ca="1" si="12"/>
        <v>159.41355669724356</v>
      </c>
      <c r="J25" s="1016">
        <f t="shared" ca="1" si="12"/>
        <v>166.78036944306106</v>
      </c>
      <c r="K25" s="1016">
        <f t="shared" ca="1" si="12"/>
        <v>164.61909942420462</v>
      </c>
      <c r="L25" s="1016">
        <f t="shared" ca="1" si="12"/>
        <v>161.1</v>
      </c>
      <c r="M25" s="1016">
        <f t="shared" ca="1" si="12"/>
        <v>158.7306764720748</v>
      </c>
      <c r="N25" s="1016"/>
      <c r="O25" s="1016"/>
      <c r="P25" s="583">
        <f ca="1">L25/K25-1</f>
        <v>-2.1377224371373238E-2</v>
      </c>
      <c r="Q25" s="583">
        <f ca="1">M25/L25-1</f>
        <v>-1.4707160322316559E-2</v>
      </c>
      <c r="R25" s="51">
        <f t="shared" ca="1" si="16"/>
        <v>-3.5190994242046258</v>
      </c>
      <c r="S25" s="51">
        <f t="shared" ca="1" si="17"/>
        <v>-2.3693235279251894</v>
      </c>
    </row>
    <row r="26" spans="1:19">
      <c r="A26" t="s">
        <v>232</v>
      </c>
      <c r="B26" s="1016">
        <f t="shared" ref="B26:F26" ca="1" si="19">(B10/B$18)*$L$18</f>
        <v>0</v>
      </c>
      <c r="C26" s="1016">
        <f t="shared" ca="1" si="19"/>
        <v>0</v>
      </c>
      <c r="D26" s="1016">
        <f t="shared" ca="1" si="19"/>
        <v>0</v>
      </c>
      <c r="E26" s="1016">
        <f t="shared" ca="1" si="19"/>
        <v>0</v>
      </c>
      <c r="F26" s="1016">
        <f t="shared" ca="1" si="19"/>
        <v>0</v>
      </c>
      <c r="G26" s="1016">
        <f t="shared" ca="1" si="12"/>
        <v>0</v>
      </c>
      <c r="H26" s="1016">
        <f t="shared" ca="1" si="12"/>
        <v>3.3956443803931613</v>
      </c>
      <c r="I26" s="1016">
        <f t="shared" ca="1" si="12"/>
        <v>3.2227252431738926</v>
      </c>
      <c r="J26" s="1016">
        <f t="shared" ca="1" si="12"/>
        <v>3.2416661550041725</v>
      </c>
      <c r="K26" s="1016">
        <f t="shared" ca="1" si="12"/>
        <v>3.0259771273914082</v>
      </c>
      <c r="L26" s="1016">
        <f t="shared" ca="1" si="12"/>
        <v>2.851</v>
      </c>
      <c r="M26" s="1016">
        <f t="shared" ca="1" si="12"/>
        <v>2.7848686684423711</v>
      </c>
      <c r="N26" s="1016"/>
      <c r="O26" s="1016"/>
      <c r="P26" s="583">
        <f t="shared" ca="1" si="14"/>
        <v>-5.7825000000000015E-2</v>
      </c>
      <c r="Q26" s="583">
        <f t="shared" ca="1" si="15"/>
        <v>-2.3195837094924232E-2</v>
      </c>
      <c r="R26" s="51">
        <f t="shared" ca="1" si="16"/>
        <v>-0.17497712739140825</v>
      </c>
      <c r="S26" s="51">
        <f t="shared" ca="1" si="17"/>
        <v>-6.6131331557628847E-2</v>
      </c>
    </row>
    <row r="27" spans="1:19">
      <c r="A27" t="s">
        <v>212</v>
      </c>
      <c r="B27" s="1016">
        <f t="shared" ref="B27:F27" ca="1" si="20">(B11/B$18)*$L$18</f>
        <v>132.93889799306189</v>
      </c>
      <c r="C27" s="1016">
        <f t="shared" ca="1" si="20"/>
        <v>135.20630177387082</v>
      </c>
      <c r="D27" s="1016">
        <f t="shared" ca="1" si="20"/>
        <v>137.61076235147308</v>
      </c>
      <c r="E27" s="1016">
        <f t="shared" ca="1" si="20"/>
        <v>142.05297345953102</v>
      </c>
      <c r="F27" s="1016">
        <f t="shared" ca="1" si="20"/>
        <v>136.45123460325129</v>
      </c>
      <c r="G27" s="1016">
        <f t="shared" ca="1" si="12"/>
        <v>137.07751188471673</v>
      </c>
      <c r="H27" s="1016">
        <f t="shared" ca="1" si="12"/>
        <v>141.56180584917908</v>
      </c>
      <c r="I27" s="1016">
        <f t="shared" ca="1" si="12"/>
        <v>156.19083145406967</v>
      </c>
      <c r="J27" s="1016">
        <f t="shared" ca="1" si="12"/>
        <v>163.53870328805692</v>
      </c>
      <c r="K27" s="1016">
        <f t="shared" ca="1" si="12"/>
        <v>161.59312229681322</v>
      </c>
      <c r="L27" s="1016">
        <f t="shared" ca="1" si="12"/>
        <v>158.249</v>
      </c>
      <c r="M27" s="1016">
        <f t="shared" ca="1" si="12"/>
        <v>155.94580780363242</v>
      </c>
      <c r="N27" s="1016"/>
      <c r="O27" s="1016"/>
      <c r="P27" s="583">
        <f t="shared" ca="1" si="14"/>
        <v>-2.069470686178565E-2</v>
      </c>
      <c r="Q27" s="583">
        <f t="shared" ca="1" si="15"/>
        <v>-1.4554229071700786E-2</v>
      </c>
      <c r="R27" s="51">
        <f t="shared" ca="1" si="16"/>
        <v>-3.3441222968132251</v>
      </c>
      <c r="S27" s="51">
        <f t="shared" ca="1" si="17"/>
        <v>-2.3031921963675757</v>
      </c>
    </row>
    <row r="28" spans="1:19">
      <c r="A28" t="s">
        <v>234</v>
      </c>
      <c r="B28" s="1016">
        <f t="shared" ref="B28:F28" ca="1" si="21">(B12/B$18)*$L$18</f>
        <v>15.197622964195926</v>
      </c>
      <c r="C28" s="1016">
        <f t="shared" ca="1" si="21"/>
        <v>15.700625359431983</v>
      </c>
      <c r="D28" s="1016">
        <f t="shared" ca="1" si="21"/>
        <v>16.451220780358046</v>
      </c>
      <c r="E28" s="1016">
        <f t="shared" ca="1" si="21"/>
        <v>15.134314522358885</v>
      </c>
      <c r="F28" s="1016">
        <f t="shared" ca="1" si="21"/>
        <v>12.839027256633646</v>
      </c>
      <c r="G28" s="1016">
        <f t="shared" ca="1" si="12"/>
        <v>12.226718574541152</v>
      </c>
      <c r="H28" s="1016">
        <f t="shared" ca="1" si="12"/>
        <v>11.592355929276273</v>
      </c>
      <c r="I28" s="1016">
        <f t="shared" ca="1" si="12"/>
        <v>41.688567859787142</v>
      </c>
      <c r="J28" s="1016">
        <f t="shared" ca="1" si="12"/>
        <v>35.786811842371556</v>
      </c>
      <c r="K28" s="1016">
        <f t="shared" ca="1" si="12"/>
        <v>17.721760819380691</v>
      </c>
      <c r="L28" s="1016">
        <f t="shared" ca="1" si="12"/>
        <v>13.5</v>
      </c>
      <c r="M28" s="1016">
        <f t="shared" ca="1" si="12"/>
        <v>14.359021194704603</v>
      </c>
      <c r="N28" s="1016"/>
      <c r="O28" s="1016"/>
      <c r="P28" s="583">
        <f ca="1">L28/K28-1</f>
        <v>-0.23822468108043371</v>
      </c>
      <c r="Q28" s="583">
        <f t="shared" ca="1" si="15"/>
        <v>6.3631199607748323E-2</v>
      </c>
      <c r="R28" s="51">
        <f t="shared" ca="1" si="16"/>
        <v>-4.221760819380691</v>
      </c>
      <c r="S28" s="51">
        <f t="shared" ca="1" si="17"/>
        <v>0.85902119470460292</v>
      </c>
    </row>
    <row r="29" spans="1:19">
      <c r="A29" t="s">
        <v>214</v>
      </c>
      <c r="B29" s="1016">
        <f t="shared" ref="B29:F29" ca="1" si="22">(B13/B$18)*$L$18</f>
        <v>7.6147955817566562</v>
      </c>
      <c r="C29" s="1016">
        <f t="shared" ca="1" si="22"/>
        <v>6.9223362347820157</v>
      </c>
      <c r="D29" s="1016">
        <f t="shared" ca="1" si="22"/>
        <v>6.3656950046795213</v>
      </c>
      <c r="E29" s="1016">
        <f t="shared" ca="1" si="22"/>
        <v>6.1208998636366694</v>
      </c>
      <c r="F29" s="1016">
        <f t="shared" ca="1" si="22"/>
        <v>6.5209759304030861</v>
      </c>
      <c r="G29" s="1016">
        <f t="shared" ca="1" si="12"/>
        <v>7.2436113932338495</v>
      </c>
      <c r="H29" s="1016">
        <f t="shared" ca="1" si="12"/>
        <v>8.355119371609268</v>
      </c>
      <c r="I29" s="1016">
        <f t="shared" ca="1" si="12"/>
        <v>14.360400382069846</v>
      </c>
      <c r="J29" s="1016">
        <f t="shared" ca="1" si="12"/>
        <v>10.36855617940479</v>
      </c>
      <c r="K29" s="1016">
        <f t="shared" ca="1" si="12"/>
        <v>10.503356595112374</v>
      </c>
      <c r="L29" s="1016">
        <f t="shared" ca="1" si="12"/>
        <v>12.087999999999999</v>
      </c>
      <c r="M29" s="1016">
        <f t="shared" ca="1" si="12"/>
        <v>12.346804619120158</v>
      </c>
      <c r="N29" s="1016"/>
      <c r="O29" s="1016"/>
      <c r="P29" s="583">
        <f ca="1">L29/K29-1</f>
        <v>0.15087018997574764</v>
      </c>
      <c r="Q29" s="583">
        <f t="shared" ca="1" si="15"/>
        <v>2.1410044599616151E-2</v>
      </c>
      <c r="R29" s="51">
        <f t="shared" ca="1" si="16"/>
        <v>1.5846434048876255</v>
      </c>
      <c r="S29" s="51">
        <f t="shared" ca="1" si="17"/>
        <v>0.25880461912015917</v>
      </c>
    </row>
    <row r="30" spans="1:19">
      <c r="G30" s="1016"/>
      <c r="L30" s="1016"/>
      <c r="P30" s="583" t="e">
        <f>L30/L32-1</f>
        <v>#DIV/0!</v>
      </c>
      <c r="Q30" s="583"/>
      <c r="R30" s="51">
        <f>L30-L32</f>
        <v>0</v>
      </c>
      <c r="S30" s="51"/>
    </row>
    <row r="31" spans="1:19" ht="20.9" customHeight="1">
      <c r="B31" s="1762" t="s">
        <v>235</v>
      </c>
      <c r="C31" s="1762"/>
      <c r="D31" s="1762"/>
      <c r="E31" s="1762"/>
      <c r="F31" s="1762"/>
      <c r="G31" s="1762"/>
      <c r="L31" s="51"/>
      <c r="P31" s="78"/>
      <c r="Q31" s="51"/>
    </row>
    <row r="32" spans="1:19">
      <c r="A32" s="76" t="s">
        <v>231</v>
      </c>
      <c r="B32" s="1019" t="s">
        <v>237</v>
      </c>
      <c r="C32" s="1019" t="s">
        <v>238</v>
      </c>
      <c r="D32" s="1019" t="s">
        <v>239</v>
      </c>
      <c r="E32" s="1019" t="s">
        <v>240</v>
      </c>
      <c r="F32" s="1019" t="s">
        <v>241</v>
      </c>
      <c r="G32" s="1019" t="s">
        <v>242</v>
      </c>
      <c r="L32" s="51"/>
      <c r="Q32" s="51"/>
    </row>
    <row r="33" spans="1:21">
      <c r="A33" s="3" t="s">
        <v>202</v>
      </c>
      <c r="B33" s="583">
        <f ca="1">(K23/G23)^(1/COUNTA(H23:K23))-1</f>
        <v>5.3512962681226295E-2</v>
      </c>
      <c r="C33" s="583">
        <f ca="1">(L23/G23)^(1/COUNTA(H23:L23))-1</f>
        <v>4.0716315879363307E-2</v>
      </c>
      <c r="D33" s="583">
        <f ca="1">(M23/G23)^(1/COUNTA(H23:M23))-1</f>
        <v>2.8627246184607991E-2</v>
      </c>
      <c r="E33" s="1022">
        <f ca="1">(K23/H23)^(1/COUNTA(I23:K23))-1</f>
        <v>5.3556094968547407E-2</v>
      </c>
      <c r="F33" s="583">
        <f ca="1">(L23/H23)^(1/COUNTA(I23:L23))-1</f>
        <v>3.7573373880817718E-2</v>
      </c>
      <c r="G33" s="1022">
        <f ca="1">(M23/H23)^(1/COUNTA(I23:M23))-1</f>
        <v>2.374624035941264E-2</v>
      </c>
      <c r="Q33" s="51"/>
    </row>
    <row r="34" spans="1:21">
      <c r="A34" t="s">
        <v>204</v>
      </c>
      <c r="B34" s="583">
        <f ca="1">(K24/G24)^(1/COUNTA(H24:K24))-1</f>
        <v>5.1242647921812656E-2</v>
      </c>
      <c r="C34" s="583">
        <f ca="1">(L24/G24)^(1/COUNTA(H24:L24))-1</f>
        <v>3.1797390545326154E-2</v>
      </c>
      <c r="D34" s="583">
        <f ca="1">(M24/G24)^(1/COUNTA(H24:M24))-1</f>
        <v>2.4943323982796306E-2</v>
      </c>
      <c r="E34" s="583">
        <f t="shared" ref="E34:E39" ca="1" si="23">(K24/H24)^(1/COUNTA(I24:K24))-1</f>
        <v>5.2148777848571193E-2</v>
      </c>
      <c r="F34" s="583">
        <f ca="1">(L24/H24)^(1/COUNTA(I24:L24))-1</f>
        <v>2.7656388226330542E-2</v>
      </c>
      <c r="G34" s="583">
        <f ca="1">(M24/H24)^(1/COUNTA(I24:M24))-1</f>
        <v>2.029025122155792E-2</v>
      </c>
    </row>
    <row r="35" spans="1:21">
      <c r="A35" t="s">
        <v>129</v>
      </c>
      <c r="B35" s="583" t="s">
        <v>243</v>
      </c>
      <c r="C35" s="583" t="s">
        <v>243</v>
      </c>
      <c r="D35" s="583" t="s">
        <v>243</v>
      </c>
      <c r="E35" s="583">
        <f t="shared" ca="1" si="23"/>
        <v>4.3309655701309069E-2</v>
      </c>
      <c r="F35" s="583">
        <f ca="1">(L25/H25)^(1/COUNTA(I25:L25))-1</f>
        <v>2.6747726290501594E-2</v>
      </c>
      <c r="G35" s="1022">
        <f ca="1">(M25/H25)^(1/COUNTA(I25:M25))-1</f>
        <v>1.8319511570898062E-2</v>
      </c>
    </row>
    <row r="36" spans="1:21">
      <c r="A36" t="s">
        <v>232</v>
      </c>
      <c r="B36" s="583" t="s">
        <v>243</v>
      </c>
      <c r="C36" s="583" t="s">
        <v>243</v>
      </c>
      <c r="D36" s="583" t="s">
        <v>243</v>
      </c>
      <c r="E36" s="583" t="s">
        <v>243</v>
      </c>
      <c r="F36" s="583" t="s">
        <v>243</v>
      </c>
      <c r="G36" s="583" t="s">
        <v>243</v>
      </c>
      <c r="P36" s="51"/>
      <c r="Q36" s="51"/>
      <c r="R36" s="51"/>
    </row>
    <row r="37" spans="1:21">
      <c r="A37" t="s">
        <v>212</v>
      </c>
      <c r="B37" s="583">
        <f ca="1">(K27/G27)^(1/COUNTA(H27:K27))-1</f>
        <v>4.1991472774968397E-2</v>
      </c>
      <c r="C37" s="1022">
        <f ca="1">(L27/G27)^(1/COUNTA(H27:L27))-1</f>
        <v>2.9141170293006224E-2</v>
      </c>
      <c r="D37" s="583">
        <f ca="1">(M27/G27)^(1/COUNTA(H27:M27))-1</f>
        <v>2.172632193915458E-2</v>
      </c>
      <c r="E37" s="583">
        <f t="shared" ca="1" si="23"/>
        <v>4.5102595024905323E-2</v>
      </c>
      <c r="F37" s="583">
        <f ca="1">(L27/H27)^(1/COUNTA(I27:L27))-1</f>
        <v>2.8250004422435637E-2</v>
      </c>
      <c r="G37" s="583">
        <f ca="1">(M27/H27)^(1/COUNTA(I27:M27))-1</f>
        <v>1.9542940957571364E-2</v>
      </c>
      <c r="L37" s="172"/>
      <c r="P37" s="51"/>
      <c r="Q37" s="51"/>
      <c r="R37" s="51"/>
    </row>
    <row r="38" spans="1:21">
      <c r="A38" t="s">
        <v>234</v>
      </c>
      <c r="B38" s="583">
        <f ca="1">(K28/G28)^(1/COUNTA(H28:K28))-1</f>
        <v>9.7233954690318036E-2</v>
      </c>
      <c r="C38" s="583">
        <f ca="1">(L28/G28)^(1/COUNTA(H28:L28))-1</f>
        <v>2.001080079398454E-2</v>
      </c>
      <c r="D38" s="583">
        <f ca="1">(M28/G28)^(1/COUNTA(H28:M28))-1</f>
        <v>2.7154610998787687E-2</v>
      </c>
      <c r="E38" s="583">
        <f t="shared" ca="1" si="23"/>
        <v>0.15198030602854828</v>
      </c>
      <c r="F38" s="583">
        <f ca="1">(L28/H28)^(1/COUNTA(I28:L28))-1</f>
        <v>3.8820509474350562E-2</v>
      </c>
      <c r="G38" s="583">
        <f ca="1">(M28/H28)^(1/COUNTA(I28:M28))-1</f>
        <v>4.3735910341146544E-2</v>
      </c>
      <c r="P38" s="51"/>
      <c r="Q38" s="51"/>
      <c r="R38" s="51"/>
    </row>
    <row r="39" spans="1:21">
      <c r="A39" t="s">
        <v>214</v>
      </c>
      <c r="B39" s="583">
        <f ca="1">(K29/G29)^(1/COUNTA(H29:K29))-1</f>
        <v>9.7345133012068263E-2</v>
      </c>
      <c r="C39" s="583">
        <f ca="1">(L29/G29)^(1/COUNTA(H29:L29))-1</f>
        <v>0.10784719298239054</v>
      </c>
      <c r="D39" s="583">
        <f ca="1">(M29/G29)^(1/COUNTA(H29:M29))-1</f>
        <v>9.2949021097269435E-2</v>
      </c>
      <c r="E39" s="583">
        <f t="shared" ca="1" si="23"/>
        <v>7.9257686464460742E-2</v>
      </c>
      <c r="F39" s="583">
        <f ca="1">(L29/H29)^(1/COUNTA(I29:L29))-1</f>
        <v>9.6731830107540606E-2</v>
      </c>
      <c r="G39" s="583">
        <f ca="1">(M29/H29)^(1/COUNTA(I29:M29))-1</f>
        <v>8.1235716477260134E-2</v>
      </c>
      <c r="P39" s="51"/>
      <c r="Q39" s="51"/>
      <c r="R39" s="51"/>
    </row>
    <row r="40" spans="1:21">
      <c r="P40" s="51"/>
      <c r="Q40" s="51"/>
      <c r="R40" s="51"/>
    </row>
    <row r="41" spans="1:21">
      <c r="A41" s="1040" t="s">
        <v>244</v>
      </c>
      <c r="B41" s="1040" t="s">
        <v>245</v>
      </c>
      <c r="C41" s="1040" t="s">
        <v>192</v>
      </c>
      <c r="D41" s="1040" t="s">
        <v>193</v>
      </c>
      <c r="E41" s="1040" t="s">
        <v>165</v>
      </c>
      <c r="F41" s="1040" t="s">
        <v>167</v>
      </c>
      <c r="G41" s="1040" t="s">
        <v>168</v>
      </c>
      <c r="H41" s="1040" t="s">
        <v>169</v>
      </c>
      <c r="I41" s="1040" t="s">
        <v>170</v>
      </c>
      <c r="J41" s="1040" t="s">
        <v>171</v>
      </c>
      <c r="K41" s="1040" t="s">
        <v>172</v>
      </c>
      <c r="L41" s="1040" t="s">
        <v>173</v>
      </c>
      <c r="M41" s="1040" t="s">
        <v>174</v>
      </c>
      <c r="N41" s="1040"/>
      <c r="P41" s="51"/>
      <c r="Q41" s="51"/>
      <c r="R41" s="51"/>
    </row>
    <row r="42" spans="1:21">
      <c r="A42" t="s">
        <v>212</v>
      </c>
      <c r="B42" s="51">
        <f t="shared" ref="B42:G42" si="24">B11</f>
        <v>93.695999999999998</v>
      </c>
      <c r="C42" s="51">
        <f t="shared" si="24"/>
        <v>97.097999999999999</v>
      </c>
      <c r="D42" s="51">
        <f t="shared" si="24"/>
        <v>100.572</v>
      </c>
      <c r="E42" s="51">
        <f t="shared" si="24"/>
        <v>105.735</v>
      </c>
      <c r="F42" s="51">
        <f t="shared" si="24"/>
        <v>109.605</v>
      </c>
      <c r="G42" s="51">
        <f t="shared" si="24"/>
        <v>112.42700000000001</v>
      </c>
      <c r="H42" s="51">
        <f>H11</f>
        <v>118.85599999999999</v>
      </c>
      <c r="I42" s="51">
        <f t="shared" ref="I42:M42" si="25">I11</f>
        <v>138.17500000000001</v>
      </c>
      <c r="J42" s="51">
        <f t="shared" si="25"/>
        <v>143.83000000000001</v>
      </c>
      <c r="K42" s="51">
        <f t="shared" si="25"/>
        <v>152.249</v>
      </c>
      <c r="L42" s="51">
        <f t="shared" si="25"/>
        <v>158.249</v>
      </c>
      <c r="M42" s="51">
        <f t="shared" si="25"/>
        <v>159.649</v>
      </c>
      <c r="N42" s="51"/>
      <c r="P42" s="51"/>
      <c r="Q42" s="51"/>
      <c r="R42" s="51"/>
    </row>
    <row r="43" spans="1:21">
      <c r="A43" t="s">
        <v>266</v>
      </c>
      <c r="G43" s="96">
        <f>G48-G47</f>
        <v>1.8999999999999915</v>
      </c>
      <c r="H43" s="96">
        <f>H48-H47</f>
        <v>2.0999999999999943</v>
      </c>
      <c r="I43" s="96">
        <f>I48-I47</f>
        <v>2.4000000000000057</v>
      </c>
      <c r="J43" s="96">
        <f>J48-J47</f>
        <v>2.7000000000000171</v>
      </c>
      <c r="K43" s="96">
        <v>3.3</v>
      </c>
      <c r="L43" s="96">
        <v>3.3</v>
      </c>
      <c r="M43" s="96">
        <v>3.4</v>
      </c>
      <c r="N43" s="96"/>
      <c r="P43" s="51"/>
      <c r="Q43" s="51"/>
      <c r="R43" s="51"/>
      <c r="U43" s="78"/>
    </row>
    <row r="44" spans="1:21">
      <c r="A44" t="s">
        <v>267</v>
      </c>
      <c r="B44" s="1039">
        <f>C44/(1+$U$43)</f>
        <v>1.8999999999999915</v>
      </c>
      <c r="C44" s="1039">
        <f>D44/(1+$U$43)</f>
        <v>1.8999999999999915</v>
      </c>
      <c r="D44" s="1039">
        <f>E44/(1+$U$43)</f>
        <v>1.8999999999999915</v>
      </c>
      <c r="E44" s="1039">
        <f>F44/(1+$U$43)</f>
        <v>1.8999999999999915</v>
      </c>
      <c r="F44" s="1039">
        <f>G43/(1+$U$43)</f>
        <v>1.8999999999999915</v>
      </c>
      <c r="G44" s="96">
        <f t="shared" ref="G44:M44" si="26">G43</f>
        <v>1.8999999999999915</v>
      </c>
      <c r="H44" s="96">
        <f t="shared" si="26"/>
        <v>2.0999999999999943</v>
      </c>
      <c r="I44" s="96">
        <f t="shared" si="26"/>
        <v>2.4000000000000057</v>
      </c>
      <c r="J44" s="96">
        <f t="shared" si="26"/>
        <v>2.7000000000000171</v>
      </c>
      <c r="K44" s="96">
        <f t="shared" si="26"/>
        <v>3.3</v>
      </c>
      <c r="L44" s="96">
        <f t="shared" si="26"/>
        <v>3.3</v>
      </c>
      <c r="M44" s="96">
        <f t="shared" si="26"/>
        <v>3.4</v>
      </c>
      <c r="N44" s="96"/>
      <c r="P44" s="51"/>
      <c r="Q44" s="51"/>
      <c r="R44" s="51"/>
      <c r="U44" s="78"/>
    </row>
    <row r="45" spans="1:21">
      <c r="A45" t="s">
        <v>249</v>
      </c>
      <c r="B45" s="1035">
        <f>B42-B44</f>
        <v>91.796000000000006</v>
      </c>
      <c r="C45" s="1035">
        <f t="shared" ref="C45:F45" si="27">C42-C44</f>
        <v>95.198000000000008</v>
      </c>
      <c r="D45" s="1035">
        <f t="shared" si="27"/>
        <v>98.672000000000011</v>
      </c>
      <c r="E45" s="1035">
        <f t="shared" si="27"/>
        <v>103.83500000000001</v>
      </c>
      <c r="F45" s="1035">
        <f t="shared" si="27"/>
        <v>107.70500000000001</v>
      </c>
      <c r="G45" s="96">
        <f>G42</f>
        <v>112.42700000000001</v>
      </c>
      <c r="H45" s="96">
        <f t="shared" ref="H45:M45" si="28">H42</f>
        <v>118.85599999999999</v>
      </c>
      <c r="I45" s="96">
        <f t="shared" si="28"/>
        <v>138.17500000000001</v>
      </c>
      <c r="J45" s="96">
        <f t="shared" si="28"/>
        <v>143.83000000000001</v>
      </c>
      <c r="K45" s="96">
        <f t="shared" si="28"/>
        <v>152.249</v>
      </c>
      <c r="L45" s="96">
        <f t="shared" si="28"/>
        <v>158.249</v>
      </c>
      <c r="M45" s="96">
        <f t="shared" si="28"/>
        <v>159.649</v>
      </c>
      <c r="N45" s="96"/>
      <c r="P45" s="51"/>
      <c r="Q45" s="51"/>
      <c r="R45" s="51"/>
      <c r="U45" s="78"/>
    </row>
    <row r="46" spans="1:21">
      <c r="A46" t="s">
        <v>250</v>
      </c>
      <c r="B46" s="96">
        <f>B42</f>
        <v>93.695999999999998</v>
      </c>
      <c r="C46" s="96">
        <f t="shared" ref="C46:F46" si="29">C42</f>
        <v>97.097999999999999</v>
      </c>
      <c r="D46" s="96">
        <f t="shared" si="29"/>
        <v>100.572</v>
      </c>
      <c r="E46" s="96">
        <f t="shared" si="29"/>
        <v>105.735</v>
      </c>
      <c r="F46" s="96">
        <f t="shared" si="29"/>
        <v>109.605</v>
      </c>
      <c r="G46" s="1035">
        <f>G42+G44</f>
        <v>114.327</v>
      </c>
      <c r="H46" s="1035">
        <f t="shared" ref="H46:M46" si="30">H42+H44</f>
        <v>120.95599999999999</v>
      </c>
      <c r="I46" s="1035">
        <f t="shared" si="30"/>
        <v>140.57500000000002</v>
      </c>
      <c r="J46" s="1035">
        <f t="shared" si="30"/>
        <v>146.53000000000003</v>
      </c>
      <c r="K46" s="1035">
        <f t="shared" si="30"/>
        <v>155.54900000000001</v>
      </c>
      <c r="L46" s="1035">
        <f t="shared" si="30"/>
        <v>161.54900000000001</v>
      </c>
      <c r="M46" s="1035">
        <f t="shared" si="30"/>
        <v>163.04900000000001</v>
      </c>
      <c r="N46" s="1035" t="s">
        <v>268</v>
      </c>
      <c r="P46" s="51"/>
      <c r="Q46" s="51"/>
      <c r="R46" s="51"/>
      <c r="U46" s="78"/>
    </row>
    <row r="47" spans="1:21">
      <c r="A47" t="s">
        <v>246</v>
      </c>
      <c r="G47">
        <v>112.4</v>
      </c>
      <c r="H47">
        <v>121.7</v>
      </c>
      <c r="I47">
        <v>141</v>
      </c>
      <c r="J47">
        <v>146.69999999999999</v>
      </c>
      <c r="P47" s="51"/>
      <c r="Q47" s="51"/>
      <c r="R47" s="51"/>
    </row>
    <row r="48" spans="1:21">
      <c r="A48" t="s">
        <v>269</v>
      </c>
      <c r="G48">
        <v>114.3</v>
      </c>
      <c r="H48">
        <v>123.8</v>
      </c>
      <c r="I48">
        <v>143.4</v>
      </c>
      <c r="J48">
        <v>149.4</v>
      </c>
    </row>
    <row r="50" spans="1:14">
      <c r="B50" s="1017" t="s">
        <v>245</v>
      </c>
      <c r="C50" s="1017" t="s">
        <v>192</v>
      </c>
      <c r="D50" s="1017" t="s">
        <v>193</v>
      </c>
      <c r="E50" s="1017" t="s">
        <v>165</v>
      </c>
      <c r="F50" s="1017" t="s">
        <v>167</v>
      </c>
      <c r="G50" s="1017" t="s">
        <v>168</v>
      </c>
      <c r="H50" s="1017" t="s">
        <v>169</v>
      </c>
      <c r="I50" s="1017" t="s">
        <v>170</v>
      </c>
      <c r="J50" s="1017" t="s">
        <v>171</v>
      </c>
      <c r="K50" s="1017" t="s">
        <v>172</v>
      </c>
      <c r="L50" s="1017" t="s">
        <v>173</v>
      </c>
      <c r="M50" s="1017" t="s">
        <v>174</v>
      </c>
      <c r="N50" s="1017"/>
    </row>
    <row r="51" spans="1:14">
      <c r="A51" s="76" t="s">
        <v>226</v>
      </c>
      <c r="B51">
        <v>91.025000000000006</v>
      </c>
      <c r="C51">
        <v>92.125</v>
      </c>
      <c r="D51">
        <v>92.8</v>
      </c>
      <c r="E51">
        <v>94.9</v>
      </c>
      <c r="F51">
        <v>96.375</v>
      </c>
      <c r="G51" s="1016">
        <v>98.4</v>
      </c>
      <c r="H51" s="1016">
        <v>100.72499999999999</v>
      </c>
      <c r="I51" s="1016">
        <v>106.19999999999999</v>
      </c>
      <c r="J51" s="1016">
        <v>105.375</v>
      </c>
      <c r="K51" s="1016">
        <v>112.4</v>
      </c>
      <c r="L51" s="1016">
        <v>119.2549027044208</v>
      </c>
      <c r="M51" s="1016">
        <v>121.25506271536932</v>
      </c>
      <c r="N51" s="1016"/>
    </row>
    <row r="52" spans="1:14">
      <c r="B52" s="583"/>
      <c r="C52" s="583"/>
      <c r="D52" s="583"/>
    </row>
    <row r="53" spans="1:14">
      <c r="A53" s="1040" t="s">
        <v>251</v>
      </c>
      <c r="B53" s="1040" t="s">
        <v>245</v>
      </c>
      <c r="C53" s="1040" t="s">
        <v>192</v>
      </c>
      <c r="D53" s="1040" t="s">
        <v>193</v>
      </c>
      <c r="E53" s="1040" t="s">
        <v>165</v>
      </c>
      <c r="F53" s="1040" t="s">
        <v>167</v>
      </c>
      <c r="G53" s="1040" t="s">
        <v>168</v>
      </c>
      <c r="H53" s="1040" t="s">
        <v>169</v>
      </c>
      <c r="I53" s="1040" t="s">
        <v>170</v>
      </c>
      <c r="J53" s="1040" t="s">
        <v>171</v>
      </c>
      <c r="K53" s="1040" t="s">
        <v>172</v>
      </c>
      <c r="L53" s="1040" t="s">
        <v>173</v>
      </c>
      <c r="M53" s="1040" t="s">
        <v>174</v>
      </c>
      <c r="N53" s="1040"/>
    </row>
    <row r="54" spans="1:14">
      <c r="A54" t="s">
        <v>249</v>
      </c>
      <c r="B54" s="51">
        <f t="shared" ref="B54:M54" si="31">(B45/B51)*$L51</f>
        <v>120.2650156402638</v>
      </c>
      <c r="C54" s="51">
        <f t="shared" si="31"/>
        <v>123.23287085650423</v>
      </c>
      <c r="D54" s="51">
        <f t="shared" si="31"/>
        <v>126.80085947899366</v>
      </c>
      <c r="E54" s="51">
        <f t="shared" si="31"/>
        <v>130.48295913923639</v>
      </c>
      <c r="F54" s="51">
        <f t="shared" si="31"/>
        <v>133.27470086412083</v>
      </c>
      <c r="G54" s="51">
        <f t="shared" si="31"/>
        <v>136.25478604014143</v>
      </c>
      <c r="H54" s="51">
        <f t="shared" si="31"/>
        <v>140.72137717385596</v>
      </c>
      <c r="I54" s="51">
        <f t="shared" si="31"/>
        <v>155.16051018063413</v>
      </c>
      <c r="J54" s="51">
        <f t="shared" si="31"/>
        <v>162.77516162255606</v>
      </c>
      <c r="K54" s="51">
        <f t="shared" si="31"/>
        <v>161.53416087051031</v>
      </c>
      <c r="L54" s="51">
        <f t="shared" si="31"/>
        <v>158.249</v>
      </c>
      <c r="M54" s="51">
        <f t="shared" si="31"/>
        <v>157.01551370724627</v>
      </c>
      <c r="N54" s="51"/>
    </row>
    <row r="55" spans="1:14">
      <c r="A55" t="s">
        <v>250</v>
      </c>
      <c r="B55" s="51">
        <f t="shared" ref="B55:M55" si="32">(B46/B51)*$L51</f>
        <v>122.75426930835937</v>
      </c>
      <c r="C55" s="51">
        <f t="shared" si="32"/>
        <v>125.69240209274194</v>
      </c>
      <c r="D55" s="51">
        <f t="shared" si="32"/>
        <v>129.24250080591605</v>
      </c>
      <c r="E55" s="51">
        <f t="shared" si="32"/>
        <v>132.87057046840815</v>
      </c>
      <c r="F55" s="51">
        <f t="shared" si="32"/>
        <v>135.62577028189929</v>
      </c>
      <c r="G55" s="51">
        <f t="shared" si="32"/>
        <v>138.55747216959671</v>
      </c>
      <c r="H55" s="51">
        <f t="shared" si="32"/>
        <v>143.20770425927944</v>
      </c>
      <c r="I55" s="51">
        <f t="shared" si="32"/>
        <v>157.85553623045161</v>
      </c>
      <c r="J55" s="51">
        <f t="shared" si="32"/>
        <v>165.83080325768714</v>
      </c>
      <c r="K55" s="51">
        <f t="shared" si="32"/>
        <v>165.0354169107647</v>
      </c>
      <c r="L55" s="51">
        <f t="shared" si="32"/>
        <v>161.54900000000001</v>
      </c>
      <c r="M55" s="51">
        <f t="shared" si="32"/>
        <v>160.35942908789153</v>
      </c>
      <c r="N55" s="51"/>
    </row>
    <row r="56" spans="1:14">
      <c r="L56" s="51"/>
    </row>
    <row r="57" spans="1:14">
      <c r="L57" s="51">
        <f>K54-L54</f>
        <v>3.2851608705103104</v>
      </c>
      <c r="M57" s="51">
        <f>L54-M54</f>
        <v>1.2334862927537245</v>
      </c>
    </row>
    <row r="58" spans="1:14">
      <c r="L58" s="51">
        <f t="shared" ref="L58" si="33">K55-L55</f>
        <v>3.4864169107646887</v>
      </c>
    </row>
    <row r="59" spans="1:14">
      <c r="L59" s="51"/>
    </row>
  </sheetData>
  <mergeCells count="4">
    <mergeCell ref="P5:Q5"/>
    <mergeCell ref="R5:S5"/>
    <mergeCell ref="B31:G31"/>
    <mergeCell ref="A17:A18"/>
  </mergeCells>
  <phoneticPr fontId="21" type="noConversion"/>
  <hyperlinks>
    <hyperlink ref="K2" r:id="rId1" xr:uid="{84171880-4D46-45FD-B058-D824FA80DC2C}"/>
  </hyperlinks>
  <pageMargins left="0.7" right="0.7" top="0.75" bottom="0.75" header="0.3" footer="0.3"/>
  <pageSetup paperSize="9" orientation="portrait"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87C80-81BF-4110-A243-67811BD3661A}">
  <sheetPr>
    <tabColor theme="1"/>
  </sheetPr>
  <dimension ref="A1"/>
  <sheetViews>
    <sheetView workbookViewId="0">
      <selection activeCell="H23" sqref="H23"/>
    </sheetView>
  </sheetViews>
  <sheetFormatPr defaultRowHeight="14.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E701-6FBF-4EA7-92EA-EDA49F08B9B1}">
  <sheetPr>
    <tabColor rgb="FF00B050"/>
  </sheetPr>
  <dimension ref="A1:U25"/>
  <sheetViews>
    <sheetView workbookViewId="0">
      <selection activeCell="C22" sqref="C22"/>
    </sheetView>
  </sheetViews>
  <sheetFormatPr defaultRowHeight="14.5"/>
  <cols>
    <col min="1" max="1" width="27.81640625" customWidth="1"/>
    <col min="2" max="2" width="29" customWidth="1"/>
    <col min="3" max="3" width="22.54296875" style="1578" customWidth="1"/>
    <col min="4" max="4" width="8.81640625" style="1578"/>
    <col min="13" max="13" width="9.26953125" bestFit="1" customWidth="1"/>
    <col min="21" max="21" width="10.1796875" bestFit="1" customWidth="1"/>
  </cols>
  <sheetData>
    <row r="1" spans="1:21">
      <c r="A1" t="s">
        <v>314</v>
      </c>
      <c r="B1" t="s">
        <v>315</v>
      </c>
      <c r="C1" s="1578" t="s">
        <v>316</v>
      </c>
      <c r="D1" s="1578" t="s">
        <v>317</v>
      </c>
      <c r="E1" t="s">
        <v>318</v>
      </c>
      <c r="M1" t="s">
        <v>319</v>
      </c>
      <c r="P1" t="s">
        <v>320</v>
      </c>
      <c r="Q1" t="s">
        <v>321</v>
      </c>
      <c r="S1" t="s">
        <v>322</v>
      </c>
      <c r="T1" t="s">
        <v>323</v>
      </c>
    </row>
    <row r="2" spans="1:21">
      <c r="A2" s="1576" t="s">
        <v>324</v>
      </c>
      <c r="B2" s="1574"/>
      <c r="C2" s="1578">
        <f t="shared" ref="C2:C23" si="0">D2/$D$18</f>
        <v>0.67931259426735746</v>
      </c>
      <c r="D2" s="1578">
        <f t="shared" ref="D2:D23" si="1">T2</f>
        <v>69.544399999999996</v>
      </c>
      <c r="E2">
        <f>(D2/$D$16)*100</f>
        <v>73.812614429378826</v>
      </c>
      <c r="M2" s="1574">
        <v>83.449999999999989</v>
      </c>
      <c r="N2">
        <f t="shared" ref="N2:N22" si="2">(M2/$M$16)*100</f>
        <v>74.210760337927965</v>
      </c>
      <c r="O2" t="b">
        <f t="shared" ref="O2:O23" si="3">N2=E2</f>
        <v>0</v>
      </c>
      <c r="P2">
        <f t="shared" ref="P2:P23" si="4">(M2/$M$17)*100</f>
        <v>69.861866889912093</v>
      </c>
      <c r="Q2">
        <f t="shared" ref="Q2:Q22" si="5">(M2/$M$18)*100</f>
        <v>68.241362406386415</v>
      </c>
      <c r="S2" s="1588" t="s">
        <v>324</v>
      </c>
      <c r="T2" s="1589">
        <v>69.544399999999996</v>
      </c>
      <c r="U2" s="1590">
        <v>3.6165150162924244</v>
      </c>
    </row>
    <row r="3" spans="1:21">
      <c r="A3" s="1576" t="s">
        <v>325</v>
      </c>
      <c r="B3" s="1574"/>
      <c r="C3" s="1578">
        <f t="shared" si="0"/>
        <v>0.68845645803631195</v>
      </c>
      <c r="D3" s="1578">
        <f t="shared" si="1"/>
        <v>70.480500000000006</v>
      </c>
      <c r="E3">
        <f t="shared" ref="E3:E23" si="6">(D3/$D$16)*100</f>
        <v>74.806166582641225</v>
      </c>
      <c r="M3" s="1574">
        <v>84.6</v>
      </c>
      <c r="N3">
        <f t="shared" si="2"/>
        <v>75.233437083148075</v>
      </c>
      <c r="O3" t="b">
        <f t="shared" si="3"/>
        <v>0</v>
      </c>
      <c r="P3">
        <f t="shared" si="4"/>
        <v>70.824612808706576</v>
      </c>
      <c r="Q3">
        <f t="shared" si="5"/>
        <v>69.181776627684727</v>
      </c>
      <c r="S3" s="1588" t="s">
        <v>325</v>
      </c>
      <c r="T3" s="1589">
        <v>70.480500000000006</v>
      </c>
      <c r="U3" s="1590">
        <v>1.3460465544314286</v>
      </c>
    </row>
    <row r="4" spans="1:21">
      <c r="A4" s="1576" t="s">
        <v>188</v>
      </c>
      <c r="B4" s="1574"/>
      <c r="C4" s="1578">
        <f t="shared" si="0"/>
        <v>0.70148897917779141</v>
      </c>
      <c r="D4" s="1578">
        <f t="shared" si="1"/>
        <v>71.814700000000002</v>
      </c>
      <c r="E4">
        <f t="shared" si="6"/>
        <v>76.222251704831905</v>
      </c>
      <c r="M4" s="1574">
        <v>86.174999999999997</v>
      </c>
      <c r="N4">
        <f t="shared" si="2"/>
        <v>76.634059582036457</v>
      </c>
      <c r="O4" t="b">
        <f t="shared" si="3"/>
        <v>0</v>
      </c>
      <c r="P4">
        <f t="shared" si="4"/>
        <v>72.143156132272921</v>
      </c>
      <c r="Q4">
        <f t="shared" si="5"/>
        <v>70.469735235115039</v>
      </c>
      <c r="S4" s="1588" t="s">
        <v>188</v>
      </c>
      <c r="T4" s="1589">
        <v>71.814700000000002</v>
      </c>
      <c r="U4" s="1590">
        <v>1.8930058668709722</v>
      </c>
    </row>
    <row r="5" spans="1:21">
      <c r="A5" s="1576" t="s">
        <v>189</v>
      </c>
      <c r="B5" s="1574"/>
      <c r="C5" s="1578">
        <f t="shared" si="0"/>
        <v>0.71389146163419714</v>
      </c>
      <c r="D5" s="1578">
        <f t="shared" si="1"/>
        <v>73.084400000000002</v>
      </c>
      <c r="E5">
        <f t="shared" si="6"/>
        <v>77.5698782073394</v>
      </c>
      <c r="M5" s="1574">
        <v>87.675000000000011</v>
      </c>
      <c r="N5">
        <f t="shared" si="2"/>
        <v>77.967985771453996</v>
      </c>
      <c r="O5" t="b">
        <f t="shared" si="3"/>
        <v>0</v>
      </c>
      <c r="P5">
        <f t="shared" si="4"/>
        <v>73.398911678526602</v>
      </c>
      <c r="Q5">
        <f t="shared" si="5"/>
        <v>71.696362480286766</v>
      </c>
      <c r="S5" s="1588" t="s">
        <v>189</v>
      </c>
      <c r="T5" s="1589">
        <v>73.084400000000002</v>
      </c>
      <c r="U5" s="1590">
        <v>1.768022424378296</v>
      </c>
    </row>
    <row r="6" spans="1:21">
      <c r="A6" s="1576" t="s">
        <v>190</v>
      </c>
      <c r="B6" s="1574"/>
      <c r="C6" s="1578">
        <f t="shared" si="0"/>
        <v>0.72706952659594948</v>
      </c>
      <c r="D6" s="1578">
        <f t="shared" si="1"/>
        <v>74.433499999999995</v>
      </c>
      <c r="E6">
        <f t="shared" si="6"/>
        <v>79.001777801363858</v>
      </c>
      <c r="M6" s="1574">
        <v>89.3</v>
      </c>
      <c r="N6">
        <f t="shared" si="2"/>
        <v>79.413072476656296</v>
      </c>
      <c r="O6" t="b">
        <f t="shared" si="3"/>
        <v>0</v>
      </c>
      <c r="P6">
        <f t="shared" si="4"/>
        <v>74.75931352030139</v>
      </c>
      <c r="Q6">
        <f t="shared" si="5"/>
        <v>73.025208662556111</v>
      </c>
      <c r="S6" s="1588" t="s">
        <v>190</v>
      </c>
      <c r="T6" s="1589">
        <v>74.433499999999995</v>
      </c>
      <c r="U6" s="1590">
        <v>1.8459479724811216</v>
      </c>
    </row>
    <row r="7" spans="1:21">
      <c r="A7" s="1576" t="s">
        <v>191</v>
      </c>
      <c r="B7" s="1574"/>
      <c r="C7" s="1578">
        <f t="shared" si="0"/>
        <v>0.74097042663825163</v>
      </c>
      <c r="D7" s="1578">
        <f t="shared" si="1"/>
        <v>75.8566</v>
      </c>
      <c r="E7">
        <f t="shared" si="6"/>
        <v>80.51221906758299</v>
      </c>
      <c r="M7" s="1574">
        <v>91.025000000000006</v>
      </c>
      <c r="N7">
        <f t="shared" si="2"/>
        <v>80.947087594486462</v>
      </c>
      <c r="O7" t="b">
        <f t="shared" si="3"/>
        <v>0</v>
      </c>
      <c r="P7">
        <f t="shared" si="4"/>
        <v>76.203432398493106</v>
      </c>
      <c r="Q7">
        <f t="shared" si="5"/>
        <v>74.435829994503592</v>
      </c>
      <c r="S7" s="1588" t="s">
        <v>191</v>
      </c>
      <c r="T7" s="1589">
        <v>75.8566</v>
      </c>
      <c r="U7" s="1590">
        <v>1.9119079446754554</v>
      </c>
    </row>
    <row r="8" spans="1:21">
      <c r="A8" s="1576" t="s">
        <v>192</v>
      </c>
      <c r="B8" s="1574"/>
      <c r="C8" s="1578">
        <f t="shared" si="0"/>
        <v>0.75002442442421879</v>
      </c>
      <c r="D8" s="1578">
        <f t="shared" si="1"/>
        <v>76.783500000000004</v>
      </c>
      <c r="E8">
        <f t="shared" si="6"/>
        <v>81.496006580518483</v>
      </c>
      <c r="M8" s="1574">
        <v>92.125</v>
      </c>
      <c r="N8">
        <f t="shared" si="2"/>
        <v>81.925300133392625</v>
      </c>
      <c r="O8" t="b">
        <f t="shared" si="3"/>
        <v>0</v>
      </c>
      <c r="P8">
        <f t="shared" si="4"/>
        <v>77.124319799079117</v>
      </c>
      <c r="Q8">
        <f t="shared" si="5"/>
        <v>75.335356640962843</v>
      </c>
      <c r="S8" s="1587" t="s">
        <v>192</v>
      </c>
      <c r="T8" s="1587">
        <v>76.783500000000004</v>
      </c>
      <c r="U8" s="1587">
        <v>1.2219108159342804</v>
      </c>
    </row>
    <row r="9" spans="1:21">
      <c r="A9" s="1576" t="s">
        <v>193</v>
      </c>
      <c r="B9" s="1574"/>
      <c r="C9" s="1578">
        <f t="shared" si="0"/>
        <v>0.75540856897015152</v>
      </c>
      <c r="D9" s="1578">
        <f t="shared" si="1"/>
        <v>77.334699999999998</v>
      </c>
      <c r="E9">
        <f t="shared" si="6"/>
        <v>82.081035900973802</v>
      </c>
      <c r="M9" s="1574">
        <v>92.8</v>
      </c>
      <c r="N9">
        <f t="shared" si="2"/>
        <v>82.525566918630517</v>
      </c>
      <c r="O9" t="b">
        <f t="shared" si="3"/>
        <v>0</v>
      </c>
      <c r="P9">
        <f t="shared" si="4"/>
        <v>77.689409794893265</v>
      </c>
      <c r="Q9">
        <f t="shared" si="5"/>
        <v>75.887338901290107</v>
      </c>
      <c r="S9" s="1587" t="s">
        <v>193</v>
      </c>
      <c r="T9" s="1587">
        <v>77.334699999999998</v>
      </c>
      <c r="U9" s="1587">
        <v>0.71786256161804862</v>
      </c>
    </row>
    <row r="10" spans="1:21">
      <c r="A10" s="1576" t="s">
        <v>165</v>
      </c>
      <c r="B10" s="1574"/>
      <c r="C10" s="1578">
        <f t="shared" si="0"/>
        <v>0.7724694304794516</v>
      </c>
      <c r="D10" s="1578">
        <f t="shared" si="1"/>
        <v>79.081299999999999</v>
      </c>
      <c r="E10">
        <f t="shared" si="6"/>
        <v>83.934831639557402</v>
      </c>
      <c r="M10" s="1574">
        <v>94.9</v>
      </c>
      <c r="N10">
        <f t="shared" si="2"/>
        <v>84.393063583815035</v>
      </c>
      <c r="O10" t="b">
        <f t="shared" si="3"/>
        <v>0</v>
      </c>
      <c r="P10">
        <f t="shared" si="4"/>
        <v>79.447467559648402</v>
      </c>
      <c r="Q10">
        <f t="shared" si="5"/>
        <v>77.604617044530528</v>
      </c>
      <c r="S10" s="1587" t="s">
        <v>165</v>
      </c>
      <c r="T10" s="1587">
        <v>79.081299999999999</v>
      </c>
      <c r="U10" s="1591">
        <v>2.2584945697080365</v>
      </c>
    </row>
    <row r="11" spans="1:21">
      <c r="A11" s="1576" t="s">
        <v>167</v>
      </c>
      <c r="B11" s="1574"/>
      <c r="C11" s="1578">
        <f t="shared" si="0"/>
        <v>0.7846218510701537</v>
      </c>
      <c r="D11" s="1578">
        <f t="shared" si="1"/>
        <v>80.325400000000002</v>
      </c>
      <c r="E11">
        <f t="shared" si="6"/>
        <v>85.255286968981352</v>
      </c>
      <c r="M11" s="1574">
        <v>96.375</v>
      </c>
      <c r="N11">
        <f t="shared" si="2"/>
        <v>85.704757670075594</v>
      </c>
      <c r="O11" t="b">
        <f t="shared" si="3"/>
        <v>0</v>
      </c>
      <c r="P11">
        <f t="shared" si="4"/>
        <v>80.682293846797819</v>
      </c>
      <c r="Q11">
        <f t="shared" si="5"/>
        <v>78.810800502282703</v>
      </c>
      <c r="S11" s="1587" t="s">
        <v>167</v>
      </c>
      <c r="T11" s="1587">
        <v>80.325400000000002</v>
      </c>
      <c r="U11" s="1591">
        <v>1.5731911336814179</v>
      </c>
    </row>
    <row r="12" spans="1:21">
      <c r="A12" s="1576" t="s">
        <v>168</v>
      </c>
      <c r="B12" s="1574"/>
      <c r="C12" s="1578">
        <f t="shared" si="0"/>
        <v>0.80114644709401883</v>
      </c>
      <c r="D12" s="1578">
        <f t="shared" si="1"/>
        <v>82.017099999999999</v>
      </c>
      <c r="E12">
        <f t="shared" si="6"/>
        <v>87.050813277788095</v>
      </c>
      <c r="F12">
        <v>331.9</v>
      </c>
      <c r="G12" s="1650">
        <f>F12/C12</f>
        <v>414.28131049434677</v>
      </c>
      <c r="H12" s="130">
        <f>F18/G12</f>
        <v>1.168771044540295</v>
      </c>
      <c r="M12" s="1574">
        <v>98.4</v>
      </c>
      <c r="N12">
        <f t="shared" si="2"/>
        <v>87.505558025789256</v>
      </c>
      <c r="O12" t="b">
        <f t="shared" si="3"/>
        <v>0</v>
      </c>
      <c r="P12">
        <f t="shared" si="4"/>
        <v>82.377563834240277</v>
      </c>
      <c r="Q12">
        <f t="shared" si="5"/>
        <v>80.466747283264525</v>
      </c>
      <c r="S12" s="1587" t="s">
        <v>168</v>
      </c>
      <c r="T12" s="1587">
        <v>82.017099999999999</v>
      </c>
      <c r="U12" s="1591">
        <v>2.1060586066175797</v>
      </c>
    </row>
    <row r="13" spans="1:21">
      <c r="A13" s="1576" t="s">
        <v>169</v>
      </c>
      <c r="B13" s="1574"/>
      <c r="C13" s="1578">
        <f t="shared" si="0"/>
        <v>0.82012965919591607</v>
      </c>
      <c r="D13" s="1578">
        <f t="shared" si="1"/>
        <v>83.960499999999996</v>
      </c>
      <c r="E13">
        <f t="shared" si="6"/>
        <v>89.113487409451537</v>
      </c>
      <c r="H13" s="1606">
        <f>H12^(1/7)</f>
        <v>1.0225290021541313</v>
      </c>
      <c r="M13" s="1574">
        <v>100.72499999999999</v>
      </c>
      <c r="N13">
        <f t="shared" si="2"/>
        <v>89.5731436193864</v>
      </c>
      <c r="O13" t="b">
        <f t="shared" si="3"/>
        <v>0</v>
      </c>
      <c r="P13">
        <f t="shared" si="4"/>
        <v>84.323984930933449</v>
      </c>
      <c r="Q13">
        <f t="shared" si="5"/>
        <v>82.368019513280672</v>
      </c>
      <c r="S13" s="1587" t="s">
        <v>169</v>
      </c>
      <c r="T13" s="1587">
        <v>83.960499999999996</v>
      </c>
      <c r="U13" s="1591">
        <v>2.3695058713365835</v>
      </c>
    </row>
    <row r="14" spans="1:21">
      <c r="A14" s="1576" t="s">
        <v>170</v>
      </c>
      <c r="B14" s="1574"/>
      <c r="C14" s="1578">
        <f t="shared" si="0"/>
        <v>0.86413468673478977</v>
      </c>
      <c r="D14" s="1578">
        <f t="shared" si="1"/>
        <v>88.465500000000006</v>
      </c>
      <c r="E14">
        <f t="shared" si="6"/>
        <v>93.894977047788359</v>
      </c>
      <c r="M14" s="1574">
        <v>106.19999999999999</v>
      </c>
      <c r="N14">
        <f t="shared" si="2"/>
        <v>94.441974210760335</v>
      </c>
      <c r="O14" t="b">
        <f t="shared" si="3"/>
        <v>0</v>
      </c>
      <c r="P14">
        <f t="shared" si="4"/>
        <v>88.907492674759311</v>
      </c>
      <c r="Q14">
        <f t="shared" si="5"/>
        <v>86.845208958157428</v>
      </c>
      <c r="S14" s="1587" t="s">
        <v>170</v>
      </c>
      <c r="T14" s="1587">
        <v>88.465500000000006</v>
      </c>
      <c r="U14" s="1591">
        <v>5.3656183562508675</v>
      </c>
    </row>
    <row r="15" spans="1:21">
      <c r="A15" s="1576" t="s">
        <v>171</v>
      </c>
      <c r="B15" s="1574"/>
      <c r="C15" s="1578">
        <f t="shared" si="0"/>
        <v>0.85908558601673335</v>
      </c>
      <c r="D15" s="1578">
        <f t="shared" si="1"/>
        <v>87.948599999999999</v>
      </c>
      <c r="E15">
        <f t="shared" si="6"/>
        <v>93.346352853769204</v>
      </c>
      <c r="M15" s="1574">
        <v>105.35</v>
      </c>
      <c r="N15">
        <f t="shared" si="2"/>
        <v>93.68608270342375</v>
      </c>
      <c r="O15" t="b">
        <f t="shared" si="3"/>
        <v>0</v>
      </c>
      <c r="P15">
        <f t="shared" si="4"/>
        <v>88.195897865215585</v>
      </c>
      <c r="Q15">
        <f t="shared" si="5"/>
        <v>86.150120185893471</v>
      </c>
      <c r="S15" s="1587" t="s">
        <v>171</v>
      </c>
      <c r="T15" s="1587">
        <v>87.948599999999999</v>
      </c>
      <c r="U15" s="1591">
        <v>-0.58429557285044087</v>
      </c>
    </row>
    <row r="16" spans="1:21">
      <c r="A16" s="1576" t="s">
        <v>172</v>
      </c>
      <c r="B16" s="1574"/>
      <c r="C16" s="1578">
        <f t="shared" si="0"/>
        <v>0.92032046218508967</v>
      </c>
      <c r="D16" s="1578">
        <f t="shared" si="1"/>
        <v>94.217500000000001</v>
      </c>
      <c r="E16">
        <f t="shared" si="6"/>
        <v>100</v>
      </c>
      <c r="M16" s="1574">
        <v>112.44999999999999</v>
      </c>
      <c r="N16">
        <f t="shared" si="2"/>
        <v>100</v>
      </c>
      <c r="O16" t="b">
        <f t="shared" si="3"/>
        <v>1</v>
      </c>
      <c r="P16">
        <f t="shared" si="4"/>
        <v>94.139807450816235</v>
      </c>
      <c r="Q16">
        <f t="shared" si="5"/>
        <v>91.956155813039572</v>
      </c>
      <c r="S16" s="1587" t="s">
        <v>172</v>
      </c>
      <c r="T16" s="1587">
        <v>94.217500000000001</v>
      </c>
      <c r="U16" s="1591">
        <v>7.1279133493881677</v>
      </c>
    </row>
    <row r="17" spans="1:21">
      <c r="A17" s="1576" t="s">
        <v>173</v>
      </c>
      <c r="B17" s="1574"/>
      <c r="C17" s="1578">
        <f t="shared" si="0"/>
        <v>0.97680416290507566</v>
      </c>
      <c r="D17" s="1578">
        <f t="shared" si="1"/>
        <v>100</v>
      </c>
      <c r="E17">
        <f t="shared" si="6"/>
        <v>106.13739485764322</v>
      </c>
      <c r="H17">
        <f>7.3/13.3</f>
        <v>0.54887218045112773</v>
      </c>
      <c r="M17" s="1574">
        <v>119.44999999999999</v>
      </c>
      <c r="N17">
        <f t="shared" si="2"/>
        <v>106.22498888394843</v>
      </c>
      <c r="O17" t="b">
        <f t="shared" si="3"/>
        <v>0</v>
      </c>
      <c r="P17">
        <f t="shared" si="4"/>
        <v>100</v>
      </c>
      <c r="Q17">
        <f t="shared" si="5"/>
        <v>97.68041629050758</v>
      </c>
      <c r="S17" s="1587" t="s">
        <v>173</v>
      </c>
      <c r="T17" s="1587">
        <v>100</v>
      </c>
      <c r="U17" s="1591">
        <v>6.1373948576432173</v>
      </c>
    </row>
    <row r="18" spans="1:21" ht="16">
      <c r="A18" s="1576" t="s">
        <v>174</v>
      </c>
      <c r="B18" s="1574"/>
      <c r="C18" s="1578">
        <f t="shared" si="0"/>
        <v>1</v>
      </c>
      <c r="D18" s="1578">
        <f t="shared" si="1"/>
        <v>102.37466607696864</v>
      </c>
      <c r="E18">
        <f>(D18/$D$16)*100</f>
        <v>108.65780356830592</v>
      </c>
      <c r="F18">
        <v>484.2</v>
      </c>
      <c r="G18">
        <f>E18/E17-1</f>
        <v>2.3746660769686345E-2</v>
      </c>
      <c r="M18" s="1574">
        <v>122.28653862893901</v>
      </c>
      <c r="N18">
        <f t="shared" si="2"/>
        <v>108.74747766023924</v>
      </c>
      <c r="O18" t="b">
        <f t="shared" si="3"/>
        <v>0</v>
      </c>
      <c r="P18">
        <f t="shared" si="4"/>
        <v>102.37466607696864</v>
      </c>
      <c r="Q18">
        <f t="shared" si="5"/>
        <v>100</v>
      </c>
      <c r="S18" s="1587" t="s">
        <v>326</v>
      </c>
      <c r="T18" s="1592">
        <f t="shared" ref="T18:T21" si="7">T17*(1+(U18/100))</f>
        <v>102.37466607696864</v>
      </c>
      <c r="U18" s="1591">
        <v>2.3746660769686345</v>
      </c>
    </row>
    <row r="19" spans="1:21" ht="16">
      <c r="A19" s="1576" t="s">
        <v>139</v>
      </c>
      <c r="B19" s="1580"/>
      <c r="C19" s="1578">
        <f t="shared" si="0"/>
        <v>1.0238596781730427</v>
      </c>
      <c r="D19" s="1578">
        <f>T19</f>
        <v>104.81729266263783</v>
      </c>
      <c r="E19">
        <f>(D19/$D$16)*100</f>
        <v>111.25034379243539</v>
      </c>
      <c r="G19">
        <f>E19/E18-1</f>
        <v>2.3859678173042687E-2</v>
      </c>
      <c r="M19" s="1574">
        <v>125.20425608552085</v>
      </c>
      <c r="N19">
        <f t="shared" si="2"/>
        <v>111.3421574793427</v>
      </c>
      <c r="O19" t="b">
        <f t="shared" si="3"/>
        <v>0</v>
      </c>
      <c r="P19">
        <f t="shared" si="4"/>
        <v>104.81729266263781</v>
      </c>
      <c r="Q19">
        <f t="shared" si="5"/>
        <v>102.38596781730426</v>
      </c>
      <c r="S19" s="1587" t="s">
        <v>327</v>
      </c>
      <c r="T19" s="1592">
        <f>T18*(1+(U19/100))</f>
        <v>104.81729266263783</v>
      </c>
      <c r="U19" s="1591">
        <v>2.3859678173042687</v>
      </c>
    </row>
    <row r="20" spans="1:21" ht="16">
      <c r="A20" s="1576" t="s">
        <v>328</v>
      </c>
      <c r="B20" s="1574"/>
      <c r="C20" s="1578">
        <f t="shared" si="0"/>
        <v>1.0440387246855565</v>
      </c>
      <c r="D20" s="1578">
        <f t="shared" si="1"/>
        <v>106.88311581110803</v>
      </c>
      <c r="E20">
        <f t="shared" si="6"/>
        <v>113.44295466458783</v>
      </c>
      <c r="M20" s="1574">
        <v>127.67188183636851</v>
      </c>
      <c r="N20">
        <f t="shared" si="2"/>
        <v>113.53657788916721</v>
      </c>
      <c r="O20" t="b">
        <f t="shared" si="3"/>
        <v>0</v>
      </c>
      <c r="P20">
        <f t="shared" si="4"/>
        <v>106.88311581110801</v>
      </c>
      <c r="Q20">
        <f t="shared" si="5"/>
        <v>104.40387246855565</v>
      </c>
      <c r="S20" s="1587" t="s">
        <v>329</v>
      </c>
      <c r="T20" s="1592">
        <f t="shared" si="7"/>
        <v>106.88311581110803</v>
      </c>
      <c r="U20" s="1591">
        <v>1.9708800866658605</v>
      </c>
    </row>
    <row r="21" spans="1:21" ht="16">
      <c r="A21" s="1576" t="s">
        <v>330</v>
      </c>
      <c r="B21" s="1574"/>
      <c r="C21" s="1578">
        <f t="shared" si="0"/>
        <v>1.0644773912195744</v>
      </c>
      <c r="D21" s="1578">
        <f t="shared" si="1"/>
        <v>108.97551747258663</v>
      </c>
      <c r="E21">
        <f t="shared" si="6"/>
        <v>115.66377527803925</v>
      </c>
      <c r="M21" s="1574">
        <v>130.17125562100469</v>
      </c>
      <c r="N21">
        <f t="shared" si="2"/>
        <v>115.7592313214804</v>
      </c>
      <c r="O21" t="b">
        <f t="shared" si="3"/>
        <v>0</v>
      </c>
      <c r="P21">
        <f t="shared" si="4"/>
        <v>108.9755174725866</v>
      </c>
      <c r="Q21">
        <f t="shared" si="5"/>
        <v>106.44773912195743</v>
      </c>
      <c r="S21" s="1587" t="s">
        <v>331</v>
      </c>
      <c r="T21" s="1592">
        <f t="shared" si="7"/>
        <v>108.97551747258663</v>
      </c>
      <c r="U21" s="1591">
        <v>1.9576540650035446</v>
      </c>
    </row>
    <row r="22" spans="1:21" ht="16">
      <c r="A22" s="1576" t="s">
        <v>332</v>
      </c>
      <c r="B22" s="1574"/>
      <c r="C22" s="1578">
        <f t="shared" si="0"/>
        <v>1.0854557810829617</v>
      </c>
      <c r="D22" s="1578">
        <f t="shared" si="1"/>
        <v>111.12317312968337</v>
      </c>
      <c r="E22">
        <f t="shared" si="6"/>
        <v>117.94324104299452</v>
      </c>
      <c r="M22" s="1574">
        <v>132.73663030340674</v>
      </c>
      <c r="N22">
        <f t="shared" si="2"/>
        <v>118.0405783044969</v>
      </c>
      <c r="O22" t="b">
        <f t="shared" si="3"/>
        <v>0</v>
      </c>
      <c r="P22">
        <f t="shared" si="4"/>
        <v>111.12317312968334</v>
      </c>
      <c r="Q22">
        <f t="shared" si="5"/>
        <v>108.54557810829616</v>
      </c>
      <c r="S22" s="1587" t="s">
        <v>333</v>
      </c>
      <c r="T22" s="1592">
        <f>T21*(1+(U22/100))</f>
        <v>111.12317312968337</v>
      </c>
      <c r="U22" s="1591">
        <v>1.9707689460038536</v>
      </c>
    </row>
    <row r="23" spans="1:21" ht="16">
      <c r="A23" s="1577" t="s">
        <v>334</v>
      </c>
      <c r="B23" s="1575"/>
      <c r="C23" s="1578">
        <f t="shared" si="0"/>
        <v>1.1068653141111944</v>
      </c>
      <c r="D23" s="1578">
        <f t="shared" si="1"/>
        <v>113.31496692431253</v>
      </c>
      <c r="E23">
        <f t="shared" si="6"/>
        <v>120.26955387726539</v>
      </c>
      <c r="M23" s="1575">
        <v>135.35472799109129</v>
      </c>
      <c r="N23">
        <f>(M23/$M$16)*100</f>
        <v>120.36881101920081</v>
      </c>
      <c r="O23" t="b">
        <f t="shared" si="3"/>
        <v>0</v>
      </c>
      <c r="P23">
        <f t="shared" si="4"/>
        <v>113.31496692431253</v>
      </c>
      <c r="Q23">
        <f>(M23/$M$18)*100</f>
        <v>110.68653141111943</v>
      </c>
      <c r="S23" s="1593" t="s">
        <v>335</v>
      </c>
      <c r="T23" s="1592">
        <f>T22*(1+(U23/100))</f>
        <v>113.31496692431253</v>
      </c>
      <c r="U23" s="1594">
        <v>1.9724002950053388</v>
      </c>
    </row>
    <row r="25" spans="1:21">
      <c r="A25" t="s">
        <v>336</v>
      </c>
      <c r="B25" s="1579" t="s">
        <v>227</v>
      </c>
      <c r="F25" t="s">
        <v>337</v>
      </c>
    </row>
  </sheetData>
  <hyperlinks>
    <hyperlink ref="B25" r:id="rId1" xr:uid="{9357E3BA-5F84-4DC0-A239-A975B498C152}"/>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D2A49-2988-419E-89D1-F40C1ACE5F8B}">
  <dimension ref="A3:V76"/>
  <sheetViews>
    <sheetView topLeftCell="A14" zoomScale="91" zoomScaleNormal="55" workbookViewId="0">
      <selection activeCell="C14" sqref="C14"/>
    </sheetView>
  </sheetViews>
  <sheetFormatPr defaultColWidth="9.1796875" defaultRowHeight="14.5"/>
  <cols>
    <col min="1" max="1" width="5.54296875" style="39" customWidth="1"/>
    <col min="2" max="2" width="52.1796875" style="39" bestFit="1" customWidth="1"/>
    <col min="3" max="3" width="36.1796875" style="39" bestFit="1" customWidth="1"/>
    <col min="4" max="4" width="36.1796875" style="39" customWidth="1"/>
    <col min="5" max="5" width="13.1796875" style="39" customWidth="1"/>
    <col min="6" max="6" width="19.453125" style="39" customWidth="1"/>
    <col min="7" max="7" width="13.453125" style="39" customWidth="1"/>
    <col min="8" max="9" width="21.81640625" style="39" customWidth="1"/>
    <col min="10" max="10" width="9.1796875" style="39"/>
    <col min="11" max="11" width="12.1796875" style="39" bestFit="1" customWidth="1"/>
    <col min="12" max="12" width="9.1796875" style="39"/>
    <col min="13" max="13" width="16" style="39" bestFit="1" customWidth="1"/>
    <col min="14" max="18" width="9.1796875" style="39"/>
    <col min="19" max="19" width="10.81640625" style="39" bestFit="1" customWidth="1"/>
    <col min="20" max="21" width="9.1796875" style="39"/>
    <col min="22" max="22" width="21.1796875" style="39" customWidth="1"/>
    <col min="23" max="16384" width="9.1796875" style="39"/>
  </cols>
  <sheetData>
    <row r="3" spans="1:19" ht="76.5" customHeight="1">
      <c r="A3" s="1121"/>
      <c r="C3" s="1123"/>
      <c r="D3" s="1123"/>
      <c r="E3" s="1123"/>
      <c r="F3" s="1123"/>
      <c r="G3" s="1123"/>
      <c r="H3" s="1120"/>
      <c r="I3" s="1120"/>
    </row>
    <row r="4" spans="1:19" ht="81.650000000000006" customHeight="1">
      <c r="A4" s="1124"/>
      <c r="C4" s="1139" t="s">
        <v>338</v>
      </c>
      <c r="D4" s="1140" t="s">
        <v>339</v>
      </c>
      <c r="E4" s="1141"/>
      <c r="F4" s="1142" t="s">
        <v>226</v>
      </c>
      <c r="G4" s="1143"/>
      <c r="H4" s="1144" t="s">
        <v>340</v>
      </c>
      <c r="I4" s="1145" t="s">
        <v>339</v>
      </c>
      <c r="K4" s="39" t="s">
        <v>341</v>
      </c>
      <c r="R4" s="39" t="s">
        <v>342</v>
      </c>
    </row>
    <row r="5" spans="1:19">
      <c r="A5" s="1121"/>
      <c r="C5" s="1146"/>
      <c r="D5" s="1146"/>
      <c r="E5" s="1146"/>
      <c r="F5" s="1146"/>
      <c r="G5" s="1146"/>
      <c r="H5" s="1146"/>
      <c r="I5" s="1146"/>
      <c r="K5" s="39">
        <v>46698100</v>
      </c>
    </row>
    <row r="6" spans="1:19" ht="18.5">
      <c r="A6" s="1125"/>
      <c r="B6" s="111" t="s">
        <v>343</v>
      </c>
      <c r="C6" s="1147">
        <f>'Historic spend V2 (2)'!T6</f>
        <v>7.4</v>
      </c>
      <c r="D6" s="1147"/>
      <c r="E6" s="1147"/>
      <c r="F6" s="1148">
        <f>Deflator_HMT_SpringBudget24!C32</f>
        <v>21.0793</v>
      </c>
      <c r="G6" s="1148"/>
      <c r="H6" s="1149">
        <f>C6/F6*$F$51</f>
        <v>38.144897904838579</v>
      </c>
      <c r="K6" s="39">
        <v>46787200</v>
      </c>
      <c r="M6" s="39">
        <f>H6/(K6/1000000)</f>
        <v>0.8152849049491866</v>
      </c>
      <c r="Q6" s="1237">
        <f>H6</f>
        <v>38.144897904838579</v>
      </c>
      <c r="S6" s="39" t="e">
        <f>(H6/#REF!)^(1/COUNTA(#REF!))-1</f>
        <v>#REF!</v>
      </c>
    </row>
    <row r="7" spans="1:19" ht="18.5">
      <c r="A7" s="1125"/>
      <c r="B7" s="111" t="s">
        <v>344</v>
      </c>
      <c r="C7" s="1147">
        <f>'Historic spend V2 (2)'!T7</f>
        <v>9.6999999999999993</v>
      </c>
      <c r="D7" s="1147"/>
      <c r="E7" s="1147"/>
      <c r="F7" s="1148">
        <f>Deflator_HMT_SpringBudget24!C33</f>
        <v>25.102900000000002</v>
      </c>
      <c r="G7" s="1148"/>
      <c r="H7" s="1149">
        <f t="shared" ref="H7:H45" si="0">C7/F7*$F$51</f>
        <v>41.986411713888323</v>
      </c>
      <c r="K7" s="39">
        <v>46820805</v>
      </c>
      <c r="M7" s="39">
        <f t="shared" ref="M7:M47" si="1">H7/(K7/1000000)</f>
        <v>0.8967468994582285</v>
      </c>
      <c r="Q7" s="1237">
        <f t="shared" ref="Q7:Q45" si="2">H7</f>
        <v>41.986411713888323</v>
      </c>
      <c r="S7" s="39" t="e">
        <f>(H7/#REF!)^(1/COUNTA(#REF!))-1</f>
        <v>#REF!</v>
      </c>
    </row>
    <row r="8" spans="1:19" ht="18.5">
      <c r="A8" s="1125"/>
      <c r="B8" s="111" t="s">
        <v>345</v>
      </c>
      <c r="C8" s="1147">
        <f>'Historic spend V2 (2)'!T8</f>
        <v>10.9</v>
      </c>
      <c r="D8" s="1147"/>
      <c r="E8" s="1147"/>
      <c r="F8" s="1148">
        <f>Deflator_HMT_SpringBudget24!C34</f>
        <v>27.747699999999998</v>
      </c>
      <c r="G8" s="1148"/>
      <c r="H8" s="1149">
        <f t="shared" si="0"/>
        <v>42.683539857160582</v>
      </c>
      <c r="K8" s="39">
        <v>46777337</v>
      </c>
      <c r="M8" s="39">
        <f t="shared" si="1"/>
        <v>0.91248332193772763</v>
      </c>
      <c r="Q8" s="1237">
        <f t="shared" si="2"/>
        <v>42.683539857160582</v>
      </c>
      <c r="S8" s="39" t="e">
        <f>(H8/#REF!)^(1/COUNTA(#REF!))-1</f>
        <v>#REF!</v>
      </c>
    </row>
    <row r="9" spans="1:19" ht="18.5">
      <c r="A9" s="1125"/>
      <c r="B9" s="111" t="s">
        <v>346</v>
      </c>
      <c r="C9" s="1147">
        <f>'Historic spend V2 (2)'!T9</f>
        <v>11.8</v>
      </c>
      <c r="D9" s="1147"/>
      <c r="E9" s="1147"/>
      <c r="F9" s="1148">
        <f>Deflator_HMT_SpringBudget24!C35</f>
        <v>29.793500000000002</v>
      </c>
      <c r="G9" s="1148"/>
      <c r="H9" s="1149">
        <f>C9/F9*$F$51</f>
        <v>43.034960045177968</v>
      </c>
      <c r="K9" s="39">
        <v>46813693</v>
      </c>
      <c r="M9" s="39">
        <f t="shared" si="1"/>
        <v>0.91928145991767762</v>
      </c>
      <c r="Q9" s="1237">
        <f t="shared" si="2"/>
        <v>43.034960045177968</v>
      </c>
      <c r="S9" s="39" t="e">
        <f>(H9/#REF!)^(1/COUNTA(#REF!))-1</f>
        <v>#REF!</v>
      </c>
    </row>
    <row r="10" spans="1:19" ht="18.5">
      <c r="A10" s="1125"/>
      <c r="B10" s="111" t="s">
        <v>347</v>
      </c>
      <c r="C10" s="1147">
        <f>'Historic spend V2 (2)'!T10</f>
        <v>12.5</v>
      </c>
      <c r="D10" s="1147"/>
      <c r="E10" s="1147"/>
      <c r="F10" s="1148">
        <f>Deflator_HMT_SpringBudget24!C36</f>
        <v>31.212</v>
      </c>
      <c r="G10" s="1148"/>
      <c r="H10" s="1149">
        <f t="shared" si="0"/>
        <v>43.516036928227088</v>
      </c>
      <c r="K10" s="39">
        <v>46912444</v>
      </c>
      <c r="M10" s="39">
        <f t="shared" si="1"/>
        <v>0.92760114839097041</v>
      </c>
      <c r="Q10" s="1237">
        <f t="shared" si="2"/>
        <v>43.516036928227088</v>
      </c>
      <c r="S10" s="39" t="e">
        <f>(H10/#REF!)^(1/COUNTA(H1:H10))-1</f>
        <v>#REF!</v>
      </c>
    </row>
    <row r="11" spans="1:19" ht="18.5">
      <c r="A11" s="1125"/>
      <c r="B11" s="111" t="s">
        <v>348</v>
      </c>
      <c r="C11" s="1147">
        <f>'Historic spend V2 (2)'!T11</f>
        <v>13.4</v>
      </c>
      <c r="D11" s="1147"/>
      <c r="E11" s="1147"/>
      <c r="F11" s="1148">
        <f>Deflator_HMT_SpringBudget24!C37</f>
        <v>33.035400000000003</v>
      </c>
      <c r="G11" s="1148"/>
      <c r="H11" s="1149">
        <f t="shared" si="0"/>
        <v>44.074373787370497</v>
      </c>
      <c r="K11" s="39">
        <v>47057359</v>
      </c>
      <c r="M11" s="39">
        <f t="shared" si="1"/>
        <v>0.93660959144287081</v>
      </c>
      <c r="Q11" s="1237">
        <f t="shared" si="2"/>
        <v>44.074373787370497</v>
      </c>
      <c r="S11" s="39" t="e">
        <f t="shared" ref="S11:S15" si="3">(H11/H1)^(1/COUNTA(H2:H11))-1</f>
        <v>#DIV/0!</v>
      </c>
    </row>
    <row r="12" spans="1:19" ht="18.5">
      <c r="A12" s="1125"/>
      <c r="B12" s="111" t="s">
        <v>349</v>
      </c>
      <c r="C12" s="1147">
        <f>'Historic spend V2 (2)'!T12</f>
        <v>14.2</v>
      </c>
      <c r="D12" s="1147"/>
      <c r="E12" s="1147"/>
      <c r="F12" s="1148">
        <f>Deflator_HMT_SpringBudget24!C38</f>
        <v>34.832700000000003</v>
      </c>
      <c r="G12" s="1148"/>
      <c r="H12" s="1149">
        <f t="shared" si="0"/>
        <v>44.295756879884244</v>
      </c>
      <c r="K12" s="39">
        <v>47187643</v>
      </c>
      <c r="M12" s="39">
        <f t="shared" si="1"/>
        <v>0.93871518185140634</v>
      </c>
      <c r="Q12" s="1237">
        <f t="shared" si="2"/>
        <v>44.295756879884244</v>
      </c>
      <c r="S12" s="39" t="e">
        <f t="shared" si="3"/>
        <v>#DIV/0!</v>
      </c>
    </row>
    <row r="13" spans="1:19" ht="18.5">
      <c r="A13" s="1125"/>
      <c r="B13" s="111" t="s">
        <v>350</v>
      </c>
      <c r="C13" s="1147">
        <f>'Historic spend V2 (2)'!T13</f>
        <v>15.2</v>
      </c>
      <c r="D13" s="1147"/>
      <c r="E13" s="1147"/>
      <c r="F13" s="1148">
        <f>Deflator_HMT_SpringBudget24!C39</f>
        <v>36.244300000000003</v>
      </c>
      <c r="G13" s="1148"/>
      <c r="H13" s="1149">
        <f t="shared" si="0"/>
        <v>45.568506337224058</v>
      </c>
      <c r="K13" s="39">
        <v>47300419</v>
      </c>
      <c r="M13" s="39">
        <f t="shared" si="1"/>
        <v>0.9633848346507049</v>
      </c>
      <c r="Q13" s="1237">
        <f t="shared" si="2"/>
        <v>45.568506337224058</v>
      </c>
      <c r="S13" s="39" t="e">
        <f t="shared" si="3"/>
        <v>#DIV/0!</v>
      </c>
    </row>
    <row r="14" spans="1:19" ht="18.5">
      <c r="A14" s="1125"/>
      <c r="B14" s="111" t="s">
        <v>351</v>
      </c>
      <c r="C14" s="1147">
        <f>'Historic spend V2 (2)'!T14</f>
        <v>16.7</v>
      </c>
      <c r="D14" s="1147"/>
      <c r="E14" s="1147"/>
      <c r="F14" s="1148">
        <f>Deflator_HMT_SpringBudget24!C40</f>
        <v>38.355699999999999</v>
      </c>
      <c r="G14" s="1148"/>
      <c r="H14" s="1149">
        <f t="shared" si="0"/>
        <v>47.309404328188741</v>
      </c>
      <c r="K14" s="39">
        <v>47412342</v>
      </c>
      <c r="M14" s="39">
        <f t="shared" si="1"/>
        <v>0.99782888447461082</v>
      </c>
      <c r="Q14" s="1237">
        <f t="shared" si="2"/>
        <v>47.309404328188741</v>
      </c>
      <c r="S14" s="39" t="e">
        <f t="shared" si="3"/>
        <v>#VALUE!</v>
      </c>
    </row>
    <row r="15" spans="1:19" ht="18.5">
      <c r="A15" s="1125"/>
      <c r="B15" s="111" t="s">
        <v>352</v>
      </c>
      <c r="C15" s="1147">
        <f>'Historic spend V2 (2)'!T15</f>
        <v>18.399999999999999</v>
      </c>
      <c r="D15" s="1147"/>
      <c r="E15" s="1147"/>
      <c r="F15" s="1148">
        <f>Deflator_HMT_SpringBudget24!C41</f>
        <v>40.967300000000002</v>
      </c>
      <c r="G15" s="1148"/>
      <c r="H15" s="1149">
        <f t="shared" si="0"/>
        <v>48.802424998885179</v>
      </c>
      <c r="K15" s="39">
        <v>47552651</v>
      </c>
      <c r="M15" s="39">
        <f t="shared" si="1"/>
        <v>1.0262818995913641</v>
      </c>
      <c r="Q15" s="1237">
        <f t="shared" si="2"/>
        <v>48.802424998885179</v>
      </c>
      <c r="S15" s="39" t="e">
        <f t="shared" si="3"/>
        <v>#DIV/0!</v>
      </c>
    </row>
    <row r="16" spans="1:19" s="1251" customFormat="1" ht="18.5">
      <c r="A16" s="1246"/>
      <c r="B16" s="1247" t="s">
        <v>353</v>
      </c>
      <c r="C16" s="1248">
        <f>'Historic spend V2 (2)'!T16</f>
        <v>19.899999999999999</v>
      </c>
      <c r="D16" s="1248"/>
      <c r="E16" s="1248"/>
      <c r="F16" s="1249">
        <f>Deflator_HMT_SpringBudget24!C42</f>
        <v>44.273800000000001</v>
      </c>
      <c r="G16" s="1249"/>
      <c r="H16" s="1250">
        <f t="shared" si="0"/>
        <v>48.839049076638723</v>
      </c>
      <c r="K16" s="1251">
        <v>47699116</v>
      </c>
      <c r="M16" s="1251">
        <f t="shared" si="1"/>
        <v>1.0238984109608809</v>
      </c>
      <c r="Q16" s="1252">
        <f t="shared" si="2"/>
        <v>48.839049076638723</v>
      </c>
      <c r="S16" s="1258">
        <f>(H16/H6)^(1/COUNTA(H7:H16))-1</f>
        <v>2.502173452898826E-2</v>
      </c>
    </row>
    <row r="17" spans="1:19" ht="18.5">
      <c r="A17" s="1125"/>
      <c r="B17" s="111" t="s">
        <v>354</v>
      </c>
      <c r="C17" s="1147">
        <f>'Historic spend V2 (2)'!T17</f>
        <v>22.3</v>
      </c>
      <c r="D17" s="1147"/>
      <c r="E17" s="1147"/>
      <c r="F17" s="1148">
        <f>Deflator_HMT_SpringBudget24!C43</f>
        <v>47.991799999999998</v>
      </c>
      <c r="G17" s="1148"/>
      <c r="H17" s="1149">
        <f t="shared" si="0"/>
        <v>50.489229817869351</v>
      </c>
      <c r="K17" s="39">
        <v>47875035</v>
      </c>
      <c r="M17" s="39">
        <f t="shared" si="1"/>
        <v>1.054604551576189</v>
      </c>
      <c r="Q17" s="1237">
        <f t="shared" si="2"/>
        <v>50.489229817869351</v>
      </c>
      <c r="S17" s="1119">
        <f t="shared" ref="S17:S45" si="4">(H17/H7)^(1/COUNTA(H8:H17))-1</f>
        <v>1.8612493470916425E-2</v>
      </c>
    </row>
    <row r="18" spans="1:19" ht="18.5">
      <c r="A18" s="1125"/>
      <c r="B18" s="111" t="s">
        <v>355</v>
      </c>
      <c r="C18" s="1147">
        <f>'Historic spend V2 (2)'!T18</f>
        <v>25.4</v>
      </c>
      <c r="D18" s="1147"/>
      <c r="E18" s="1147"/>
      <c r="F18" s="1148">
        <f>Deflator_HMT_SpringBudget24!C44</f>
        <v>50.886200000000002</v>
      </c>
      <c r="G18" s="1148"/>
      <c r="H18" s="1149">
        <f t="shared" si="0"/>
        <v>54.236869930059036</v>
      </c>
      <c r="K18" s="39">
        <v>47997973</v>
      </c>
      <c r="M18" s="39">
        <f t="shared" si="1"/>
        <v>1.1299825084292421</v>
      </c>
      <c r="Q18" s="1237">
        <f t="shared" si="2"/>
        <v>54.236869930059036</v>
      </c>
      <c r="S18" s="1119">
        <f t="shared" si="4"/>
        <v>2.4243977147219598E-2</v>
      </c>
    </row>
    <row r="19" spans="1:19" ht="18.5">
      <c r="A19" s="1125"/>
      <c r="B19" s="111" t="s">
        <v>356</v>
      </c>
      <c r="C19" s="1147">
        <f>'Historic spend V2 (2)'!T19</f>
        <v>28</v>
      </c>
      <c r="D19" s="1147"/>
      <c r="E19" s="1147"/>
      <c r="F19" s="1148">
        <f>Deflator_HMT_SpringBudget24!C45</f>
        <v>52.290199999999999</v>
      </c>
      <c r="G19" s="1148"/>
      <c r="H19" s="1149">
        <f t="shared" si="0"/>
        <v>58.183340280063298</v>
      </c>
      <c r="K19" s="39">
        <v>48102319</v>
      </c>
      <c r="M19" s="39">
        <f t="shared" si="1"/>
        <v>1.2095745379773333</v>
      </c>
      <c r="Q19" s="1237">
        <f t="shared" si="2"/>
        <v>58.183340280063298</v>
      </c>
      <c r="S19" s="1119">
        <f t="shared" si="4"/>
        <v>3.0618003243027658E-2</v>
      </c>
    </row>
    <row r="20" spans="1:19" ht="18.5">
      <c r="A20" s="1125"/>
      <c r="B20" s="111" t="s">
        <v>357</v>
      </c>
      <c r="C20" s="1147">
        <f>'Historic spend V2 (2)'!T20</f>
        <v>28.9</v>
      </c>
      <c r="D20" s="1147"/>
      <c r="E20" s="1147"/>
      <c r="F20" s="1148">
        <f>Deflator_HMT_SpringBudget24!C46</f>
        <v>53.780999999999999</v>
      </c>
      <c r="G20" s="1148"/>
      <c r="H20" s="1149">
        <f t="shared" si="0"/>
        <v>58.388845933025436</v>
      </c>
      <c r="K20" s="39">
        <v>48228781</v>
      </c>
      <c r="M20" s="39">
        <f t="shared" si="1"/>
        <v>1.2106639380544459</v>
      </c>
      <c r="Q20" s="1237">
        <f t="shared" si="2"/>
        <v>58.388845933025436</v>
      </c>
      <c r="S20" s="1119">
        <f t="shared" si="4"/>
        <v>2.9835966992917795E-2</v>
      </c>
    </row>
    <row r="21" spans="1:19" ht="18.5">
      <c r="A21" s="1125"/>
      <c r="B21" s="111" t="s">
        <v>358</v>
      </c>
      <c r="C21" s="1147">
        <f>'Historic spend V2 (2)'!T21</f>
        <v>30.6</v>
      </c>
      <c r="D21" s="1147"/>
      <c r="E21" s="1147"/>
      <c r="F21" s="1148">
        <f>Deflator_HMT_SpringBudget24!C47</f>
        <v>54.670099999999998</v>
      </c>
      <c r="G21" s="1148"/>
      <c r="H21" s="1149">
        <f t="shared" si="0"/>
        <v>60.818048424827488</v>
      </c>
      <c r="K21" s="39">
        <v>48383461</v>
      </c>
      <c r="M21" s="39">
        <f t="shared" si="1"/>
        <v>1.2570007843140343</v>
      </c>
      <c r="Q21" s="1237">
        <f t="shared" si="2"/>
        <v>60.818048424827488</v>
      </c>
      <c r="S21" s="1119">
        <f t="shared" si="4"/>
        <v>3.2724863250494174E-2</v>
      </c>
    </row>
    <row r="22" spans="1:19" ht="18.5">
      <c r="A22" s="1125"/>
      <c r="B22" s="111" t="s">
        <v>359</v>
      </c>
      <c r="C22" s="1147">
        <f>'Historic spend V2 (2)'!T22</f>
        <v>32</v>
      </c>
      <c r="D22" s="1147"/>
      <c r="E22" s="1147"/>
      <c r="F22" s="1148">
        <f>Deflator_HMT_SpringBudget24!C48</f>
        <v>56.405099999999997</v>
      </c>
      <c r="G22" s="1148"/>
      <c r="H22" s="1149">
        <f t="shared" si="0"/>
        <v>61.644243413907425</v>
      </c>
      <c r="K22" s="39">
        <v>48519129</v>
      </c>
      <c r="M22" s="39">
        <f t="shared" si="1"/>
        <v>1.2705142215951037</v>
      </c>
      <c r="Q22" s="1237">
        <f t="shared" si="2"/>
        <v>61.644243413907425</v>
      </c>
      <c r="S22" s="1119">
        <f t="shared" si="4"/>
        <v>3.3601283580678487E-2</v>
      </c>
    </row>
    <row r="23" spans="1:19" s="155" customFormat="1" ht="18.5">
      <c r="A23" s="1238"/>
      <c r="B23" s="1239" t="s">
        <v>360</v>
      </c>
      <c r="C23" s="1240">
        <f>'Historic spend V2 (2)'!T23</f>
        <v>33</v>
      </c>
      <c r="D23" s="1240"/>
      <c r="E23" s="1240"/>
      <c r="F23" s="1241">
        <f>Deflator_HMT_SpringBudget24!C49</f>
        <v>58.314500000000002</v>
      </c>
      <c r="G23" s="1241"/>
      <c r="H23" s="1242">
        <f t="shared" si="0"/>
        <v>61.489123935798041</v>
      </c>
      <c r="K23" s="155">
        <v>48664777</v>
      </c>
      <c r="M23" s="155">
        <f t="shared" si="1"/>
        <v>1.2635242104530355</v>
      </c>
      <c r="Q23" s="1200">
        <f t="shared" si="2"/>
        <v>61.489123935798041</v>
      </c>
      <c r="S23" s="1119">
        <f t="shared" si="4"/>
        <v>3.0417797378029743E-2</v>
      </c>
    </row>
    <row r="24" spans="1:19" ht="18.5">
      <c r="A24" s="1125"/>
      <c r="B24" s="111" t="s">
        <v>361</v>
      </c>
      <c r="C24" s="1147">
        <f>'Historic spend V2 (2)'!T24</f>
        <v>34.700000000000003</v>
      </c>
      <c r="D24" s="1147"/>
      <c r="E24" s="1147"/>
      <c r="F24" s="1148">
        <f>Deflator_HMT_SpringBudget24!C50</f>
        <v>58.304600000000001</v>
      </c>
      <c r="G24" s="1148"/>
      <c r="H24" s="1149">
        <f t="shared" si="0"/>
        <v>64.667724052994373</v>
      </c>
      <c r="K24" s="39">
        <v>48820583</v>
      </c>
      <c r="M24" s="39">
        <f t="shared" si="1"/>
        <v>1.3245995864693867</v>
      </c>
      <c r="Q24" s="1237">
        <f t="shared" si="2"/>
        <v>64.667724052994373</v>
      </c>
      <c r="R24" s="39">
        <f>Q23*(1+3%)</f>
        <v>63.333797653871983</v>
      </c>
      <c r="S24" s="1119">
        <f t="shared" si="4"/>
        <v>3.1748888429223188E-2</v>
      </c>
    </row>
    <row r="25" spans="1:19" ht="18.5">
      <c r="A25" s="1125"/>
      <c r="B25" s="111" t="s">
        <v>362</v>
      </c>
      <c r="C25" s="1147">
        <f>'Historic spend V2 (2)'!T25</f>
        <v>36.6</v>
      </c>
      <c r="D25" s="1147"/>
      <c r="E25" s="1147"/>
      <c r="F25" s="1148">
        <f>Deflator_HMT_SpringBudget24!C51</f>
        <v>59.101500000000001</v>
      </c>
      <c r="G25" s="1148"/>
      <c r="H25" s="1149">
        <f t="shared" si="0"/>
        <v>67.288911628300411</v>
      </c>
      <c r="K25" s="39">
        <v>49032872</v>
      </c>
      <c r="M25" s="39">
        <f t="shared" si="1"/>
        <v>1.3723224621290879</v>
      </c>
      <c r="Q25" s="1237">
        <f t="shared" si="2"/>
        <v>67.288911628300411</v>
      </c>
      <c r="R25" s="39">
        <f>R24*(1+3%)</f>
        <v>65.233811583488148</v>
      </c>
      <c r="S25" s="1119">
        <f t="shared" si="4"/>
        <v>3.2643011150090162E-2</v>
      </c>
    </row>
    <row r="26" spans="1:19" s="1251" customFormat="1" ht="18.5">
      <c r="A26" s="1253"/>
      <c r="B26" s="1247" t="s">
        <v>363</v>
      </c>
      <c r="C26" s="1248">
        <f>'Historic spend V2 (2)'!T26</f>
        <v>40.200000000000003</v>
      </c>
      <c r="D26" s="1254"/>
      <c r="E26" s="1254"/>
      <c r="F26" s="1249">
        <f>Deflator_HMT_SpringBudget24!C52</f>
        <v>59.89</v>
      </c>
      <c r="G26" s="1249"/>
      <c r="H26" s="1250">
        <f t="shared" si="0"/>
        <v>72.934441533576532</v>
      </c>
      <c r="K26" s="1251">
        <v>49233311</v>
      </c>
      <c r="M26" s="1251">
        <f t="shared" si="1"/>
        <v>1.4814043592066464</v>
      </c>
      <c r="Q26" s="1252">
        <f t="shared" si="2"/>
        <v>72.934441533576532</v>
      </c>
      <c r="R26" s="1251">
        <f t="shared" ref="R26:R37" si="5">R25*(1+3%)</f>
        <v>67.190825930992787</v>
      </c>
      <c r="S26" s="1258">
        <f>(H26/H16)^(1/COUNTA(H17:H26))-1</f>
        <v>4.0918066245704265E-2</v>
      </c>
    </row>
    <row r="27" spans="1:19" ht="18.5">
      <c r="A27" s="1121"/>
      <c r="B27" s="111" t="s">
        <v>364</v>
      </c>
      <c r="C27" s="1147">
        <f>'Historic spend V2 (2)'!T27</f>
        <v>43.9</v>
      </c>
      <c r="D27" s="1150"/>
      <c r="E27" s="1150"/>
      <c r="F27" s="1148">
        <f>Deflator_HMT_SpringBudget24!C53</f>
        <v>60.501100000000001</v>
      </c>
      <c r="G27" s="1148"/>
      <c r="H27" s="1149">
        <f t="shared" si="0"/>
        <v>78.842823959376432</v>
      </c>
      <c r="K27" s="39">
        <v>49449746</v>
      </c>
      <c r="M27" s="39">
        <f t="shared" si="1"/>
        <v>1.5944030118855703</v>
      </c>
      <c r="Q27" s="1237">
        <f t="shared" si="2"/>
        <v>78.842823959376432</v>
      </c>
      <c r="R27" s="39">
        <f t="shared" si="5"/>
        <v>69.206550708922578</v>
      </c>
      <c r="S27" s="1119">
        <f t="shared" si="4"/>
        <v>4.5577773355293338E-2</v>
      </c>
    </row>
    <row r="28" spans="1:19" ht="18.5">
      <c r="A28" s="1125"/>
      <c r="B28" s="111" t="s">
        <v>365</v>
      </c>
      <c r="C28" s="1147">
        <f>'Historic spend V2 (2)'!T28</f>
        <v>49</v>
      </c>
      <c r="D28" s="1150"/>
      <c r="E28" s="1150"/>
      <c r="F28" s="1148">
        <f>Deflator_HMT_SpringBudget24!C54</f>
        <v>61.527999999999999</v>
      </c>
      <c r="G28" s="1148"/>
      <c r="H28" s="1149">
        <f t="shared" si="0"/>
        <v>86.533486784016873</v>
      </c>
      <c r="K28" s="39">
        <v>49679267</v>
      </c>
      <c r="M28" s="39">
        <f>H28/(K28/1000000)</f>
        <v>1.7418430667267468</v>
      </c>
      <c r="Q28" s="1237">
        <f t="shared" si="2"/>
        <v>86.533486784016873</v>
      </c>
      <c r="R28" s="39">
        <f t="shared" si="5"/>
        <v>71.282747230190253</v>
      </c>
      <c r="S28" s="1119">
        <f t="shared" si="4"/>
        <v>4.7825488607216249E-2</v>
      </c>
    </row>
    <row r="29" spans="1:19" ht="18.5">
      <c r="A29" s="1125"/>
      <c r="B29" s="111" t="s">
        <v>366</v>
      </c>
      <c r="C29" s="1147">
        <f>'Historic spend V2 (2)'!T29</f>
        <v>57</v>
      </c>
      <c r="D29" s="1151"/>
      <c r="E29" s="1151"/>
      <c r="F29" s="1148">
        <f>Deflator_HMT_SpringBudget24!C55</f>
        <v>62.926200000000001</v>
      </c>
      <c r="G29" s="1148"/>
      <c r="H29" s="1149">
        <f t="shared" si="0"/>
        <v>98.424738874958877</v>
      </c>
      <c r="K29" s="39">
        <v>49925517</v>
      </c>
      <c r="M29" s="39">
        <f t="shared" si="1"/>
        <v>1.9714315402073628</v>
      </c>
      <c r="Q29" s="1237">
        <f t="shared" si="2"/>
        <v>98.424738874958877</v>
      </c>
      <c r="R29" s="39">
        <f t="shared" si="5"/>
        <v>73.421229647095956</v>
      </c>
      <c r="S29" s="1119">
        <f t="shared" si="4"/>
        <v>5.3975612653290872E-2</v>
      </c>
    </row>
    <row r="30" spans="1:19" ht="18.5">
      <c r="A30" s="1125"/>
      <c r="B30" s="111" t="s">
        <v>367</v>
      </c>
      <c r="C30" s="1147">
        <f>'Historic spend V2 (2)'!T30</f>
        <v>64.2</v>
      </c>
      <c r="D30" s="1151"/>
      <c r="E30" s="1151"/>
      <c r="F30" s="1148">
        <f>Deflator_HMT_SpringBudget24!C56</f>
        <v>64.356800000000007</v>
      </c>
      <c r="G30" s="1148"/>
      <c r="H30" s="1149">
        <f t="shared" si="0"/>
        <v>108.3930678511865</v>
      </c>
      <c r="K30" s="39">
        <v>50194600</v>
      </c>
      <c r="M30" s="39">
        <f t="shared" si="1"/>
        <v>2.1594567513474856</v>
      </c>
      <c r="Q30" s="1237">
        <f t="shared" si="2"/>
        <v>108.3930678511865</v>
      </c>
      <c r="R30" s="39">
        <f t="shared" si="5"/>
        <v>75.623866536508842</v>
      </c>
      <c r="S30" s="1119">
        <f t="shared" si="4"/>
        <v>6.3817576960771172E-2</v>
      </c>
    </row>
    <row r="31" spans="1:19" ht="18.5">
      <c r="A31" s="1121"/>
      <c r="B31" s="111" t="s">
        <v>368</v>
      </c>
      <c r="C31" s="1147">
        <f>'Historic spend V2 (2)'!T31</f>
        <v>69.099999999999994</v>
      </c>
      <c r="D31" s="1151"/>
      <c r="E31" s="1151"/>
      <c r="F31" s="1148">
        <f>Deflator_HMT_SpringBudget24!C57</f>
        <v>66.289299999999997</v>
      </c>
      <c r="G31" s="1148"/>
      <c r="H31" s="1149">
        <f t="shared" si="0"/>
        <v>113.26494964602038</v>
      </c>
      <c r="K31" s="39">
        <v>50606034</v>
      </c>
      <c r="M31" s="39">
        <f t="shared" si="1"/>
        <v>2.2381708403788445</v>
      </c>
      <c r="Q31" s="1237">
        <f t="shared" si="2"/>
        <v>113.26494964602038</v>
      </c>
      <c r="R31" s="39">
        <f t="shared" si="5"/>
        <v>77.892582532604109</v>
      </c>
      <c r="S31" s="1119">
        <f t="shared" si="4"/>
        <v>6.4158468866632345E-2</v>
      </c>
    </row>
    <row r="32" spans="1:19" ht="18.5">
      <c r="A32" s="1121"/>
      <c r="B32" s="111" t="s">
        <v>369</v>
      </c>
      <c r="C32" s="1147">
        <f>'Historic spend V2 (2)'!T32</f>
        <v>74.400000000000006</v>
      </c>
      <c r="D32" s="1151"/>
      <c r="E32" s="1151"/>
      <c r="F32" s="1148">
        <f>Deflator_HMT_SpringBudget24!C58</f>
        <v>68.103499999999997</v>
      </c>
      <c r="G32" s="1148"/>
      <c r="H32" s="1149">
        <f t="shared" si="0"/>
        <v>118.70374629030756</v>
      </c>
      <c r="K32" s="39">
        <v>50965186</v>
      </c>
      <c r="M32" s="39">
        <f t="shared" si="1"/>
        <v>2.3291143544596808</v>
      </c>
      <c r="Q32" s="1237">
        <f t="shared" si="2"/>
        <v>118.70374629030756</v>
      </c>
      <c r="R32" s="39">
        <f t="shared" si="5"/>
        <v>80.229360008582233</v>
      </c>
      <c r="S32" s="1119">
        <f t="shared" si="4"/>
        <v>6.771953803427877E-2</v>
      </c>
    </row>
    <row r="33" spans="1:22" ht="18.5">
      <c r="A33" s="1125"/>
      <c r="B33" s="111" t="s">
        <v>370</v>
      </c>
      <c r="C33" s="1147">
        <f>'Historic spend V2 (2)'!T33</f>
        <v>78.900000000000006</v>
      </c>
      <c r="D33" s="1151"/>
      <c r="E33" s="1151"/>
      <c r="F33" s="1148">
        <f>Deflator_HMT_SpringBudget24!C59</f>
        <v>69.924700000000001</v>
      </c>
      <c r="G33" s="1148"/>
      <c r="H33" s="1149">
        <f t="shared" si="0"/>
        <v>122.60475485113754</v>
      </c>
      <c r="K33" s="39">
        <v>51381093</v>
      </c>
      <c r="M33" s="39">
        <f t="shared" si="1"/>
        <v>2.3861842497421675</v>
      </c>
      <c r="Q33" s="1237">
        <f t="shared" si="2"/>
        <v>122.60475485113754</v>
      </c>
      <c r="R33" s="39">
        <f t="shared" si="5"/>
        <v>82.636240808839702</v>
      </c>
      <c r="S33" s="1119">
        <f t="shared" si="4"/>
        <v>7.1447512174310557E-2</v>
      </c>
      <c r="V33" s="1571" t="e">
        <f t="shared" ref="V33:V61" si="6">(H6/H5)-1</f>
        <v>#DIV/0!</v>
      </c>
    </row>
    <row r="34" spans="1:22" ht="18.5">
      <c r="A34" s="1125"/>
      <c r="B34" s="111" t="s">
        <v>371</v>
      </c>
      <c r="C34" s="1147">
        <f>'Historic spend V2 (2)'!T34</f>
        <v>85.8</v>
      </c>
      <c r="D34" s="1151"/>
      <c r="E34" s="1151"/>
      <c r="F34" s="1148">
        <f>Deflator_HMT_SpringBudget24!C60</f>
        <v>71.616399999999999</v>
      </c>
      <c r="G34" s="1148"/>
      <c r="H34" s="1149">
        <f t="shared" si="0"/>
        <v>130.17743905251658</v>
      </c>
      <c r="K34" s="39">
        <v>51815853</v>
      </c>
      <c r="M34" s="39">
        <f t="shared" si="1"/>
        <v>2.5123091007016054</v>
      </c>
      <c r="Q34" s="1237">
        <f t="shared" si="2"/>
        <v>130.17743905251658</v>
      </c>
      <c r="R34" s="39">
        <f t="shared" si="5"/>
        <v>85.115328033104902</v>
      </c>
      <c r="S34" s="1119">
        <f t="shared" si="4"/>
        <v>7.2469165617428555E-2</v>
      </c>
      <c r="V34" s="1571">
        <f t="shared" si="6"/>
        <v>0.10070845696410835</v>
      </c>
    </row>
    <row r="35" spans="1:22" ht="18.5">
      <c r="A35" s="1125"/>
      <c r="B35" s="111" t="s">
        <v>372</v>
      </c>
      <c r="C35" s="1147">
        <f>'Historic spend V2 (2)'!T35</f>
        <v>91</v>
      </c>
      <c r="D35" s="1151"/>
      <c r="E35" s="1151"/>
      <c r="F35" s="1148">
        <f>'MASTER DEFLATOR'!E2</f>
        <v>73.812614429378826</v>
      </c>
      <c r="G35" s="1148"/>
      <c r="H35" s="1149">
        <f t="shared" si="0"/>
        <v>133.95894727690722</v>
      </c>
      <c r="K35" s="39">
        <v>52196381</v>
      </c>
      <c r="M35" s="39">
        <f t="shared" si="1"/>
        <v>2.566441287891343</v>
      </c>
      <c r="Q35" s="1237">
        <f t="shared" si="2"/>
        <v>133.95894727690722</v>
      </c>
      <c r="R35" s="39">
        <f t="shared" si="5"/>
        <v>87.668787874098058</v>
      </c>
      <c r="S35" s="1119">
        <f t="shared" si="4"/>
        <v>7.1279568770360013E-2</v>
      </c>
      <c r="V35" s="1571">
        <f t="shared" si="6"/>
        <v>1.660366091826937E-2</v>
      </c>
    </row>
    <row r="36" spans="1:22" s="1251" customFormat="1" ht="18.5">
      <c r="A36" s="1246"/>
      <c r="B36" s="1247" t="s">
        <v>373</v>
      </c>
      <c r="C36" s="1248">
        <f>'Historic spend V2 (2)'!T36</f>
        <v>98.4</v>
      </c>
      <c r="D36" s="1255"/>
      <c r="E36" s="1255"/>
      <c r="F36" s="1148">
        <f>'MASTER DEFLATOR'!E3</f>
        <v>74.806166582641225</v>
      </c>
      <c r="G36" s="1249"/>
      <c r="H36" s="1250">
        <f t="shared" si="0"/>
        <v>142.92842902609536</v>
      </c>
      <c r="K36" s="1251">
        <v>52642452</v>
      </c>
      <c r="M36" s="1251">
        <f t="shared" si="1"/>
        <v>2.7150792487039808</v>
      </c>
      <c r="Q36" s="1252">
        <f t="shared" si="2"/>
        <v>142.92842902609536</v>
      </c>
      <c r="R36" s="1251">
        <f t="shared" si="5"/>
        <v>90.298851510321001</v>
      </c>
      <c r="S36" s="1258">
        <f>(H36/H26)^(1/COUNTA(H27:H36))-1</f>
        <v>6.9593107961215317E-2</v>
      </c>
      <c r="V36" s="1571">
        <f t="shared" si="6"/>
        <v>8.2331547288112539E-3</v>
      </c>
    </row>
    <row r="37" spans="1:22" s="155" customFormat="1" ht="18.5">
      <c r="A37" s="1238"/>
      <c r="B37" s="1239" t="s">
        <v>374</v>
      </c>
      <c r="C37" s="1240">
        <f>'Historic spend V2 (2)'!T37</f>
        <v>100.4</v>
      </c>
      <c r="D37" s="1243"/>
      <c r="E37" s="1243"/>
      <c r="F37" s="1148">
        <f>'MASTER DEFLATOR'!E4</f>
        <v>76.222251704831905</v>
      </c>
      <c r="G37" s="1241"/>
      <c r="H37" s="1242">
        <f>C37/F37*$F$51</f>
        <v>143.12413021467265</v>
      </c>
      <c r="K37" s="155">
        <v>53107169</v>
      </c>
      <c r="M37" s="155">
        <f t="shared" si="1"/>
        <v>2.6950058327280191</v>
      </c>
      <c r="Q37" s="1200">
        <f t="shared" si="2"/>
        <v>143.12413021467265</v>
      </c>
      <c r="R37" s="39">
        <f t="shared" si="5"/>
        <v>93.007817055630639</v>
      </c>
      <c r="S37" s="1119">
        <f t="shared" si="4"/>
        <v>6.1439069002150903E-2</v>
      </c>
      <c r="V37" s="1571">
        <f t="shared" si="6"/>
        <v>1.117874589738399E-2</v>
      </c>
    </row>
    <row r="38" spans="1:22" ht="18.5">
      <c r="A38" s="1125"/>
      <c r="B38" s="111" t="s">
        <v>375</v>
      </c>
      <c r="C38" s="1147">
        <f>'Historic spend V2 (2)'!T38</f>
        <v>102.8</v>
      </c>
      <c r="D38" s="1151"/>
      <c r="E38" s="1151"/>
      <c r="F38" s="1148">
        <f>'MASTER DEFLATOR'!E5</f>
        <v>77.5698782073394</v>
      </c>
      <c r="G38" s="1148"/>
      <c r="H38" s="1149">
        <f t="shared" si="0"/>
        <v>143.99948104810844</v>
      </c>
      <c r="K38" s="39">
        <v>53493729</v>
      </c>
      <c r="M38" s="39">
        <f t="shared" si="1"/>
        <v>2.6918946153129171</v>
      </c>
      <c r="Q38" s="1237">
        <f t="shared" si="2"/>
        <v>143.99948104810844</v>
      </c>
      <c r="R38" s="39">
        <f>R37*(1+(Q38/Q37-1))</f>
        <v>93.576655238637059</v>
      </c>
      <c r="S38" s="1119">
        <f t="shared" si="4"/>
        <v>5.2246942121565665E-2</v>
      </c>
      <c r="V38" s="1571">
        <f t="shared" si="6"/>
        <v>1.2830599901923589E-2</v>
      </c>
    </row>
    <row r="39" spans="1:22" ht="18.5">
      <c r="A39" s="1125"/>
      <c r="B39" s="111" t="s">
        <v>376</v>
      </c>
      <c r="C39" s="1147">
        <f>'Historic spend V2 (2)'!T39</f>
        <v>105.2</v>
      </c>
      <c r="D39" s="1151"/>
      <c r="E39" s="1151"/>
      <c r="F39" s="1148">
        <f>'MASTER DEFLATOR'!E6</f>
        <v>79.001777801363858</v>
      </c>
      <c r="G39" s="1148"/>
      <c r="H39" s="1149">
        <f t="shared" si="0"/>
        <v>144.69042663984766</v>
      </c>
      <c r="K39" s="39">
        <f>Population!CQ8</f>
        <v>53918686</v>
      </c>
      <c r="M39" s="39">
        <f>H39/(K39/1000000)</f>
        <v>2.6834931889817875</v>
      </c>
      <c r="Q39" s="1237">
        <f t="shared" si="2"/>
        <v>144.69042663984766</v>
      </c>
      <c r="R39" s="39">
        <f t="shared" ref="R39:R45" si="7">R38*(1+(Q39/Q38-1))</f>
        <v>94.025659477792871</v>
      </c>
      <c r="S39" s="1119">
        <f t="shared" si="4"/>
        <v>3.9282351950302052E-2</v>
      </c>
      <c r="V39" s="1571">
        <f t="shared" si="6"/>
        <v>5.0229435721940163E-3</v>
      </c>
    </row>
    <row r="40" spans="1:22" ht="18.5">
      <c r="A40" s="1125"/>
      <c r="B40" s="111" t="s">
        <v>377</v>
      </c>
      <c r="C40" s="1147">
        <f>'Historic spend V2 (2)'!T40</f>
        <v>109.8</v>
      </c>
      <c r="D40" s="1151"/>
      <c r="E40" s="1151"/>
      <c r="F40" s="1148">
        <f>'MASTER DEFLATOR'!E7</f>
        <v>80.51221906758299</v>
      </c>
      <c r="G40" s="1148"/>
      <c r="H40" s="1149">
        <f t="shared" si="0"/>
        <v>148.18405168767325</v>
      </c>
      <c r="K40" s="39">
        <f>Population!CQ9</f>
        <v>54370319</v>
      </c>
      <c r="M40" s="39">
        <f t="shared" si="1"/>
        <v>2.7254585666064095</v>
      </c>
      <c r="Q40" s="1237">
        <f t="shared" si="2"/>
        <v>148.18405168767325</v>
      </c>
      <c r="R40" s="39">
        <f t="shared" si="7"/>
        <v>96.295957566743766</v>
      </c>
      <c r="S40" s="1119">
        <f t="shared" si="4"/>
        <v>3.1763109485766661E-2</v>
      </c>
      <c r="V40" s="1571">
        <f t="shared" si="6"/>
        <v>2.8732988145819371E-2</v>
      </c>
    </row>
    <row r="41" spans="1:22" ht="18.5">
      <c r="A41" s="1125"/>
      <c r="B41" s="111" t="s">
        <v>378</v>
      </c>
      <c r="C41" s="1147">
        <f>'Historic spend V2 (2)'!T41</f>
        <v>113.3</v>
      </c>
      <c r="D41" s="1151"/>
      <c r="E41" s="1151"/>
      <c r="F41" s="1148">
        <f>'MASTER DEFLATOR'!E8</f>
        <v>81.496006580518483</v>
      </c>
      <c r="G41" s="1148"/>
      <c r="H41" s="1149">
        <f t="shared" si="0"/>
        <v>151.0617472050707</v>
      </c>
      <c r="J41" s="1119"/>
      <c r="K41" s="39">
        <f>Population!CQ10</f>
        <v>54808676</v>
      </c>
      <c r="M41" s="39">
        <f t="shared" si="1"/>
        <v>2.7561648671292609</v>
      </c>
      <c r="Q41" s="1237">
        <f t="shared" si="2"/>
        <v>151.0617472050707</v>
      </c>
      <c r="R41" s="39">
        <f t="shared" si="7"/>
        <v>98.165999870738645</v>
      </c>
      <c r="S41" s="1119">
        <f t="shared" si="4"/>
        <v>2.9214501479421617E-2</v>
      </c>
      <c r="V41" s="1571">
        <f t="shared" si="6"/>
        <v>3.8203973114268486E-2</v>
      </c>
    </row>
    <row r="42" spans="1:22" ht="18.5">
      <c r="A42" s="1125"/>
      <c r="B42" s="111" t="s">
        <v>379</v>
      </c>
      <c r="C42" s="1147">
        <f>'Historic spend V2 (2)'!T42</f>
        <v>117.2</v>
      </c>
      <c r="D42" s="1151"/>
      <c r="E42" s="1151"/>
      <c r="F42" s="1148">
        <f>'MASTER DEFLATOR'!E9</f>
        <v>82.081035900973802</v>
      </c>
      <c r="G42" s="1148"/>
      <c r="H42" s="1149">
        <f t="shared" si="0"/>
        <v>155.14782968345034</v>
      </c>
      <c r="K42" s="39">
        <f>Population!CQ11</f>
        <v>55289034</v>
      </c>
      <c r="M42" s="39">
        <f t="shared" si="1"/>
        <v>2.8061229950852522</v>
      </c>
      <c r="Q42" s="1237">
        <f t="shared" si="2"/>
        <v>155.14782968345034</v>
      </c>
      <c r="R42" s="39">
        <f t="shared" si="7"/>
        <v>100.82130062997003</v>
      </c>
      <c r="S42" s="1119">
        <f t="shared" si="4"/>
        <v>2.7136418353783665E-2</v>
      </c>
      <c r="V42" s="1571">
        <f t="shared" si="6"/>
        <v>3.1558644457648333E-2</v>
      </c>
    </row>
    <row r="43" spans="1:22" ht="18.5">
      <c r="A43" s="1125"/>
      <c r="B43" s="111" t="s">
        <v>165</v>
      </c>
      <c r="C43" s="1147">
        <f>'Historic spend V2 (2)'!T43</f>
        <v>120.6</v>
      </c>
      <c r="D43" s="1151"/>
      <c r="E43" s="1151"/>
      <c r="F43" s="1148">
        <f>'MASTER DEFLATOR'!E10</f>
        <v>83.934831639557402</v>
      </c>
      <c r="G43" s="1148"/>
      <c r="H43" s="1149">
        <f t="shared" si="0"/>
        <v>156.1226829716054</v>
      </c>
      <c r="K43" s="39">
        <f>Population!CQ12</f>
        <v>55619548</v>
      </c>
      <c r="M43" s="39">
        <f t="shared" si="1"/>
        <v>2.8069750399914324</v>
      </c>
      <c r="Q43" s="1237">
        <f t="shared" si="2"/>
        <v>156.1226829716054</v>
      </c>
      <c r="R43" s="39">
        <f t="shared" si="7"/>
        <v>101.45479951059072</v>
      </c>
      <c r="S43" s="1119">
        <f t="shared" si="4"/>
        <v>2.4462036248632302E-2</v>
      </c>
      <c r="V43" s="1571">
        <f t="shared" si="6"/>
        <v>7.5045610447399547E-4</v>
      </c>
    </row>
    <row r="44" spans="1:22" ht="18.5">
      <c r="A44" s="1125"/>
      <c r="B44" s="111" t="s">
        <v>167</v>
      </c>
      <c r="C44" s="1147">
        <f>'Historic spend V2 (2)'!T44</f>
        <v>125.2</v>
      </c>
      <c r="D44" s="1151"/>
      <c r="E44" s="1151"/>
      <c r="F44" s="1148">
        <f>'MASTER DEFLATOR'!E11</f>
        <v>85.255286968981352</v>
      </c>
      <c r="G44" s="1148"/>
      <c r="H44" s="1149">
        <f t="shared" si="0"/>
        <v>159.56731236740151</v>
      </c>
      <c r="K44" s="39">
        <f>Population!CQ13</f>
        <v>55924528</v>
      </c>
      <c r="M44" s="39">
        <f t="shared" si="1"/>
        <v>2.8532616737936798</v>
      </c>
      <c r="Q44" s="1237">
        <f t="shared" si="2"/>
        <v>159.56731236740151</v>
      </c>
      <c r="R44" s="39">
        <f t="shared" si="7"/>
        <v>103.69325825397742</v>
      </c>
      <c r="S44" s="1119">
        <f t="shared" si="4"/>
        <v>2.0565353487961957E-2</v>
      </c>
      <c r="V44" s="1571">
        <f t="shared" si="6"/>
        <v>3.3788142325235526E-2</v>
      </c>
    </row>
    <row r="45" spans="1:22" ht="18.5">
      <c r="A45" s="1125"/>
      <c r="B45" s="111" t="s">
        <v>168</v>
      </c>
      <c r="C45" s="1147">
        <f>'Historic spend V2 (2)'!T45</f>
        <v>130.30000000000001</v>
      </c>
      <c r="D45" s="1151">
        <f t="array" ref="D45:D51">TRANSPOSE('Autumn 24'!K8:Q8)</f>
        <v>128.39599999999999</v>
      </c>
      <c r="E45" s="1151"/>
      <c r="F45" s="1148">
        <f>'MASTER DEFLATOR'!E12</f>
        <v>87.050813277788095</v>
      </c>
      <c r="G45" s="1148"/>
      <c r="H45" s="1149">
        <f t="shared" si="0"/>
        <v>162.6419245477957</v>
      </c>
      <c r="I45" s="1152">
        <f>D45/F45*$F$51</f>
        <v>160.26533034718935</v>
      </c>
      <c r="K45" s="39">
        <f>Population!CQ14</f>
        <v>56230056</v>
      </c>
      <c r="M45" s="39">
        <f t="shared" si="1"/>
        <v>2.8924375346130851</v>
      </c>
      <c r="Q45" s="1237">
        <f t="shared" si="2"/>
        <v>162.6419245477957</v>
      </c>
      <c r="R45" s="39">
        <f t="shared" si="7"/>
        <v>105.69126492666217</v>
      </c>
      <c r="S45" s="1119">
        <f t="shared" si="4"/>
        <v>1.9591198628650996E-2</v>
      </c>
      <c r="V45" s="1571">
        <f t="shared" si="6"/>
        <v>7.4226525651284625E-2</v>
      </c>
    </row>
    <row r="46" spans="1:22" s="1251" customFormat="1" ht="18.5">
      <c r="A46" s="1256"/>
      <c r="B46" s="1247" t="s">
        <v>169</v>
      </c>
      <c r="C46" s="1248">
        <f>'Historic spend V2 (2)'!T46</f>
        <v>140.499</v>
      </c>
      <c r="D46" s="1257">
        <v>135.60399999999998</v>
      </c>
      <c r="E46" s="1257"/>
      <c r="F46" s="1148">
        <f>'MASTER DEFLATOR'!E13</f>
        <v>89.113487409451537</v>
      </c>
      <c r="G46" s="1249"/>
      <c r="H46" s="1250">
        <f>C46/F46*$F$51</f>
        <v>171.31315569997815</v>
      </c>
      <c r="I46" s="1583">
        <f t="shared" ref="I46" si="8">D46/F46*$F$51</f>
        <v>165.34458726069107</v>
      </c>
      <c r="K46" s="1251">
        <f>Population!CQ15</f>
        <v>56325961</v>
      </c>
      <c r="M46" s="1251">
        <f t="shared" si="1"/>
        <v>3.0414599708290488</v>
      </c>
      <c r="Q46" s="1252"/>
      <c r="S46" s="1258"/>
      <c r="V46" s="1571">
        <f t="shared" si="6"/>
        <v>7.2763608133976421E-2</v>
      </c>
    </row>
    <row r="47" spans="1:22" ht="18.5">
      <c r="A47" s="1125"/>
      <c r="B47" s="111" t="s">
        <v>170</v>
      </c>
      <c r="C47" s="1147">
        <f>C46/C37</f>
        <v>1.3993924302788843</v>
      </c>
      <c r="D47" s="1150">
        <v>187.75900000000001</v>
      </c>
      <c r="E47" s="1150"/>
      <c r="F47" s="1148">
        <f>'MASTER DEFLATOR'!E14</f>
        <v>93.894977047788359</v>
      </c>
      <c r="G47" s="1148"/>
      <c r="H47" s="1693">
        <f>H46/H37</f>
        <v>1.1969550867699572</v>
      </c>
      <c r="I47" s="1152">
        <f>D47/F47*$F$51</f>
        <v>217.27978622113204</v>
      </c>
      <c r="K47" s="39">
        <f>Population!CQ16</f>
        <v>56554891</v>
      </c>
      <c r="M47" s="39">
        <f t="shared" si="1"/>
        <v>2.116448401907374E-2</v>
      </c>
      <c r="V47" s="1571">
        <f t="shared" si="6"/>
        <v>3.5320360084680757E-3</v>
      </c>
    </row>
    <row r="48" spans="1:22" ht="18.5">
      <c r="A48" s="1125"/>
      <c r="B48" s="111" t="s">
        <v>171</v>
      </c>
      <c r="C48" s="1692"/>
      <c r="D48" s="1150">
        <v>184.423</v>
      </c>
      <c r="E48" s="1150"/>
      <c r="F48" s="1148">
        <f>'MASTER DEFLATOR'!E15</f>
        <v>93.346352853769204</v>
      </c>
      <c r="G48" s="1148"/>
      <c r="H48" s="1152"/>
      <c r="I48" s="1152">
        <f t="shared" ref="I48:I51" si="9">D48/F48*$F$51</f>
        <v>214.67360528664227</v>
      </c>
      <c r="K48" s="39">
        <f>Population!CQ17</f>
        <v>57106398</v>
      </c>
      <c r="R48" s="1119"/>
      <c r="V48" s="1571">
        <f t="shared" si="6"/>
        <v>4.160387918248043E-2</v>
      </c>
    </row>
    <row r="49" spans="1:22" ht="18.5">
      <c r="A49" s="1125"/>
      <c r="B49" s="111" t="s">
        <v>172</v>
      </c>
      <c r="C49" s="1691"/>
      <c r="D49" s="1147">
        <v>179.28</v>
      </c>
      <c r="E49" s="1147"/>
      <c r="F49" s="1148">
        <f>'MASTER DEFLATOR'!E16</f>
        <v>100</v>
      </c>
      <c r="G49" s="1148"/>
      <c r="H49" s="1149"/>
      <c r="I49" s="1152">
        <f t="shared" si="9"/>
        <v>194.80171023725885</v>
      </c>
      <c r="K49" s="39">
        <f>Population!CQ18</f>
        <v>57699579</v>
      </c>
      <c r="V49" s="1571">
        <f t="shared" si="6"/>
        <v>1.3584700766929858E-2</v>
      </c>
    </row>
    <row r="50" spans="1:22" ht="18.5">
      <c r="A50" s="1121"/>
      <c r="B50" s="111" t="s">
        <v>173</v>
      </c>
      <c r="C50" s="1147"/>
      <c r="D50" s="1147">
        <v>185.61799999999999</v>
      </c>
      <c r="E50" s="1147"/>
      <c r="F50" s="1148">
        <f>'MASTER DEFLATOR'!E17</f>
        <v>106.13739485764322</v>
      </c>
      <c r="G50" s="1148"/>
      <c r="H50" s="1149"/>
      <c r="I50" s="1152">
        <f>D50/F50*$F$51</f>
        <v>190.02580767874764</v>
      </c>
      <c r="K50" s="39">
        <f>Population!CQ19</f>
        <v>58295056</v>
      </c>
      <c r="V50" s="1571">
        <f t="shared" si="6"/>
        <v>-2.516365998165293E-3</v>
      </c>
    </row>
    <row r="51" spans="1:22" ht="15.75" customHeight="1">
      <c r="A51" s="1126"/>
      <c r="B51" s="111" t="s">
        <v>174</v>
      </c>
      <c r="C51" s="1147"/>
      <c r="D51" s="1147">
        <v>197.089225</v>
      </c>
      <c r="E51" s="1147"/>
      <c r="F51" s="1148">
        <f>'MASTER DEFLATOR'!E18</f>
        <v>108.65780356830592</v>
      </c>
      <c r="G51" s="1148"/>
      <c r="H51" s="1149"/>
      <c r="I51" s="1152">
        <f t="shared" si="9"/>
        <v>197.089225</v>
      </c>
      <c r="K51" s="39">
        <f>Population!CQ20</f>
        <v>58830915</v>
      </c>
      <c r="V51" s="1571">
        <f t="shared" si="6"/>
        <v>5.169369660421852E-2</v>
      </c>
    </row>
    <row r="52" spans="1:22" ht="18.5">
      <c r="A52" s="1127"/>
      <c r="B52" s="111" t="s">
        <v>139</v>
      </c>
      <c r="C52" s="1149"/>
      <c r="D52" s="1147">
        <f>'Autumn 24'!R8</f>
        <v>209.28029687395767</v>
      </c>
      <c r="E52" s="1149"/>
      <c r="F52" s="1148">
        <f>'MASTER DEFLATOR'!E19</f>
        <v>111.25034379243539</v>
      </c>
      <c r="G52" s="1148"/>
      <c r="H52" s="1149"/>
      <c r="I52" s="1152">
        <f>((D52/F52*$F$51))</f>
        <v>204.40329992035018</v>
      </c>
      <c r="V52" s="1571">
        <f t="shared" si="6"/>
        <v>4.0533165712744346E-2</v>
      </c>
    </row>
    <row r="53" spans="1:22" ht="18.5">
      <c r="B53" s="111" t="s">
        <v>328</v>
      </c>
      <c r="V53" s="1571">
        <f t="shared" si="6"/>
        <v>8.3899854651560801E-2</v>
      </c>
    </row>
    <row r="54" spans="1:22" ht="18.5">
      <c r="V54" s="1571">
        <f t="shared" si="6"/>
        <v>8.1009497043723622E-2</v>
      </c>
    </row>
    <row r="55" spans="1:22" ht="26.5" customHeight="1" thickBot="1">
      <c r="H55" s="1122"/>
      <c r="I55" s="1122"/>
      <c r="V55" s="1571">
        <f t="shared" si="6"/>
        <v>9.7544233430845173E-2</v>
      </c>
    </row>
    <row r="56" spans="1:22" ht="26.5" customHeight="1" thickBot="1">
      <c r="B56" s="1153" t="s">
        <v>380</v>
      </c>
      <c r="C56" s="1128" t="s">
        <v>381</v>
      </c>
      <c r="D56" s="1129" t="s">
        <v>127</v>
      </c>
      <c r="E56" s="1136"/>
      <c r="F56" s="1118"/>
      <c r="G56" s="1118"/>
      <c r="H56" s="1119"/>
      <c r="I56" s="1122"/>
      <c r="V56" s="1571">
        <f t="shared" si="6"/>
        <v>0.13741792377582063</v>
      </c>
    </row>
    <row r="57" spans="1:22" ht="26.5" customHeight="1" thickBot="1">
      <c r="B57" s="1130" t="s">
        <v>382</v>
      </c>
      <c r="C57" s="1131" t="s">
        <v>383</v>
      </c>
      <c r="D57" s="1132">
        <f>(H23/H6)^(1/COUNT(H7:H23))-1</f>
        <v>2.8484511492216535E-2</v>
      </c>
      <c r="E57" s="1137"/>
      <c r="V57" s="1571">
        <f t="shared" si="6"/>
        <v>0.10127869365131481</v>
      </c>
    </row>
    <row r="58" spans="1:22" ht="26.5" customHeight="1" thickBot="1">
      <c r="B58" s="1130" t="s">
        <v>384</v>
      </c>
      <c r="C58" s="1131" t="s">
        <v>385</v>
      </c>
      <c r="D58" s="1132">
        <f>(H36/H23)^(1/COUNT(H24:H36))-1</f>
        <v>6.7034559531803373E-2</v>
      </c>
      <c r="E58" s="1137"/>
      <c r="V58" s="1571">
        <f t="shared" si="6"/>
        <v>4.4946433304411393E-2</v>
      </c>
    </row>
    <row r="59" spans="1:22" ht="26.5" customHeight="1" thickBot="1">
      <c r="B59" s="1130" t="s">
        <v>386</v>
      </c>
      <c r="C59" s="1131" t="s">
        <v>387</v>
      </c>
      <c r="D59" s="1132">
        <f>(H41/H36)^(1/COUNT(H37:H41))-1</f>
        <v>1.1130420592628587E-2</v>
      </c>
      <c r="E59" s="1137"/>
      <c r="V59" s="1571">
        <f t="shared" si="6"/>
        <v>4.8018355733920437E-2</v>
      </c>
    </row>
    <row r="60" spans="1:22" ht="26.5" customHeight="1" thickBot="1">
      <c r="B60" s="1130" t="s">
        <v>388</v>
      </c>
      <c r="C60" s="1131" t="s">
        <v>389</v>
      </c>
      <c r="D60" s="1132">
        <f>(H46/H41)^(1/COUNT(H42:H46))-1</f>
        <v>2.5480112424244306E-2</v>
      </c>
      <c r="E60" s="1137"/>
      <c r="V60" s="1571">
        <f t="shared" si="6"/>
        <v>3.2863398862656767E-2</v>
      </c>
    </row>
    <row r="61" spans="1:22" ht="26.5" customHeight="1" thickBot="1">
      <c r="B61" s="1130" t="s">
        <v>390</v>
      </c>
      <c r="C61" s="1604" t="s">
        <v>391</v>
      </c>
      <c r="D61" s="1605">
        <f>(I50/I46)^(1/COUNT(I47:I50))-1</f>
        <v>3.5394017225679697E-2</v>
      </c>
      <c r="E61" s="1137"/>
      <c r="V61" s="1571">
        <f t="shared" si="6"/>
        <v>6.1765012381236994E-2</v>
      </c>
    </row>
    <row r="62" spans="1:22" ht="26.5" customHeight="1" thickBot="1">
      <c r="B62" s="1581" t="s">
        <v>392</v>
      </c>
      <c r="C62" s="39" t="s">
        <v>393</v>
      </c>
      <c r="D62" s="1582">
        <f>(I52/I50)^(1/COUNT(I51:I52))-1</f>
        <v>3.7140653339151619E-2</v>
      </c>
      <c r="E62" s="1596"/>
      <c r="V62" s="1571">
        <f t="shared" ref="V62:V71" si="10">(H37/H36)-1</f>
        <v>1.3692250723720267E-3</v>
      </c>
    </row>
    <row r="63" spans="1:22" ht="26.5" customHeight="1" thickBot="1">
      <c r="B63" s="1133" t="s">
        <v>394</v>
      </c>
      <c r="C63" s="1134" t="s">
        <v>395</v>
      </c>
      <c r="D63" s="1135">
        <f>(H46/H6)^(1/COUNT(H7:H46))-1</f>
        <v>3.8266535544589919E-2</v>
      </c>
      <c r="E63" s="1138"/>
      <c r="L63" s="1135">
        <f>(M46/M6)^(1/COUNT(M7:M46))-1</f>
        <v>3.3461536385907209E-2</v>
      </c>
      <c r="V63" s="1571">
        <f t="shared" si="10"/>
        <v>6.1160255235985783E-3</v>
      </c>
    </row>
    <row r="64" spans="1:22" ht="19" thickBot="1">
      <c r="V64" s="1571">
        <f t="shared" si="10"/>
        <v>4.7982505680586041E-3</v>
      </c>
    </row>
    <row r="65" spans="2:22" ht="19" thickBot="1">
      <c r="B65" s="1345" t="s">
        <v>396</v>
      </c>
      <c r="C65" s="1346" t="s">
        <v>397</v>
      </c>
      <c r="D65" s="1347">
        <f>(H46/H24)^(1/COUNT(H24:H46))-1</f>
        <v>4.3267764825808408E-2</v>
      </c>
      <c r="V65" s="1571">
        <f t="shared" si="10"/>
        <v>2.4145516251200538E-2</v>
      </c>
    </row>
    <row r="66" spans="2:22" ht="18.5">
      <c r="V66" s="1571">
        <f t="shared" si="10"/>
        <v>1.9419738390354935E-2</v>
      </c>
    </row>
    <row r="67" spans="2:22" ht="18.5">
      <c r="V67" s="1571">
        <f t="shared" si="10"/>
        <v>2.7049087899351898E-2</v>
      </c>
    </row>
    <row r="68" spans="2:22" ht="18.5">
      <c r="V68" s="1571">
        <f t="shared" si="10"/>
        <v>6.2833833392581528E-3</v>
      </c>
    </row>
    <row r="69" spans="2:22" ht="18.5">
      <c r="V69" s="1571">
        <f t="shared" si="10"/>
        <v>2.2063606198867269E-2</v>
      </c>
    </row>
    <row r="70" spans="2:22" ht="18.5">
      <c r="V70" s="1571">
        <f t="shared" si="10"/>
        <v>1.9268433708496291E-2</v>
      </c>
    </row>
    <row r="71" spans="2:22" ht="18.5">
      <c r="V71" s="1571">
        <f t="shared" si="10"/>
        <v>5.3314858246369612E-2</v>
      </c>
    </row>
    <row r="72" spans="2:22" ht="18.5">
      <c r="V72" s="1571">
        <f>(I47/I46)-1</f>
        <v>0.31410280687663006</v>
      </c>
    </row>
    <row r="73" spans="2:22" ht="18.5">
      <c r="V73" s="1571">
        <f>(I48/I47)-1</f>
        <v>-1.1994585321606466E-2</v>
      </c>
    </row>
    <row r="74" spans="2:22" ht="18.5">
      <c r="V74" s="1571">
        <f>(I49/I48)-1</f>
        <v>-9.2567947619128788E-2</v>
      </c>
    </row>
    <row r="75" spans="2:22" ht="18.5">
      <c r="V75" s="1571">
        <f>(I50/I49)-1</f>
        <v>-2.4516738342257871E-2</v>
      </c>
    </row>
    <row r="76" spans="2:22" ht="18.5">
      <c r="V76" s="1571">
        <f>(I51/I50)-1</f>
        <v>3.7170831728254417E-2</v>
      </c>
    </row>
  </sheetData>
  <phoneticPr fontId="21" type="noConversion"/>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A3752-2A53-4A80-A155-DF85C0807066}">
  <dimension ref="A2:CR41"/>
  <sheetViews>
    <sheetView tabSelected="1" zoomScale="70" zoomScaleNormal="70" workbookViewId="0">
      <selection activeCell="D21" sqref="D21"/>
    </sheetView>
  </sheetViews>
  <sheetFormatPr defaultColWidth="9.1796875" defaultRowHeight="15" customHeight="1"/>
  <cols>
    <col min="1" max="1" width="9.1796875" style="39"/>
    <col min="2" max="2" width="17.81640625" style="39" bestFit="1" customWidth="1"/>
    <col min="3" max="3" width="9.81640625" style="39" bestFit="1" customWidth="1"/>
    <col min="4" max="9" width="14.81640625" style="39" bestFit="1" customWidth="1"/>
    <col min="10" max="49" width="9.1796875" style="39"/>
    <col min="50" max="93" width="14.81640625" style="39" bestFit="1" customWidth="1"/>
    <col min="94" max="94" width="9.1796875" style="39"/>
    <col min="95" max="95" width="14.81640625" style="39" bestFit="1" customWidth="1"/>
    <col min="96" max="16384" width="9.1796875" style="39"/>
  </cols>
  <sheetData>
    <row r="2" spans="2:96" ht="15" customHeight="1">
      <c r="B2" s="39" t="s">
        <v>398</v>
      </c>
    </row>
    <row r="3" spans="2:96" ht="15" customHeight="1">
      <c r="B3" s="39" t="s">
        <v>399</v>
      </c>
      <c r="C3" s="1115" t="s">
        <v>400</v>
      </c>
    </row>
    <row r="4" spans="2:96" ht="15" customHeight="1">
      <c r="B4" s="39" t="s">
        <v>401</v>
      </c>
      <c r="C4" s="1115" t="s">
        <v>402</v>
      </c>
    </row>
    <row r="5" spans="2:96" ht="14.5"/>
    <row r="6" spans="2:96" ht="14.5"/>
    <row r="7" spans="2:96" ht="18">
      <c r="B7" s="39" t="str">
        <f>[177]Sheet1!C34</f>
        <v>YEAR</v>
      </c>
      <c r="C7" s="39">
        <f>[177]Sheet1!D34</f>
        <v>0</v>
      </c>
      <c r="D7" s="39">
        <f>[177]Sheet1!E34</f>
        <v>1</v>
      </c>
      <c r="E7" s="39">
        <f>[177]Sheet1!F34</f>
        <v>2</v>
      </c>
      <c r="F7" s="39">
        <f>[177]Sheet1!G34</f>
        <v>3</v>
      </c>
      <c r="G7" s="39">
        <f>[177]Sheet1!H34</f>
        <v>4</v>
      </c>
      <c r="H7" s="39">
        <f>[177]Sheet1!I34</f>
        <v>5</v>
      </c>
      <c r="I7" s="39">
        <f>[177]Sheet1!J34</f>
        <v>6</v>
      </c>
      <c r="J7" s="39">
        <f>[177]Sheet1!K34</f>
        <v>7</v>
      </c>
      <c r="K7" s="39">
        <f>[177]Sheet1!L34</f>
        <v>8</v>
      </c>
      <c r="L7" s="39">
        <f>[177]Sheet1!M34</f>
        <v>9</v>
      </c>
      <c r="M7" s="39">
        <f>[177]Sheet1!N34</f>
        <v>10</v>
      </c>
      <c r="N7" s="39">
        <f>[177]Sheet1!O34</f>
        <v>11</v>
      </c>
      <c r="O7" s="39">
        <f>[177]Sheet1!P34</f>
        <v>12</v>
      </c>
      <c r="P7" s="39">
        <f>[177]Sheet1!Q34</f>
        <v>13</v>
      </c>
      <c r="Q7" s="39">
        <f>[177]Sheet1!R34</f>
        <v>14</v>
      </c>
      <c r="R7" s="39">
        <f>[177]Sheet1!S34</f>
        <v>15</v>
      </c>
      <c r="S7" s="39">
        <f>[177]Sheet1!T34</f>
        <v>16</v>
      </c>
      <c r="T7" s="39">
        <f>[177]Sheet1!U34</f>
        <v>17</v>
      </c>
      <c r="U7" s="39">
        <f>[177]Sheet1!V34</f>
        <v>18</v>
      </c>
      <c r="V7" s="39">
        <f>[177]Sheet1!W34</f>
        <v>19</v>
      </c>
      <c r="W7" s="39">
        <f>[177]Sheet1!X34</f>
        <v>20</v>
      </c>
      <c r="X7" s="39">
        <f>[177]Sheet1!Y34</f>
        <v>21</v>
      </c>
      <c r="Y7" s="39">
        <f>[177]Sheet1!Z34</f>
        <v>22</v>
      </c>
      <c r="Z7" s="39">
        <f>[177]Sheet1!AA34</f>
        <v>23</v>
      </c>
      <c r="AA7" s="39">
        <f>[177]Sheet1!AB34</f>
        <v>24</v>
      </c>
      <c r="AB7" s="39">
        <f>[177]Sheet1!AC34</f>
        <v>25</v>
      </c>
      <c r="AC7" s="39">
        <f>[177]Sheet1!AD34</f>
        <v>26</v>
      </c>
      <c r="AD7" s="39">
        <f>[177]Sheet1!AE34</f>
        <v>27</v>
      </c>
      <c r="AE7" s="39">
        <f>[177]Sheet1!AF34</f>
        <v>28</v>
      </c>
      <c r="AF7" s="39">
        <f>[177]Sheet1!AG34</f>
        <v>29</v>
      </c>
      <c r="AG7" s="39">
        <f>[177]Sheet1!AH34</f>
        <v>30</v>
      </c>
      <c r="AH7" s="39">
        <f>[177]Sheet1!AI34</f>
        <v>31</v>
      </c>
      <c r="AI7" s="39">
        <f>[177]Sheet1!AJ34</f>
        <v>32</v>
      </c>
      <c r="AJ7" s="39">
        <f>[177]Sheet1!AK34</f>
        <v>33</v>
      </c>
      <c r="AK7" s="39">
        <f>[177]Sheet1!AL34</f>
        <v>34</v>
      </c>
      <c r="AL7" s="39">
        <f>[177]Sheet1!AM34</f>
        <v>35</v>
      </c>
      <c r="AM7" s="39">
        <f>[177]Sheet1!AN34</f>
        <v>36</v>
      </c>
      <c r="AN7" s="39">
        <f>[177]Sheet1!AO34</f>
        <v>37</v>
      </c>
      <c r="AO7" s="39">
        <f>[177]Sheet1!AP34</f>
        <v>38</v>
      </c>
      <c r="AP7" s="39">
        <f>[177]Sheet1!AQ34</f>
        <v>39</v>
      </c>
      <c r="AQ7" s="39">
        <f>[177]Sheet1!AR34</f>
        <v>40</v>
      </c>
      <c r="AR7" s="39">
        <f>[177]Sheet1!AS34</f>
        <v>41</v>
      </c>
      <c r="AS7" s="39">
        <f>[177]Sheet1!AT34</f>
        <v>42</v>
      </c>
      <c r="AT7" s="39">
        <f>[177]Sheet1!AU34</f>
        <v>43</v>
      </c>
      <c r="AU7" s="39">
        <f>[177]Sheet1!AV34</f>
        <v>44</v>
      </c>
      <c r="AV7" s="39">
        <f>[177]Sheet1!AW34</f>
        <v>45</v>
      </c>
      <c r="AW7" s="39">
        <f>[177]Sheet1!AX34</f>
        <v>46</v>
      </c>
      <c r="AX7" s="39">
        <f>[177]Sheet1!AY34</f>
        <v>47</v>
      </c>
      <c r="AY7" s="39">
        <f>[177]Sheet1!AZ34</f>
        <v>48</v>
      </c>
      <c r="AZ7" s="39">
        <f>[177]Sheet1!BA34</f>
        <v>49</v>
      </c>
      <c r="BA7" s="39">
        <f>[177]Sheet1!BB34</f>
        <v>50</v>
      </c>
      <c r="BB7" s="39">
        <f>[177]Sheet1!BC34</f>
        <v>51</v>
      </c>
      <c r="BC7" s="39">
        <f>[177]Sheet1!BD34</f>
        <v>52</v>
      </c>
      <c r="BD7" s="39">
        <f>[177]Sheet1!BE34</f>
        <v>53</v>
      </c>
      <c r="BE7" s="39">
        <f>[177]Sheet1!BF34</f>
        <v>54</v>
      </c>
      <c r="BF7" s="39">
        <f>[177]Sheet1!BG34</f>
        <v>55</v>
      </c>
      <c r="BG7" s="39">
        <f>[177]Sheet1!BH34</f>
        <v>56</v>
      </c>
      <c r="BH7" s="39">
        <f>[177]Sheet1!BI34</f>
        <v>57</v>
      </c>
      <c r="BI7" s="39">
        <f>[177]Sheet1!BJ34</f>
        <v>58</v>
      </c>
      <c r="BJ7" s="39">
        <f>[177]Sheet1!BK34</f>
        <v>59</v>
      </c>
      <c r="BK7" s="39">
        <f>[177]Sheet1!BL34</f>
        <v>60</v>
      </c>
      <c r="BL7" s="39">
        <f>[177]Sheet1!BM34</f>
        <v>61</v>
      </c>
      <c r="BM7" s="39">
        <f>[177]Sheet1!BN34</f>
        <v>62</v>
      </c>
      <c r="BN7" s="39">
        <f>[177]Sheet1!BO34</f>
        <v>63</v>
      </c>
      <c r="BO7" s="39">
        <f>[177]Sheet1!BP34</f>
        <v>64</v>
      </c>
      <c r="BP7" s="39">
        <f>[177]Sheet1!BQ34</f>
        <v>65</v>
      </c>
      <c r="BQ7" s="39">
        <f>[177]Sheet1!BR34</f>
        <v>66</v>
      </c>
      <c r="BR7" s="39">
        <f>[177]Sheet1!BS34</f>
        <v>67</v>
      </c>
      <c r="BS7" s="39">
        <f>[177]Sheet1!BT34</f>
        <v>68</v>
      </c>
      <c r="BT7" s="39">
        <f>[177]Sheet1!BU34</f>
        <v>69</v>
      </c>
      <c r="BU7" s="39">
        <f>[177]Sheet1!BV34</f>
        <v>70</v>
      </c>
      <c r="BV7" s="39">
        <f>[177]Sheet1!BW34</f>
        <v>71</v>
      </c>
      <c r="BW7" s="39">
        <f>[177]Sheet1!BX34</f>
        <v>72</v>
      </c>
      <c r="BX7" s="39">
        <f>[177]Sheet1!BY34</f>
        <v>73</v>
      </c>
      <c r="BY7" s="39">
        <f>[177]Sheet1!BZ34</f>
        <v>74</v>
      </c>
      <c r="BZ7" s="39">
        <f>[177]Sheet1!CA34</f>
        <v>75</v>
      </c>
      <c r="CA7" s="39">
        <f>[177]Sheet1!CB34</f>
        <v>76</v>
      </c>
      <c r="CB7" s="39">
        <f>[177]Sheet1!CC34</f>
        <v>77</v>
      </c>
      <c r="CC7" s="39">
        <f>[177]Sheet1!CD34</f>
        <v>78</v>
      </c>
      <c r="CD7" s="39">
        <f>[177]Sheet1!CE34</f>
        <v>79</v>
      </c>
      <c r="CE7" s="39">
        <f>[177]Sheet1!CF34</f>
        <v>80</v>
      </c>
      <c r="CF7" s="39">
        <f>[177]Sheet1!CG34</f>
        <v>81</v>
      </c>
      <c r="CG7" s="39">
        <f>[177]Sheet1!CH34</f>
        <v>82</v>
      </c>
      <c r="CH7" s="39">
        <f>[177]Sheet1!CI34</f>
        <v>83</v>
      </c>
      <c r="CI7" s="39">
        <f>[177]Sheet1!CJ34</f>
        <v>84</v>
      </c>
      <c r="CJ7" s="39">
        <f>[177]Sheet1!CK34</f>
        <v>85</v>
      </c>
      <c r="CK7" s="39">
        <f>[177]Sheet1!CL34</f>
        <v>86</v>
      </c>
      <c r="CL7" s="39">
        <f>[177]Sheet1!CM34</f>
        <v>87</v>
      </c>
      <c r="CM7" s="39">
        <f>[177]Sheet1!CN34</f>
        <v>88</v>
      </c>
      <c r="CN7" s="39">
        <f>[177]Sheet1!CO34</f>
        <v>89</v>
      </c>
      <c r="CO7" s="39" t="str">
        <f>[177]Sheet1!CP34</f>
        <v>90+</v>
      </c>
      <c r="CQ7" s="1116" t="s">
        <v>403</v>
      </c>
    </row>
    <row r="8" spans="2:96" ht="18">
      <c r="B8" s="1117">
        <f>[177]Sheet1!C39</f>
        <v>2013</v>
      </c>
      <c r="C8" s="39">
        <v>673922</v>
      </c>
      <c r="D8" s="39">
        <v>693992</v>
      </c>
      <c r="E8" s="39">
        <v>686294</v>
      </c>
      <c r="F8" s="39">
        <v>675965</v>
      </c>
      <c r="G8" s="39">
        <v>667603</v>
      </c>
      <c r="H8" s="39">
        <v>674446</v>
      </c>
      <c r="I8" s="39">
        <v>651601</v>
      </c>
      <c r="J8" s="39">
        <v>638095</v>
      </c>
      <c r="K8" s="39">
        <v>615669</v>
      </c>
      <c r="L8" s="39">
        <v>606047</v>
      </c>
      <c r="M8" s="39">
        <v>587577</v>
      </c>
      <c r="N8" s="39">
        <v>575362</v>
      </c>
      <c r="O8" s="39">
        <v>586140</v>
      </c>
      <c r="P8" s="39">
        <v>601046</v>
      </c>
      <c r="Q8" s="39">
        <v>619695</v>
      </c>
      <c r="R8" s="39">
        <v>627043</v>
      </c>
      <c r="S8" s="39">
        <v>645448</v>
      </c>
      <c r="T8" s="39">
        <v>647135</v>
      </c>
      <c r="U8" s="39">
        <v>655130</v>
      </c>
      <c r="V8" s="39">
        <v>686783</v>
      </c>
      <c r="W8" s="39">
        <v>694407</v>
      </c>
      <c r="X8" s="39">
        <v>720297</v>
      </c>
      <c r="Y8" s="39">
        <v>744839</v>
      </c>
      <c r="Z8" s="39">
        <v>743646</v>
      </c>
      <c r="AA8" s="39">
        <v>724695</v>
      </c>
      <c r="AB8" s="39">
        <v>725783</v>
      </c>
      <c r="AC8" s="39">
        <v>719944</v>
      </c>
      <c r="AD8" s="39">
        <v>736457</v>
      </c>
      <c r="AE8" s="39">
        <v>745389</v>
      </c>
      <c r="AF8" s="39">
        <v>731152</v>
      </c>
      <c r="AG8" s="39">
        <v>739210</v>
      </c>
      <c r="AH8" s="39">
        <v>741260</v>
      </c>
      <c r="AI8" s="39">
        <v>747853</v>
      </c>
      <c r="AJ8" s="39">
        <v>750383</v>
      </c>
      <c r="AK8" s="39">
        <v>721773</v>
      </c>
      <c r="AL8" s="39">
        <v>674259</v>
      </c>
      <c r="AM8" s="39">
        <v>663557</v>
      </c>
      <c r="AN8" s="39">
        <v>674773</v>
      </c>
      <c r="AO8" s="39">
        <v>687971</v>
      </c>
      <c r="AP8" s="39">
        <v>698427</v>
      </c>
      <c r="AQ8" s="39">
        <v>727891</v>
      </c>
      <c r="AR8" s="39">
        <v>757416</v>
      </c>
      <c r="AS8" s="39">
        <v>782755</v>
      </c>
      <c r="AT8" s="39">
        <v>763916</v>
      </c>
      <c r="AU8" s="39">
        <v>781892</v>
      </c>
      <c r="AV8" s="39">
        <v>780553</v>
      </c>
      <c r="AW8" s="39">
        <v>790513</v>
      </c>
      <c r="AX8" s="39">
        <v>790596</v>
      </c>
      <c r="AY8" s="39">
        <v>794226</v>
      </c>
      <c r="AZ8" s="39">
        <v>786035</v>
      </c>
      <c r="BA8" s="39">
        <v>769473</v>
      </c>
      <c r="BB8" s="39">
        <v>752483</v>
      </c>
      <c r="BC8" s="39">
        <v>726255</v>
      </c>
      <c r="BD8" s="39">
        <v>697144</v>
      </c>
      <c r="BE8" s="39">
        <v>681051</v>
      </c>
      <c r="BF8" s="39">
        <v>665212</v>
      </c>
      <c r="BG8" s="39">
        <v>639873</v>
      </c>
      <c r="BH8" s="39">
        <v>617490</v>
      </c>
      <c r="BI8" s="39">
        <v>594994</v>
      </c>
      <c r="BJ8" s="39">
        <v>597222</v>
      </c>
      <c r="BK8" s="39">
        <v>589586</v>
      </c>
      <c r="BL8" s="39">
        <v>573739</v>
      </c>
      <c r="BM8" s="39">
        <v>577749</v>
      </c>
      <c r="BN8" s="39">
        <v>589780</v>
      </c>
      <c r="BO8" s="39">
        <v>605373</v>
      </c>
      <c r="BP8" s="39">
        <v>640238</v>
      </c>
      <c r="BQ8" s="39">
        <v>695967</v>
      </c>
      <c r="BR8" s="39">
        <v>536385</v>
      </c>
      <c r="BS8" s="39">
        <v>520894</v>
      </c>
      <c r="BT8" s="39">
        <v>519331</v>
      </c>
      <c r="BU8" s="39">
        <v>482563</v>
      </c>
      <c r="BV8" s="39">
        <v>430896</v>
      </c>
      <c r="BW8" s="39">
        <v>387384</v>
      </c>
      <c r="BX8" s="39">
        <v>402912</v>
      </c>
      <c r="BY8" s="39">
        <v>399237</v>
      </c>
      <c r="BZ8" s="39">
        <v>387624</v>
      </c>
      <c r="CA8" s="39">
        <v>367473</v>
      </c>
      <c r="CB8" s="39">
        <v>348665</v>
      </c>
      <c r="CC8" s="39">
        <v>330305</v>
      </c>
      <c r="CD8" s="39">
        <v>304985</v>
      </c>
      <c r="CE8" s="39">
        <v>289303</v>
      </c>
      <c r="CF8" s="39">
        <v>280335</v>
      </c>
      <c r="CG8" s="39">
        <v>263928</v>
      </c>
      <c r="CH8" s="39">
        <v>244023</v>
      </c>
      <c r="CI8" s="39">
        <v>218355</v>
      </c>
      <c r="CJ8" s="39">
        <v>194650</v>
      </c>
      <c r="CK8" s="39">
        <v>176046</v>
      </c>
      <c r="CL8" s="39">
        <v>157408</v>
      </c>
      <c r="CM8" s="39">
        <v>137327</v>
      </c>
      <c r="CN8" s="39">
        <v>119163</v>
      </c>
      <c r="CO8" s="39">
        <v>449004</v>
      </c>
      <c r="CQ8" s="39">
        <f t="shared" ref="CQ8:CQ39" si="0">SUM(C8:CO8)</f>
        <v>53918686</v>
      </c>
    </row>
    <row r="9" spans="2:96" ht="18">
      <c r="B9" s="1117">
        <f>[177]Sheet1!C40</f>
        <v>2014</v>
      </c>
      <c r="C9" s="39">
        <v>660583</v>
      </c>
      <c r="D9" s="39">
        <v>676571</v>
      </c>
      <c r="E9" s="39">
        <v>695648</v>
      </c>
      <c r="F9" s="39">
        <v>688869</v>
      </c>
      <c r="G9" s="39">
        <v>678422</v>
      </c>
      <c r="H9" s="39">
        <v>670722</v>
      </c>
      <c r="I9" s="39">
        <v>676914</v>
      </c>
      <c r="J9" s="39">
        <v>653315</v>
      </c>
      <c r="K9" s="39">
        <v>639341</v>
      </c>
      <c r="L9" s="39">
        <v>619875</v>
      </c>
      <c r="M9" s="39">
        <v>610576</v>
      </c>
      <c r="N9" s="39">
        <v>591840</v>
      </c>
      <c r="O9" s="39">
        <v>579250</v>
      </c>
      <c r="P9" s="39">
        <v>588342</v>
      </c>
      <c r="Q9" s="39">
        <v>603067</v>
      </c>
      <c r="R9" s="39">
        <v>622198</v>
      </c>
      <c r="S9" s="39">
        <v>629807</v>
      </c>
      <c r="T9" s="39">
        <v>650149</v>
      </c>
      <c r="U9" s="39">
        <v>655789</v>
      </c>
      <c r="V9" s="39">
        <v>670558</v>
      </c>
      <c r="W9" s="39">
        <v>700401</v>
      </c>
      <c r="X9" s="39">
        <v>707277</v>
      </c>
      <c r="Y9" s="39">
        <v>736942</v>
      </c>
      <c r="Z9" s="39">
        <v>760540</v>
      </c>
      <c r="AA9" s="39">
        <v>738527</v>
      </c>
      <c r="AB9" s="39">
        <v>725679</v>
      </c>
      <c r="AC9" s="39">
        <v>733466</v>
      </c>
      <c r="AD9" s="39">
        <v>728665</v>
      </c>
      <c r="AE9" s="39">
        <v>743916</v>
      </c>
      <c r="AF9" s="39">
        <v>752014</v>
      </c>
      <c r="AG9" s="39">
        <v>736902</v>
      </c>
      <c r="AH9" s="39">
        <v>744128</v>
      </c>
      <c r="AI9" s="39">
        <v>743915</v>
      </c>
      <c r="AJ9" s="39">
        <v>751116</v>
      </c>
      <c r="AK9" s="39">
        <v>754441</v>
      </c>
      <c r="AL9" s="39">
        <v>725530</v>
      </c>
      <c r="AM9" s="39">
        <v>677485</v>
      </c>
      <c r="AN9" s="39">
        <v>666063</v>
      </c>
      <c r="AO9" s="39">
        <v>677543</v>
      </c>
      <c r="AP9" s="39">
        <v>690879</v>
      </c>
      <c r="AQ9" s="39">
        <v>700744</v>
      </c>
      <c r="AR9" s="39">
        <v>729848</v>
      </c>
      <c r="AS9" s="39">
        <v>759080</v>
      </c>
      <c r="AT9" s="39">
        <v>785394</v>
      </c>
      <c r="AU9" s="39">
        <v>765922</v>
      </c>
      <c r="AV9" s="39">
        <v>783941</v>
      </c>
      <c r="AW9" s="39">
        <v>782305</v>
      </c>
      <c r="AX9" s="39">
        <v>791803</v>
      </c>
      <c r="AY9" s="39">
        <v>791313</v>
      </c>
      <c r="AZ9" s="39">
        <v>794651</v>
      </c>
      <c r="BA9" s="39">
        <v>786038</v>
      </c>
      <c r="BB9" s="39">
        <v>769053</v>
      </c>
      <c r="BC9" s="39">
        <v>751837</v>
      </c>
      <c r="BD9" s="39">
        <v>725325</v>
      </c>
      <c r="BE9" s="39">
        <v>696089</v>
      </c>
      <c r="BF9" s="39">
        <v>679574</v>
      </c>
      <c r="BG9" s="39">
        <v>663262</v>
      </c>
      <c r="BH9" s="39">
        <v>637647</v>
      </c>
      <c r="BI9" s="39">
        <v>614937</v>
      </c>
      <c r="BJ9" s="39">
        <v>592161</v>
      </c>
      <c r="BK9" s="39">
        <v>593919</v>
      </c>
      <c r="BL9" s="39">
        <v>585824</v>
      </c>
      <c r="BM9" s="39">
        <v>569725</v>
      </c>
      <c r="BN9" s="39">
        <v>573448</v>
      </c>
      <c r="BO9" s="39">
        <v>584748</v>
      </c>
      <c r="BP9" s="39">
        <v>599612</v>
      </c>
      <c r="BQ9" s="39">
        <v>634034</v>
      </c>
      <c r="BR9" s="39">
        <v>688640</v>
      </c>
      <c r="BS9" s="39">
        <v>529863</v>
      </c>
      <c r="BT9" s="39">
        <v>513994</v>
      </c>
      <c r="BU9" s="39">
        <v>511803</v>
      </c>
      <c r="BV9" s="39">
        <v>474800</v>
      </c>
      <c r="BW9" s="39">
        <v>423038</v>
      </c>
      <c r="BX9" s="39">
        <v>379601</v>
      </c>
      <c r="BY9" s="39">
        <v>394121</v>
      </c>
      <c r="BZ9" s="39">
        <v>389508</v>
      </c>
      <c r="CA9" s="39">
        <v>377346</v>
      </c>
      <c r="CB9" s="39">
        <v>356529</v>
      </c>
      <c r="CC9" s="39">
        <v>337037</v>
      </c>
      <c r="CD9" s="39">
        <v>317966</v>
      </c>
      <c r="CE9" s="39">
        <v>292130</v>
      </c>
      <c r="CF9" s="39">
        <v>275590</v>
      </c>
      <c r="CG9" s="39">
        <v>265370</v>
      </c>
      <c r="CH9" s="39">
        <v>247579</v>
      </c>
      <c r="CI9" s="39">
        <v>227480</v>
      </c>
      <c r="CJ9" s="39">
        <v>201676</v>
      </c>
      <c r="CK9" s="39">
        <v>178163</v>
      </c>
      <c r="CL9" s="39">
        <v>159095</v>
      </c>
      <c r="CM9" s="39">
        <v>140544</v>
      </c>
      <c r="CN9" s="39">
        <v>120931</v>
      </c>
      <c r="CO9" s="39">
        <v>468016</v>
      </c>
      <c r="CQ9" s="39">
        <f t="shared" si="0"/>
        <v>54370319</v>
      </c>
    </row>
    <row r="10" spans="2:96" ht="18">
      <c r="B10" s="1117">
        <f>[177]Sheet1!C41</f>
        <v>2015</v>
      </c>
      <c r="C10" s="39">
        <v>658624</v>
      </c>
      <c r="D10" s="39">
        <v>662946</v>
      </c>
      <c r="E10" s="39">
        <v>677849</v>
      </c>
      <c r="F10" s="39">
        <v>696830</v>
      </c>
      <c r="G10" s="39">
        <v>691009</v>
      </c>
      <c r="H10" s="39">
        <v>681060</v>
      </c>
      <c r="I10" s="39">
        <v>673294</v>
      </c>
      <c r="J10" s="39">
        <v>679325</v>
      </c>
      <c r="K10" s="39">
        <v>654843</v>
      </c>
      <c r="L10" s="39">
        <v>640889</v>
      </c>
      <c r="M10" s="39">
        <v>623812</v>
      </c>
      <c r="N10" s="39">
        <v>615211</v>
      </c>
      <c r="O10" s="39">
        <v>596262</v>
      </c>
      <c r="P10" s="39">
        <v>583449</v>
      </c>
      <c r="Q10" s="39">
        <v>591222</v>
      </c>
      <c r="R10" s="39">
        <v>606017</v>
      </c>
      <c r="S10" s="39">
        <v>625936</v>
      </c>
      <c r="T10" s="39">
        <v>635313</v>
      </c>
      <c r="U10" s="39">
        <v>661234</v>
      </c>
      <c r="V10" s="39">
        <v>671406</v>
      </c>
      <c r="W10" s="39">
        <v>685921</v>
      </c>
      <c r="X10" s="39">
        <v>714790</v>
      </c>
      <c r="Y10" s="39">
        <v>725595</v>
      </c>
      <c r="Z10" s="39">
        <v>756082</v>
      </c>
      <c r="AA10" s="39">
        <v>756645</v>
      </c>
      <c r="AB10" s="39">
        <v>740626</v>
      </c>
      <c r="AC10" s="39">
        <v>734392</v>
      </c>
      <c r="AD10" s="39">
        <v>745265</v>
      </c>
      <c r="AE10" s="39">
        <v>739789</v>
      </c>
      <c r="AF10" s="39">
        <v>752735</v>
      </c>
      <c r="AG10" s="39">
        <v>759570</v>
      </c>
      <c r="AH10" s="39">
        <v>743352</v>
      </c>
      <c r="AI10" s="39">
        <v>747985</v>
      </c>
      <c r="AJ10" s="39">
        <v>747355</v>
      </c>
      <c r="AK10" s="39">
        <v>755452</v>
      </c>
      <c r="AL10" s="39">
        <v>758840</v>
      </c>
      <c r="AM10" s="39">
        <v>729330</v>
      </c>
      <c r="AN10" s="39">
        <v>680193</v>
      </c>
      <c r="AO10" s="39">
        <v>668644</v>
      </c>
      <c r="AP10" s="39">
        <v>680254</v>
      </c>
      <c r="AQ10" s="39">
        <v>693523</v>
      </c>
      <c r="AR10" s="39">
        <v>702889</v>
      </c>
      <c r="AS10" s="39">
        <v>731770</v>
      </c>
      <c r="AT10" s="39">
        <v>761087</v>
      </c>
      <c r="AU10" s="39">
        <v>787439</v>
      </c>
      <c r="AV10" s="39">
        <v>767898</v>
      </c>
      <c r="AW10" s="39">
        <v>785685</v>
      </c>
      <c r="AX10" s="39">
        <v>784043</v>
      </c>
      <c r="AY10" s="39">
        <v>792902</v>
      </c>
      <c r="AZ10" s="39">
        <v>791741</v>
      </c>
      <c r="BA10" s="39">
        <v>794825</v>
      </c>
      <c r="BB10" s="39">
        <v>785745</v>
      </c>
      <c r="BC10" s="39">
        <v>768299</v>
      </c>
      <c r="BD10" s="39">
        <v>750908</v>
      </c>
      <c r="BE10" s="39">
        <v>724200</v>
      </c>
      <c r="BF10" s="39">
        <v>694746</v>
      </c>
      <c r="BG10" s="39">
        <v>677726</v>
      </c>
      <c r="BH10" s="39">
        <v>660928</v>
      </c>
      <c r="BI10" s="39">
        <v>635052</v>
      </c>
      <c r="BJ10" s="39">
        <v>611988</v>
      </c>
      <c r="BK10" s="39">
        <v>588764</v>
      </c>
      <c r="BL10" s="39">
        <v>590311</v>
      </c>
      <c r="BM10" s="39">
        <v>581668</v>
      </c>
      <c r="BN10" s="39">
        <v>565321</v>
      </c>
      <c r="BO10" s="39">
        <v>568537</v>
      </c>
      <c r="BP10" s="39">
        <v>579136</v>
      </c>
      <c r="BQ10" s="39">
        <v>593308</v>
      </c>
      <c r="BR10" s="39">
        <v>626941</v>
      </c>
      <c r="BS10" s="39">
        <v>680478</v>
      </c>
      <c r="BT10" s="39">
        <v>522564</v>
      </c>
      <c r="BU10" s="39">
        <v>506396</v>
      </c>
      <c r="BV10" s="39">
        <v>503411</v>
      </c>
      <c r="BW10" s="39">
        <v>466003</v>
      </c>
      <c r="BX10" s="39">
        <v>414598</v>
      </c>
      <c r="BY10" s="39">
        <v>370747</v>
      </c>
      <c r="BZ10" s="39">
        <v>383987</v>
      </c>
      <c r="CA10" s="39">
        <v>378413</v>
      </c>
      <c r="CB10" s="39">
        <v>365487</v>
      </c>
      <c r="CC10" s="39">
        <v>343964</v>
      </c>
      <c r="CD10" s="39">
        <v>323690</v>
      </c>
      <c r="CE10" s="39">
        <v>303499</v>
      </c>
      <c r="CF10" s="39">
        <v>277339</v>
      </c>
      <c r="CG10" s="39">
        <v>259910</v>
      </c>
      <c r="CH10" s="39">
        <v>248103</v>
      </c>
      <c r="CI10" s="39">
        <v>229147</v>
      </c>
      <c r="CJ10" s="39">
        <v>208550</v>
      </c>
      <c r="CK10" s="39">
        <v>182735</v>
      </c>
      <c r="CL10" s="39">
        <v>159411</v>
      </c>
      <c r="CM10" s="39">
        <v>140303</v>
      </c>
      <c r="CN10" s="39">
        <v>122037</v>
      </c>
      <c r="CO10" s="39">
        <v>471178</v>
      </c>
      <c r="CQ10" s="39">
        <f t="shared" si="0"/>
        <v>54808676</v>
      </c>
    </row>
    <row r="11" spans="2:96" ht="18">
      <c r="B11" s="1117">
        <f>[177]Sheet1!C42</f>
        <v>2016</v>
      </c>
      <c r="C11" s="39">
        <v>664409</v>
      </c>
      <c r="D11" s="39">
        <v>660439</v>
      </c>
      <c r="E11" s="39">
        <v>663711</v>
      </c>
      <c r="F11" s="39">
        <v>678376</v>
      </c>
      <c r="G11" s="39">
        <v>697328</v>
      </c>
      <c r="H11" s="39">
        <v>693170</v>
      </c>
      <c r="I11" s="39">
        <v>683104</v>
      </c>
      <c r="J11" s="39">
        <v>675734</v>
      </c>
      <c r="K11" s="39">
        <v>681286</v>
      </c>
      <c r="L11" s="39">
        <v>656591</v>
      </c>
      <c r="M11" s="39">
        <v>642152</v>
      </c>
      <c r="N11" s="39">
        <v>627859</v>
      </c>
      <c r="O11" s="39">
        <v>619890</v>
      </c>
      <c r="P11" s="39">
        <v>600968</v>
      </c>
      <c r="Q11" s="39">
        <v>588460</v>
      </c>
      <c r="R11" s="39">
        <v>594923</v>
      </c>
      <c r="S11" s="39">
        <v>610240</v>
      </c>
      <c r="T11" s="39">
        <v>632881</v>
      </c>
      <c r="U11" s="39">
        <v>648121</v>
      </c>
      <c r="V11" s="39">
        <v>680425</v>
      </c>
      <c r="W11" s="39">
        <v>686569</v>
      </c>
      <c r="X11" s="39">
        <v>702112</v>
      </c>
      <c r="Y11" s="39">
        <v>734849</v>
      </c>
      <c r="Z11" s="39">
        <v>746010</v>
      </c>
      <c r="AA11" s="39">
        <v>753068</v>
      </c>
      <c r="AB11" s="39">
        <v>758198</v>
      </c>
      <c r="AC11" s="39">
        <v>749752</v>
      </c>
      <c r="AD11" s="39">
        <v>746917</v>
      </c>
      <c r="AE11" s="39">
        <v>759299</v>
      </c>
      <c r="AF11" s="39">
        <v>751951</v>
      </c>
      <c r="AG11" s="39">
        <v>762109</v>
      </c>
      <c r="AH11" s="39">
        <v>767896</v>
      </c>
      <c r="AI11" s="39">
        <v>748270</v>
      </c>
      <c r="AJ11" s="39">
        <v>752386</v>
      </c>
      <c r="AK11" s="39">
        <v>751915</v>
      </c>
      <c r="AL11" s="39">
        <v>760001</v>
      </c>
      <c r="AM11" s="39">
        <v>762950</v>
      </c>
      <c r="AN11" s="39">
        <v>732342</v>
      </c>
      <c r="AO11" s="39">
        <v>682987</v>
      </c>
      <c r="AP11" s="39">
        <v>670932</v>
      </c>
      <c r="AQ11" s="39">
        <v>682578</v>
      </c>
      <c r="AR11" s="39">
        <v>695880</v>
      </c>
      <c r="AS11" s="39">
        <v>704978</v>
      </c>
      <c r="AT11" s="39">
        <v>733907</v>
      </c>
      <c r="AU11" s="39">
        <v>762535</v>
      </c>
      <c r="AV11" s="39">
        <v>789313</v>
      </c>
      <c r="AW11" s="39">
        <v>769535</v>
      </c>
      <c r="AX11" s="39">
        <v>787236</v>
      </c>
      <c r="AY11" s="39">
        <v>785444</v>
      </c>
      <c r="AZ11" s="39">
        <v>793598</v>
      </c>
      <c r="BA11" s="39">
        <v>792008</v>
      </c>
      <c r="BB11" s="39">
        <v>794553</v>
      </c>
      <c r="BC11" s="39">
        <v>784954</v>
      </c>
      <c r="BD11" s="39">
        <v>767256</v>
      </c>
      <c r="BE11" s="39">
        <v>749663</v>
      </c>
      <c r="BF11" s="39">
        <v>722561</v>
      </c>
      <c r="BG11" s="39">
        <v>692778</v>
      </c>
      <c r="BH11" s="39">
        <v>675481</v>
      </c>
      <c r="BI11" s="39">
        <v>658140</v>
      </c>
      <c r="BJ11" s="39">
        <v>632024</v>
      </c>
      <c r="BK11" s="39">
        <v>608591</v>
      </c>
      <c r="BL11" s="39">
        <v>585066</v>
      </c>
      <c r="BM11" s="39">
        <v>586234</v>
      </c>
      <c r="BN11" s="39">
        <v>577125</v>
      </c>
      <c r="BO11" s="39">
        <v>560401</v>
      </c>
      <c r="BP11" s="39">
        <v>563197</v>
      </c>
      <c r="BQ11" s="39">
        <v>573132</v>
      </c>
      <c r="BR11" s="39">
        <v>586697</v>
      </c>
      <c r="BS11" s="39">
        <v>619355</v>
      </c>
      <c r="BT11" s="39">
        <v>671472</v>
      </c>
      <c r="BU11" s="39">
        <v>514869</v>
      </c>
      <c r="BV11" s="39">
        <v>498125</v>
      </c>
      <c r="BW11" s="39">
        <v>494518</v>
      </c>
      <c r="BX11" s="39">
        <v>456555</v>
      </c>
      <c r="BY11" s="39">
        <v>405454</v>
      </c>
      <c r="BZ11" s="39">
        <v>361339</v>
      </c>
      <c r="CA11" s="39">
        <v>373370</v>
      </c>
      <c r="CB11" s="39">
        <v>366861</v>
      </c>
      <c r="CC11" s="39">
        <v>352948</v>
      </c>
      <c r="CD11" s="39">
        <v>331121</v>
      </c>
      <c r="CE11" s="39">
        <v>309916</v>
      </c>
      <c r="CF11" s="39">
        <v>288819</v>
      </c>
      <c r="CG11" s="39">
        <v>262180</v>
      </c>
      <c r="CH11" s="39">
        <v>243858</v>
      </c>
      <c r="CI11" s="39">
        <v>230937</v>
      </c>
      <c r="CJ11" s="39">
        <v>210909</v>
      </c>
      <c r="CK11" s="39">
        <v>189876</v>
      </c>
      <c r="CL11" s="39">
        <v>164489</v>
      </c>
      <c r="CM11" s="39">
        <v>141542</v>
      </c>
      <c r="CN11" s="39">
        <v>122799</v>
      </c>
      <c r="CO11" s="39">
        <v>482277</v>
      </c>
      <c r="CQ11" s="39">
        <f t="shared" si="0"/>
        <v>55289034</v>
      </c>
    </row>
    <row r="12" spans="2:96" ht="18">
      <c r="B12" s="1117">
        <f>[177]Sheet1!C43</f>
        <v>2017</v>
      </c>
      <c r="C12" s="39">
        <v>647776</v>
      </c>
      <c r="D12" s="39">
        <v>664447</v>
      </c>
      <c r="E12" s="39">
        <v>659161</v>
      </c>
      <c r="F12" s="39">
        <v>662388</v>
      </c>
      <c r="G12" s="39">
        <v>677320</v>
      </c>
      <c r="H12" s="39">
        <v>696840</v>
      </c>
      <c r="I12" s="39">
        <v>693873</v>
      </c>
      <c r="J12" s="39">
        <v>684133</v>
      </c>
      <c r="K12" s="39">
        <v>676939</v>
      </c>
      <c r="L12" s="39">
        <v>682760</v>
      </c>
      <c r="M12" s="39">
        <v>657408</v>
      </c>
      <c r="N12" s="39">
        <v>643129</v>
      </c>
      <c r="O12" s="39">
        <v>631697</v>
      </c>
      <c r="P12" s="39">
        <v>624410</v>
      </c>
      <c r="Q12" s="39">
        <v>605982</v>
      </c>
      <c r="R12" s="39">
        <v>593615</v>
      </c>
      <c r="S12" s="39">
        <v>598916</v>
      </c>
      <c r="T12" s="39">
        <v>615946</v>
      </c>
      <c r="U12" s="39">
        <v>644216</v>
      </c>
      <c r="V12" s="39">
        <v>664390</v>
      </c>
      <c r="W12" s="39">
        <v>693358</v>
      </c>
      <c r="X12" s="39">
        <v>696480</v>
      </c>
      <c r="Y12" s="39">
        <v>716060</v>
      </c>
      <c r="Z12" s="39">
        <v>746976</v>
      </c>
      <c r="AA12" s="39">
        <v>735614</v>
      </c>
      <c r="AB12" s="39">
        <v>749268</v>
      </c>
      <c r="AC12" s="39">
        <v>761040</v>
      </c>
      <c r="AD12" s="39">
        <v>757181</v>
      </c>
      <c r="AE12" s="39">
        <v>756043</v>
      </c>
      <c r="AF12" s="39">
        <v>768592</v>
      </c>
      <c r="AG12" s="39">
        <v>759693</v>
      </c>
      <c r="AH12" s="39">
        <v>767255</v>
      </c>
      <c r="AI12" s="39">
        <v>770132</v>
      </c>
      <c r="AJ12" s="39">
        <v>749715</v>
      </c>
      <c r="AK12" s="39">
        <v>753776</v>
      </c>
      <c r="AL12" s="39">
        <v>752778</v>
      </c>
      <c r="AM12" s="39">
        <v>761006</v>
      </c>
      <c r="AN12" s="39">
        <v>763432</v>
      </c>
      <c r="AO12" s="39">
        <v>732909</v>
      </c>
      <c r="AP12" s="39">
        <v>683097</v>
      </c>
      <c r="AQ12" s="39">
        <v>670924</v>
      </c>
      <c r="AR12" s="39">
        <v>683063</v>
      </c>
      <c r="AS12" s="39">
        <v>696637</v>
      </c>
      <c r="AT12" s="39">
        <v>706058</v>
      </c>
      <c r="AU12" s="39">
        <v>734412</v>
      </c>
      <c r="AV12" s="39">
        <v>762948</v>
      </c>
      <c r="AW12" s="39">
        <v>790119</v>
      </c>
      <c r="AX12" s="39">
        <v>770216</v>
      </c>
      <c r="AY12" s="39">
        <v>787909</v>
      </c>
      <c r="AZ12" s="39">
        <v>786032</v>
      </c>
      <c r="BA12" s="39">
        <v>793362</v>
      </c>
      <c r="BB12" s="39">
        <v>791225</v>
      </c>
      <c r="BC12" s="39">
        <v>793417</v>
      </c>
      <c r="BD12" s="39">
        <v>783577</v>
      </c>
      <c r="BE12" s="39">
        <v>765527</v>
      </c>
      <c r="BF12" s="39">
        <v>747732</v>
      </c>
      <c r="BG12" s="39">
        <v>720270</v>
      </c>
      <c r="BH12" s="39">
        <v>690499</v>
      </c>
      <c r="BI12" s="39">
        <v>672726</v>
      </c>
      <c r="BJ12" s="39">
        <v>654902</v>
      </c>
      <c r="BK12" s="39">
        <v>628321</v>
      </c>
      <c r="BL12" s="39">
        <v>604749</v>
      </c>
      <c r="BM12" s="39">
        <v>580835</v>
      </c>
      <c r="BN12" s="39">
        <v>581622</v>
      </c>
      <c r="BO12" s="39">
        <v>572094</v>
      </c>
      <c r="BP12" s="39">
        <v>554967</v>
      </c>
      <c r="BQ12" s="39">
        <v>557519</v>
      </c>
      <c r="BR12" s="39">
        <v>566574</v>
      </c>
      <c r="BS12" s="39">
        <v>579565</v>
      </c>
      <c r="BT12" s="39">
        <v>611187</v>
      </c>
      <c r="BU12" s="39">
        <v>661924</v>
      </c>
      <c r="BV12" s="39">
        <v>506613</v>
      </c>
      <c r="BW12" s="39">
        <v>488987</v>
      </c>
      <c r="BX12" s="39">
        <v>484603</v>
      </c>
      <c r="BY12" s="39">
        <v>446417</v>
      </c>
      <c r="BZ12" s="39">
        <v>395334</v>
      </c>
      <c r="CA12" s="39">
        <v>351350</v>
      </c>
      <c r="CB12" s="39">
        <v>361906</v>
      </c>
      <c r="CC12" s="39">
        <v>354327</v>
      </c>
      <c r="CD12" s="39">
        <v>339534</v>
      </c>
      <c r="CE12" s="39">
        <v>316880</v>
      </c>
      <c r="CF12" s="39">
        <v>294935</v>
      </c>
      <c r="CG12" s="39">
        <v>272999</v>
      </c>
      <c r="CH12" s="39">
        <v>246192</v>
      </c>
      <c r="CI12" s="39">
        <v>226916</v>
      </c>
      <c r="CJ12" s="39">
        <v>212590</v>
      </c>
      <c r="CK12" s="39">
        <v>192086</v>
      </c>
      <c r="CL12" s="39">
        <v>170595</v>
      </c>
      <c r="CM12" s="39">
        <v>145793</v>
      </c>
      <c r="CN12" s="39">
        <v>123626</v>
      </c>
      <c r="CO12" s="39">
        <v>487202</v>
      </c>
      <c r="CQ12" s="39">
        <f t="shared" si="0"/>
        <v>55619548</v>
      </c>
    </row>
    <row r="13" spans="2:96" ht="18">
      <c r="B13" s="1117">
        <f>[177]Sheet1!C44</f>
        <v>2018</v>
      </c>
      <c r="C13" s="39">
        <v>630785</v>
      </c>
      <c r="D13" s="39">
        <v>646396</v>
      </c>
      <c r="E13" s="39">
        <v>662647</v>
      </c>
      <c r="F13" s="39">
        <v>656871</v>
      </c>
      <c r="G13" s="39">
        <v>660445</v>
      </c>
      <c r="H13" s="39">
        <v>676459</v>
      </c>
      <c r="I13" s="39">
        <v>695824</v>
      </c>
      <c r="J13" s="39">
        <v>694277</v>
      </c>
      <c r="K13" s="39">
        <v>684695</v>
      </c>
      <c r="L13" s="39">
        <v>678305</v>
      </c>
      <c r="M13" s="39">
        <v>683967</v>
      </c>
      <c r="N13" s="39">
        <v>658378</v>
      </c>
      <c r="O13" s="39">
        <v>644115</v>
      </c>
      <c r="P13" s="39">
        <v>635617</v>
      </c>
      <c r="Q13" s="39">
        <v>629637</v>
      </c>
      <c r="R13" s="39">
        <v>611687</v>
      </c>
      <c r="S13" s="39">
        <v>599810</v>
      </c>
      <c r="T13" s="39">
        <v>605678</v>
      </c>
      <c r="U13" s="39">
        <v>627435</v>
      </c>
      <c r="V13" s="39">
        <v>662227</v>
      </c>
      <c r="W13" s="39">
        <v>678269</v>
      </c>
      <c r="X13" s="39">
        <v>705151</v>
      </c>
      <c r="Y13" s="39">
        <v>709988</v>
      </c>
      <c r="Z13" s="39">
        <v>729787</v>
      </c>
      <c r="AA13" s="39">
        <v>737054</v>
      </c>
      <c r="AB13" s="39">
        <v>731955</v>
      </c>
      <c r="AC13" s="39">
        <v>753264</v>
      </c>
      <c r="AD13" s="39">
        <v>767861</v>
      </c>
      <c r="AE13" s="39">
        <v>766444</v>
      </c>
      <c r="AF13" s="39">
        <v>765681</v>
      </c>
      <c r="AG13" s="39">
        <v>778233</v>
      </c>
      <c r="AH13" s="39">
        <v>767626</v>
      </c>
      <c r="AI13" s="39">
        <v>770565</v>
      </c>
      <c r="AJ13" s="39">
        <v>772554</v>
      </c>
      <c r="AK13" s="39">
        <v>751926</v>
      </c>
      <c r="AL13" s="39">
        <v>755209</v>
      </c>
      <c r="AM13" s="39">
        <v>753491</v>
      </c>
      <c r="AN13" s="39">
        <v>761200</v>
      </c>
      <c r="AO13" s="39">
        <v>764021</v>
      </c>
      <c r="AP13" s="39">
        <v>733103</v>
      </c>
      <c r="AQ13" s="39">
        <v>682988</v>
      </c>
      <c r="AR13" s="39">
        <v>670815</v>
      </c>
      <c r="AS13" s="39">
        <v>683426</v>
      </c>
      <c r="AT13" s="39">
        <v>697596</v>
      </c>
      <c r="AU13" s="39">
        <v>706472</v>
      </c>
      <c r="AV13" s="39">
        <v>734773</v>
      </c>
      <c r="AW13" s="39">
        <v>762898</v>
      </c>
      <c r="AX13" s="39">
        <v>790706</v>
      </c>
      <c r="AY13" s="39">
        <v>770638</v>
      </c>
      <c r="AZ13" s="39">
        <v>788211</v>
      </c>
      <c r="BA13" s="39">
        <v>786271</v>
      </c>
      <c r="BB13" s="39">
        <v>792782</v>
      </c>
      <c r="BC13" s="39">
        <v>790022</v>
      </c>
      <c r="BD13" s="39">
        <v>791979</v>
      </c>
      <c r="BE13" s="39">
        <v>781820</v>
      </c>
      <c r="BF13" s="39">
        <v>763308</v>
      </c>
      <c r="BG13" s="39">
        <v>745161</v>
      </c>
      <c r="BH13" s="39">
        <v>717455</v>
      </c>
      <c r="BI13" s="39">
        <v>687509</v>
      </c>
      <c r="BJ13" s="39">
        <v>669559</v>
      </c>
      <c r="BK13" s="39">
        <v>651167</v>
      </c>
      <c r="BL13" s="39">
        <v>624283</v>
      </c>
      <c r="BM13" s="39">
        <v>600310</v>
      </c>
      <c r="BN13" s="39">
        <v>576374</v>
      </c>
      <c r="BO13" s="39">
        <v>576607</v>
      </c>
      <c r="BP13" s="39">
        <v>566278</v>
      </c>
      <c r="BQ13" s="39">
        <v>549339</v>
      </c>
      <c r="BR13" s="39">
        <v>551318</v>
      </c>
      <c r="BS13" s="39">
        <v>559453</v>
      </c>
      <c r="BT13" s="39">
        <v>571617</v>
      </c>
      <c r="BU13" s="39">
        <v>602150</v>
      </c>
      <c r="BV13" s="39">
        <v>651495</v>
      </c>
      <c r="BW13" s="39">
        <v>497328</v>
      </c>
      <c r="BX13" s="39">
        <v>479220</v>
      </c>
      <c r="BY13" s="39">
        <v>473921</v>
      </c>
      <c r="BZ13" s="39">
        <v>435172</v>
      </c>
      <c r="CA13" s="39">
        <v>384403</v>
      </c>
      <c r="CB13" s="39">
        <v>340379</v>
      </c>
      <c r="CC13" s="39">
        <v>349460</v>
      </c>
      <c r="CD13" s="39">
        <v>340722</v>
      </c>
      <c r="CE13" s="39">
        <v>324908</v>
      </c>
      <c r="CF13" s="39">
        <v>301443</v>
      </c>
      <c r="CG13" s="39">
        <v>278620</v>
      </c>
      <c r="CH13" s="39">
        <v>256193</v>
      </c>
      <c r="CI13" s="39">
        <v>228918</v>
      </c>
      <c r="CJ13" s="39">
        <v>209143</v>
      </c>
      <c r="CK13" s="39">
        <v>193455</v>
      </c>
      <c r="CL13" s="39">
        <v>172052</v>
      </c>
      <c r="CM13" s="39">
        <v>150792</v>
      </c>
      <c r="CN13" s="39">
        <v>126625</v>
      </c>
      <c r="CO13" s="39">
        <v>488357</v>
      </c>
      <c r="CQ13" s="39">
        <f t="shared" si="0"/>
        <v>55924528</v>
      </c>
      <c r="CR13" s="1118"/>
    </row>
    <row r="14" spans="2:96" ht="18">
      <c r="B14" s="1117">
        <f>[177]Sheet1!C45</f>
        <v>2019</v>
      </c>
      <c r="C14" s="39">
        <v>614765</v>
      </c>
      <c r="D14" s="39">
        <v>629886</v>
      </c>
      <c r="E14" s="39">
        <v>644113</v>
      </c>
      <c r="F14" s="39">
        <v>661188</v>
      </c>
      <c r="G14" s="39">
        <v>655582</v>
      </c>
      <c r="H14" s="39">
        <v>659611</v>
      </c>
      <c r="I14" s="39">
        <v>676166</v>
      </c>
      <c r="J14" s="39">
        <v>695644</v>
      </c>
      <c r="K14" s="39">
        <v>695029</v>
      </c>
      <c r="L14" s="39">
        <v>685963</v>
      </c>
      <c r="M14" s="39">
        <v>680009</v>
      </c>
      <c r="N14" s="39">
        <v>685974</v>
      </c>
      <c r="O14" s="39">
        <v>659888</v>
      </c>
      <c r="P14" s="39">
        <v>645371</v>
      </c>
      <c r="Q14" s="39">
        <v>640318</v>
      </c>
      <c r="R14" s="39">
        <v>635201</v>
      </c>
      <c r="S14" s="39">
        <v>617704</v>
      </c>
      <c r="T14" s="39">
        <v>608080</v>
      </c>
      <c r="U14" s="39">
        <v>619154</v>
      </c>
      <c r="V14" s="39">
        <v>646036</v>
      </c>
      <c r="W14" s="39">
        <v>676433</v>
      </c>
      <c r="X14" s="39">
        <v>689856</v>
      </c>
      <c r="Y14" s="39">
        <v>718820</v>
      </c>
      <c r="Z14" s="39">
        <v>721201</v>
      </c>
      <c r="AA14" s="39">
        <v>716853</v>
      </c>
      <c r="AB14" s="39">
        <v>733168</v>
      </c>
      <c r="AC14" s="39">
        <v>735356</v>
      </c>
      <c r="AD14" s="39">
        <v>761568</v>
      </c>
      <c r="AE14" s="39">
        <v>777126</v>
      </c>
      <c r="AF14" s="39">
        <v>777005</v>
      </c>
      <c r="AG14" s="39">
        <v>776244</v>
      </c>
      <c r="AH14" s="39">
        <v>788564</v>
      </c>
      <c r="AI14" s="39">
        <v>774454</v>
      </c>
      <c r="AJ14" s="39">
        <v>774479</v>
      </c>
      <c r="AK14" s="39">
        <v>775638</v>
      </c>
      <c r="AL14" s="39">
        <v>753688</v>
      </c>
      <c r="AM14" s="39">
        <v>755918</v>
      </c>
      <c r="AN14" s="39">
        <v>753406</v>
      </c>
      <c r="AO14" s="39">
        <v>761246</v>
      </c>
      <c r="AP14" s="39">
        <v>764313</v>
      </c>
      <c r="AQ14" s="39">
        <v>732992</v>
      </c>
      <c r="AR14" s="39">
        <v>682949</v>
      </c>
      <c r="AS14" s="39">
        <v>670323</v>
      </c>
      <c r="AT14" s="39">
        <v>683771</v>
      </c>
      <c r="AU14" s="39">
        <v>697811</v>
      </c>
      <c r="AV14" s="39">
        <v>706377</v>
      </c>
      <c r="AW14" s="39">
        <v>734319</v>
      </c>
      <c r="AX14" s="39">
        <v>762384</v>
      </c>
      <c r="AY14" s="39">
        <v>790085</v>
      </c>
      <c r="AZ14" s="39">
        <v>770036</v>
      </c>
      <c r="BA14" s="39">
        <v>787302</v>
      </c>
      <c r="BB14" s="39">
        <v>785123</v>
      </c>
      <c r="BC14" s="39">
        <v>790790</v>
      </c>
      <c r="BD14" s="39">
        <v>787675</v>
      </c>
      <c r="BE14" s="39">
        <v>789120</v>
      </c>
      <c r="BF14" s="39">
        <v>778440</v>
      </c>
      <c r="BG14" s="39">
        <v>759732</v>
      </c>
      <c r="BH14" s="39">
        <v>741577</v>
      </c>
      <c r="BI14" s="39">
        <v>713651</v>
      </c>
      <c r="BJ14" s="39">
        <v>683574</v>
      </c>
      <c r="BK14" s="39">
        <v>665374</v>
      </c>
      <c r="BL14" s="39">
        <v>646680</v>
      </c>
      <c r="BM14" s="39">
        <v>619461</v>
      </c>
      <c r="BN14" s="39">
        <v>595136</v>
      </c>
      <c r="BO14" s="39">
        <v>571135</v>
      </c>
      <c r="BP14" s="39">
        <v>571094</v>
      </c>
      <c r="BQ14" s="39">
        <v>560301</v>
      </c>
      <c r="BR14" s="39">
        <v>543071</v>
      </c>
      <c r="BS14" s="39">
        <v>544632</v>
      </c>
      <c r="BT14" s="39">
        <v>551667</v>
      </c>
      <c r="BU14" s="39">
        <v>563250</v>
      </c>
      <c r="BV14" s="39">
        <v>592727</v>
      </c>
      <c r="BW14" s="39">
        <v>640481</v>
      </c>
      <c r="BX14" s="39">
        <v>487771</v>
      </c>
      <c r="BY14" s="39">
        <v>469049</v>
      </c>
      <c r="BZ14" s="39">
        <v>462856</v>
      </c>
      <c r="CA14" s="39">
        <v>423731</v>
      </c>
      <c r="CB14" s="39">
        <v>373460</v>
      </c>
      <c r="CC14" s="39">
        <v>329215</v>
      </c>
      <c r="CD14" s="39">
        <v>336712</v>
      </c>
      <c r="CE14" s="39">
        <v>326938</v>
      </c>
      <c r="CF14" s="39">
        <v>310258</v>
      </c>
      <c r="CG14" s="39">
        <v>286070</v>
      </c>
      <c r="CH14" s="39">
        <v>262433</v>
      </c>
      <c r="CI14" s="39">
        <v>239484</v>
      </c>
      <c r="CJ14" s="39">
        <v>212081</v>
      </c>
      <c r="CK14" s="39">
        <v>191888</v>
      </c>
      <c r="CL14" s="39">
        <v>175438</v>
      </c>
      <c r="CM14" s="39">
        <v>153463</v>
      </c>
      <c r="CN14" s="39">
        <v>132375</v>
      </c>
      <c r="CO14" s="39">
        <v>502776</v>
      </c>
      <c r="CP14" s="1118"/>
      <c r="CQ14" s="39">
        <f t="shared" si="0"/>
        <v>56230056</v>
      </c>
    </row>
    <row r="15" spans="2:96" ht="18">
      <c r="B15" s="1117">
        <v>2020</v>
      </c>
      <c r="C15" s="39">
        <v>599361</v>
      </c>
      <c r="D15" s="39">
        <v>615483</v>
      </c>
      <c r="E15" s="39">
        <v>626334</v>
      </c>
      <c r="F15" s="39">
        <v>641058</v>
      </c>
      <c r="G15" s="39">
        <v>658912</v>
      </c>
      <c r="H15" s="39">
        <v>653482</v>
      </c>
      <c r="I15" s="39">
        <v>658165</v>
      </c>
      <c r="J15" s="39">
        <v>675453</v>
      </c>
      <c r="K15" s="39">
        <v>694611</v>
      </c>
      <c r="L15" s="39">
        <v>695154</v>
      </c>
      <c r="M15" s="39">
        <v>686415</v>
      </c>
      <c r="N15" s="39">
        <v>681026</v>
      </c>
      <c r="O15" s="39">
        <v>687111</v>
      </c>
      <c r="P15" s="39">
        <v>660643</v>
      </c>
      <c r="Q15" s="39">
        <v>647022</v>
      </c>
      <c r="R15" s="39">
        <v>644101</v>
      </c>
      <c r="S15" s="39">
        <v>639410</v>
      </c>
      <c r="T15" s="39">
        <v>624053</v>
      </c>
      <c r="U15" s="39">
        <v>621302</v>
      </c>
      <c r="V15" s="39">
        <v>640816</v>
      </c>
      <c r="W15" s="39">
        <v>655825</v>
      </c>
      <c r="X15" s="39">
        <v>677564</v>
      </c>
      <c r="Y15" s="39">
        <v>687425</v>
      </c>
      <c r="Z15" s="39">
        <v>715457</v>
      </c>
      <c r="AA15" s="39">
        <v>702035</v>
      </c>
      <c r="AB15" s="39">
        <v>712061</v>
      </c>
      <c r="AC15" s="39">
        <v>735763</v>
      </c>
      <c r="AD15" s="39">
        <v>741108</v>
      </c>
      <c r="AE15" s="39">
        <v>768194</v>
      </c>
      <c r="AF15" s="39">
        <v>783701</v>
      </c>
      <c r="AG15" s="39">
        <v>784411</v>
      </c>
      <c r="AH15" s="39">
        <v>782947</v>
      </c>
      <c r="AI15" s="39">
        <v>793892</v>
      </c>
      <c r="AJ15" s="39">
        <v>777527</v>
      </c>
      <c r="AK15" s="39">
        <v>775844</v>
      </c>
      <c r="AL15" s="39">
        <v>775163</v>
      </c>
      <c r="AM15" s="39">
        <v>752506</v>
      </c>
      <c r="AN15" s="39">
        <v>754278</v>
      </c>
      <c r="AO15" s="39">
        <v>751294</v>
      </c>
      <c r="AP15" s="39">
        <v>759541</v>
      </c>
      <c r="AQ15" s="39">
        <v>762524</v>
      </c>
      <c r="AR15" s="39">
        <v>731474</v>
      </c>
      <c r="AS15" s="39">
        <v>681285</v>
      </c>
      <c r="AT15" s="39">
        <v>668620</v>
      </c>
      <c r="AU15" s="39">
        <v>682396</v>
      </c>
      <c r="AV15" s="39">
        <v>696281</v>
      </c>
      <c r="AW15" s="39">
        <v>704744</v>
      </c>
      <c r="AX15" s="39">
        <v>732353</v>
      </c>
      <c r="AY15" s="39">
        <v>760220</v>
      </c>
      <c r="AZ15" s="39">
        <v>787870</v>
      </c>
      <c r="BA15" s="39">
        <v>768001</v>
      </c>
      <c r="BB15" s="39">
        <v>784797</v>
      </c>
      <c r="BC15" s="39">
        <v>782444</v>
      </c>
      <c r="BD15" s="39">
        <v>787541</v>
      </c>
      <c r="BE15" s="39">
        <v>783849</v>
      </c>
      <c r="BF15" s="39">
        <v>785180</v>
      </c>
      <c r="BG15" s="39">
        <v>773921</v>
      </c>
      <c r="BH15" s="39">
        <v>754922</v>
      </c>
      <c r="BI15" s="39">
        <v>736775</v>
      </c>
      <c r="BJ15" s="39">
        <v>708855</v>
      </c>
      <c r="BK15" s="39">
        <v>678742</v>
      </c>
      <c r="BL15" s="39">
        <v>660240</v>
      </c>
      <c r="BM15" s="39">
        <v>641166</v>
      </c>
      <c r="BN15" s="39">
        <v>613876</v>
      </c>
      <c r="BO15" s="39">
        <v>589227</v>
      </c>
      <c r="BP15" s="39">
        <v>565177</v>
      </c>
      <c r="BQ15" s="39">
        <v>564624</v>
      </c>
      <c r="BR15" s="39">
        <v>553241</v>
      </c>
      <c r="BS15" s="39">
        <v>535788</v>
      </c>
      <c r="BT15" s="39">
        <v>536656</v>
      </c>
      <c r="BU15" s="39">
        <v>542931</v>
      </c>
      <c r="BV15" s="39">
        <v>553289</v>
      </c>
      <c r="BW15" s="39">
        <v>581594</v>
      </c>
      <c r="BX15" s="39">
        <v>627239</v>
      </c>
      <c r="BY15" s="39">
        <v>476147</v>
      </c>
      <c r="BZ15" s="39">
        <v>456825</v>
      </c>
      <c r="CA15" s="39">
        <v>449347</v>
      </c>
      <c r="CB15" s="39">
        <v>409819</v>
      </c>
      <c r="CC15" s="39">
        <v>359726</v>
      </c>
      <c r="CD15" s="39">
        <v>315398</v>
      </c>
      <c r="CE15" s="39">
        <v>320814</v>
      </c>
      <c r="CF15" s="39">
        <v>309975</v>
      </c>
      <c r="CG15" s="39">
        <v>292133</v>
      </c>
      <c r="CH15" s="39">
        <v>267663</v>
      </c>
      <c r="CI15" s="39">
        <v>242908</v>
      </c>
      <c r="CJ15" s="39">
        <v>219392</v>
      </c>
      <c r="CK15" s="39">
        <v>192098</v>
      </c>
      <c r="CL15" s="39">
        <v>171406</v>
      </c>
      <c r="CM15" s="39">
        <v>154331</v>
      </c>
      <c r="CN15" s="39">
        <v>132148</v>
      </c>
      <c r="CO15" s="39">
        <v>501541</v>
      </c>
      <c r="CP15" s="1118"/>
      <c r="CQ15" s="39">
        <f t="shared" si="0"/>
        <v>56325961</v>
      </c>
    </row>
    <row r="16" spans="2:96" ht="18">
      <c r="B16" s="1117">
        <v>2021</v>
      </c>
      <c r="C16" s="39">
        <v>579361</v>
      </c>
      <c r="D16" s="39">
        <v>602297</v>
      </c>
      <c r="E16" s="39">
        <v>614335</v>
      </c>
      <c r="F16" s="39">
        <v>623636</v>
      </c>
      <c r="G16" s="39">
        <v>639467</v>
      </c>
      <c r="H16" s="39">
        <v>658172</v>
      </c>
      <c r="I16" s="39">
        <v>652798</v>
      </c>
      <c r="J16" s="39">
        <v>657805</v>
      </c>
      <c r="K16" s="39">
        <v>675357</v>
      </c>
      <c r="L16" s="39">
        <v>694630</v>
      </c>
      <c r="M16" s="39">
        <v>696456</v>
      </c>
      <c r="N16" s="39">
        <v>688077</v>
      </c>
      <c r="O16" s="39">
        <v>683111</v>
      </c>
      <c r="P16" s="39">
        <v>689375</v>
      </c>
      <c r="Q16" s="39">
        <v>663239</v>
      </c>
      <c r="R16" s="39">
        <v>649700</v>
      </c>
      <c r="S16" s="39">
        <v>648632</v>
      </c>
      <c r="T16" s="39">
        <v>646430</v>
      </c>
      <c r="U16" s="39">
        <v>639104</v>
      </c>
      <c r="V16" s="39">
        <v>645003</v>
      </c>
      <c r="W16" s="39">
        <v>652959</v>
      </c>
      <c r="X16" s="39">
        <v>663159</v>
      </c>
      <c r="Y16" s="39">
        <v>685757</v>
      </c>
      <c r="Z16" s="39">
        <v>695728</v>
      </c>
      <c r="AA16" s="39">
        <v>712354</v>
      </c>
      <c r="AB16" s="39">
        <v>704555</v>
      </c>
      <c r="AC16" s="39">
        <v>720369</v>
      </c>
      <c r="AD16" s="39">
        <v>744613</v>
      </c>
      <c r="AE16" s="39">
        <v>750212</v>
      </c>
      <c r="AF16" s="39">
        <v>776508</v>
      </c>
      <c r="AG16" s="39">
        <v>790324</v>
      </c>
      <c r="AH16" s="39">
        <v>792211</v>
      </c>
      <c r="AI16" s="39">
        <v>788720</v>
      </c>
      <c r="AJ16" s="39">
        <v>799406</v>
      </c>
      <c r="AK16" s="39">
        <v>782015</v>
      </c>
      <c r="AL16" s="39">
        <v>776719</v>
      </c>
      <c r="AM16" s="39">
        <v>774720</v>
      </c>
      <c r="AN16" s="39">
        <v>751084</v>
      </c>
      <c r="AO16" s="39">
        <v>751788</v>
      </c>
      <c r="AP16" s="39">
        <v>748909</v>
      </c>
      <c r="AQ16" s="39">
        <v>757603</v>
      </c>
      <c r="AR16" s="39">
        <v>760904</v>
      </c>
      <c r="AS16" s="39">
        <v>729873</v>
      </c>
      <c r="AT16" s="39">
        <v>679652</v>
      </c>
      <c r="AU16" s="39">
        <v>667350</v>
      </c>
      <c r="AV16" s="39">
        <v>681500</v>
      </c>
      <c r="AW16" s="39">
        <v>695845</v>
      </c>
      <c r="AX16" s="39">
        <v>704312</v>
      </c>
      <c r="AY16" s="39">
        <v>731700</v>
      </c>
      <c r="AZ16" s="39">
        <v>759274</v>
      </c>
      <c r="BA16" s="39">
        <v>787114</v>
      </c>
      <c r="BB16" s="39">
        <v>767277</v>
      </c>
      <c r="BC16" s="39">
        <v>783937</v>
      </c>
      <c r="BD16" s="39">
        <v>781442</v>
      </c>
      <c r="BE16" s="39">
        <v>785888</v>
      </c>
      <c r="BF16" s="39">
        <v>781823</v>
      </c>
      <c r="BG16" s="39">
        <v>782808</v>
      </c>
      <c r="BH16" s="39">
        <v>771123</v>
      </c>
      <c r="BI16" s="39">
        <v>752103</v>
      </c>
      <c r="BJ16" s="39">
        <v>733298</v>
      </c>
      <c r="BK16" s="39">
        <v>705211</v>
      </c>
      <c r="BL16" s="39">
        <v>675196</v>
      </c>
      <c r="BM16" s="39">
        <v>656067</v>
      </c>
      <c r="BN16" s="39">
        <v>636469</v>
      </c>
      <c r="BO16" s="39">
        <v>608983</v>
      </c>
      <c r="BP16" s="39">
        <v>584032</v>
      </c>
      <c r="BQ16" s="39">
        <v>559669</v>
      </c>
      <c r="BR16" s="39">
        <v>558583</v>
      </c>
      <c r="BS16" s="39">
        <v>546398</v>
      </c>
      <c r="BT16" s="39">
        <v>528560</v>
      </c>
      <c r="BU16" s="39">
        <v>528885</v>
      </c>
      <c r="BV16" s="39">
        <v>533928</v>
      </c>
      <c r="BW16" s="39">
        <v>543463</v>
      </c>
      <c r="BX16" s="39">
        <v>570334</v>
      </c>
      <c r="BY16" s="39">
        <v>613761</v>
      </c>
      <c r="BZ16" s="39">
        <v>464320</v>
      </c>
      <c r="CA16" s="39">
        <v>444154</v>
      </c>
      <c r="CB16" s="39">
        <v>435420</v>
      </c>
      <c r="CC16" s="39">
        <v>395434</v>
      </c>
      <c r="CD16" s="39">
        <v>345645</v>
      </c>
      <c r="CE16" s="39">
        <v>301313</v>
      </c>
      <c r="CF16" s="39">
        <v>305178</v>
      </c>
      <c r="CG16" s="39">
        <v>293030</v>
      </c>
      <c r="CH16" s="39">
        <v>274127</v>
      </c>
      <c r="CI16" s="39">
        <v>249035</v>
      </c>
      <c r="CJ16" s="39">
        <v>223864</v>
      </c>
      <c r="CK16" s="39">
        <v>200094</v>
      </c>
      <c r="CL16" s="39">
        <v>173198</v>
      </c>
      <c r="CM16" s="39">
        <v>152109</v>
      </c>
      <c r="CN16" s="39">
        <v>135074</v>
      </c>
      <c r="CO16" s="39">
        <v>509436</v>
      </c>
      <c r="CP16" s="1118"/>
      <c r="CQ16" s="39">
        <f t="shared" si="0"/>
        <v>56554891</v>
      </c>
    </row>
    <row r="17" spans="1:95" ht="18">
      <c r="B17" s="1117">
        <v>2022</v>
      </c>
      <c r="C17" s="39">
        <v>596306</v>
      </c>
      <c r="D17" s="39">
        <v>592565</v>
      </c>
      <c r="E17" s="39">
        <v>615537</v>
      </c>
      <c r="F17" s="39">
        <v>627205</v>
      </c>
      <c r="G17" s="39">
        <v>635769</v>
      </c>
      <c r="H17" s="39">
        <v>651286</v>
      </c>
      <c r="I17" s="39">
        <v>670086</v>
      </c>
      <c r="J17" s="39">
        <v>664362</v>
      </c>
      <c r="K17" s="39">
        <v>668746</v>
      </c>
      <c r="L17" s="39">
        <v>686025</v>
      </c>
      <c r="M17" s="39">
        <v>704880</v>
      </c>
      <c r="N17" s="39">
        <v>705655</v>
      </c>
      <c r="O17" s="39">
        <v>696726</v>
      </c>
      <c r="P17" s="39">
        <v>691424</v>
      </c>
      <c r="Q17" s="39">
        <v>697673</v>
      </c>
      <c r="R17" s="39">
        <v>671075</v>
      </c>
      <c r="S17" s="39">
        <v>655635</v>
      </c>
      <c r="T17" s="39">
        <v>655951</v>
      </c>
      <c r="U17" s="39">
        <v>657439</v>
      </c>
      <c r="V17" s="39">
        <v>658559</v>
      </c>
      <c r="W17" s="39">
        <v>663473</v>
      </c>
      <c r="X17" s="39">
        <v>665659</v>
      </c>
      <c r="Y17" s="39">
        <v>678952</v>
      </c>
      <c r="Z17" s="39">
        <v>708956</v>
      </c>
      <c r="AA17" s="39">
        <v>718885</v>
      </c>
      <c r="AB17" s="39">
        <v>733638</v>
      </c>
      <c r="AC17" s="39">
        <v>724312</v>
      </c>
      <c r="AD17" s="39">
        <v>738108</v>
      </c>
      <c r="AE17" s="39">
        <v>760175</v>
      </c>
      <c r="AF17" s="39">
        <v>763478</v>
      </c>
      <c r="AG17" s="39">
        <v>788041</v>
      </c>
      <c r="AH17" s="39">
        <v>800484</v>
      </c>
      <c r="AI17" s="39">
        <v>800816</v>
      </c>
      <c r="AJ17" s="39">
        <v>796070</v>
      </c>
      <c r="AK17" s="39">
        <v>805888</v>
      </c>
      <c r="AL17" s="39">
        <v>788032</v>
      </c>
      <c r="AM17" s="39">
        <v>782199</v>
      </c>
      <c r="AN17" s="39">
        <v>779114</v>
      </c>
      <c r="AO17" s="39">
        <v>754938</v>
      </c>
      <c r="AP17" s="39">
        <v>755629</v>
      </c>
      <c r="AQ17" s="39">
        <v>751852</v>
      </c>
      <c r="AR17" s="39">
        <v>759832</v>
      </c>
      <c r="AS17" s="39">
        <v>762758</v>
      </c>
      <c r="AT17" s="39">
        <v>731096</v>
      </c>
      <c r="AU17" s="39">
        <v>680454</v>
      </c>
      <c r="AV17" s="39">
        <v>667751</v>
      </c>
      <c r="AW17" s="39">
        <v>681617</v>
      </c>
      <c r="AX17" s="39">
        <v>695601</v>
      </c>
      <c r="AY17" s="39">
        <v>703591</v>
      </c>
      <c r="AZ17" s="39">
        <v>730686</v>
      </c>
      <c r="BA17" s="39">
        <v>757604</v>
      </c>
      <c r="BB17" s="39">
        <v>785019</v>
      </c>
      <c r="BC17" s="39">
        <v>764838</v>
      </c>
      <c r="BD17" s="39">
        <v>781127</v>
      </c>
      <c r="BE17" s="39">
        <v>778113</v>
      </c>
      <c r="BF17" s="39">
        <v>782305</v>
      </c>
      <c r="BG17" s="39">
        <v>778320</v>
      </c>
      <c r="BH17" s="39">
        <v>778706</v>
      </c>
      <c r="BI17" s="39">
        <v>766703</v>
      </c>
      <c r="BJ17" s="39">
        <v>747731</v>
      </c>
      <c r="BK17" s="39">
        <v>728815</v>
      </c>
      <c r="BL17" s="39">
        <v>700335</v>
      </c>
      <c r="BM17" s="39">
        <v>670265</v>
      </c>
      <c r="BN17" s="39">
        <v>650773</v>
      </c>
      <c r="BO17" s="39">
        <v>630888</v>
      </c>
      <c r="BP17" s="39">
        <v>603109</v>
      </c>
      <c r="BQ17" s="39">
        <v>578012</v>
      </c>
      <c r="BR17" s="39">
        <v>553467</v>
      </c>
      <c r="BS17" s="39">
        <v>551880</v>
      </c>
      <c r="BT17" s="39">
        <v>539339</v>
      </c>
      <c r="BU17" s="39">
        <v>520910</v>
      </c>
      <c r="BV17" s="39">
        <v>520567</v>
      </c>
      <c r="BW17" s="39">
        <v>524680</v>
      </c>
      <c r="BX17" s="39">
        <v>533111</v>
      </c>
      <c r="BY17" s="39">
        <v>558468</v>
      </c>
      <c r="BZ17" s="39">
        <v>599470</v>
      </c>
      <c r="CA17" s="39">
        <v>451879</v>
      </c>
      <c r="CB17" s="39">
        <v>430771</v>
      </c>
      <c r="CC17" s="39">
        <v>421021</v>
      </c>
      <c r="CD17" s="39">
        <v>380639</v>
      </c>
      <c r="CE17" s="39">
        <v>330970</v>
      </c>
      <c r="CF17" s="39">
        <v>286768</v>
      </c>
      <c r="CG17" s="39">
        <v>288665</v>
      </c>
      <c r="CH17" s="39">
        <v>275638</v>
      </c>
      <c r="CI17" s="39">
        <v>255632</v>
      </c>
      <c r="CJ17" s="39">
        <v>230387</v>
      </c>
      <c r="CK17" s="39">
        <v>204960</v>
      </c>
      <c r="CL17" s="39">
        <v>181186</v>
      </c>
      <c r="CM17" s="39">
        <v>154369</v>
      </c>
      <c r="CN17" s="39">
        <v>133640</v>
      </c>
      <c r="CO17" s="39">
        <v>520329</v>
      </c>
      <c r="CP17" s="1118"/>
      <c r="CQ17" s="39">
        <f t="shared" si="0"/>
        <v>57106398</v>
      </c>
    </row>
    <row r="18" spans="1:95" ht="18">
      <c r="B18" s="1117">
        <v>2023</v>
      </c>
      <c r="C18" s="39">
        <v>571750</v>
      </c>
      <c r="D18" s="39">
        <v>600004</v>
      </c>
      <c r="E18" s="39">
        <v>592954</v>
      </c>
      <c r="F18" s="39">
        <v>615664</v>
      </c>
      <c r="G18" s="39">
        <v>625126</v>
      </c>
      <c r="H18" s="39">
        <v>633448</v>
      </c>
      <c r="I18" s="39">
        <v>648878</v>
      </c>
      <c r="J18" s="39">
        <v>667363</v>
      </c>
      <c r="K18" s="39">
        <v>661731</v>
      </c>
      <c r="L18" s="39">
        <v>666290</v>
      </c>
      <c r="M18" s="39">
        <v>683543</v>
      </c>
      <c r="N18" s="39">
        <v>702721</v>
      </c>
      <c r="O18" s="39">
        <v>704311</v>
      </c>
      <c r="P18" s="39">
        <v>695828</v>
      </c>
      <c r="Q18" s="39">
        <v>691564</v>
      </c>
      <c r="R18" s="39">
        <v>699218</v>
      </c>
      <c r="S18" s="39">
        <v>674358</v>
      </c>
      <c r="T18" s="39">
        <v>662880</v>
      </c>
      <c r="U18" s="39">
        <v>669215</v>
      </c>
      <c r="V18" s="39">
        <v>683963</v>
      </c>
      <c r="W18" s="39">
        <v>690690</v>
      </c>
      <c r="X18" s="39">
        <v>694442</v>
      </c>
      <c r="Y18" s="39">
        <v>697392</v>
      </c>
      <c r="Z18" s="39">
        <v>712754</v>
      </c>
      <c r="AA18" s="39">
        <v>734311</v>
      </c>
      <c r="AB18" s="39">
        <v>731926</v>
      </c>
      <c r="AC18" s="39">
        <v>745894</v>
      </c>
      <c r="AD18" s="39">
        <v>743978</v>
      </c>
      <c r="AE18" s="39">
        <v>762350</v>
      </c>
      <c r="AF18" s="39">
        <v>786182</v>
      </c>
      <c r="AG18" s="39">
        <v>789827</v>
      </c>
      <c r="AH18" s="39">
        <v>813692</v>
      </c>
      <c r="AI18" s="39">
        <v>824282</v>
      </c>
      <c r="AJ18" s="39">
        <v>821872</v>
      </c>
      <c r="AK18" s="39">
        <v>815052</v>
      </c>
      <c r="AL18" s="39">
        <v>823324</v>
      </c>
      <c r="AM18" s="39">
        <v>803085</v>
      </c>
      <c r="AN18" s="39">
        <v>794910</v>
      </c>
      <c r="AO18" s="39">
        <v>790346</v>
      </c>
      <c r="AP18" s="39">
        <v>764560</v>
      </c>
      <c r="AQ18" s="39">
        <v>763434</v>
      </c>
      <c r="AR18" s="39">
        <v>758818</v>
      </c>
      <c r="AS18" s="39">
        <v>765891</v>
      </c>
      <c r="AT18" s="39">
        <v>767878</v>
      </c>
      <c r="AU18" s="39">
        <v>735839</v>
      </c>
      <c r="AV18" s="39">
        <v>684678</v>
      </c>
      <c r="AW18" s="39">
        <v>671396</v>
      </c>
      <c r="AX18" s="39">
        <v>684706</v>
      </c>
      <c r="AY18" s="39">
        <v>698254</v>
      </c>
      <c r="AZ18" s="39">
        <v>705894</v>
      </c>
      <c r="BA18" s="39">
        <v>732398</v>
      </c>
      <c r="BB18" s="39">
        <v>759035</v>
      </c>
      <c r="BC18" s="39">
        <v>785858</v>
      </c>
      <c r="BD18" s="39">
        <v>765295</v>
      </c>
      <c r="BE18" s="39">
        <v>780991</v>
      </c>
      <c r="BF18" s="39">
        <v>777635</v>
      </c>
      <c r="BG18" s="39">
        <v>781250</v>
      </c>
      <c r="BH18" s="39">
        <v>776455</v>
      </c>
      <c r="BI18" s="39">
        <v>776651</v>
      </c>
      <c r="BJ18" s="39">
        <v>764310</v>
      </c>
      <c r="BK18" s="39">
        <v>744619</v>
      </c>
      <c r="BL18" s="39">
        <v>725098</v>
      </c>
      <c r="BM18" s="39">
        <v>696451</v>
      </c>
      <c r="BN18" s="39">
        <v>665932</v>
      </c>
      <c r="BO18" s="39">
        <v>646147</v>
      </c>
      <c r="BP18" s="39">
        <v>625849</v>
      </c>
      <c r="BQ18" s="39">
        <v>597800</v>
      </c>
      <c r="BR18" s="39">
        <v>572316</v>
      </c>
      <c r="BS18" s="39">
        <v>547434</v>
      </c>
      <c r="BT18" s="39">
        <v>545152</v>
      </c>
      <c r="BU18" s="39">
        <v>531908</v>
      </c>
      <c r="BV18" s="39">
        <v>513101</v>
      </c>
      <c r="BW18" s="39">
        <v>511728</v>
      </c>
      <c r="BX18" s="39">
        <v>514678</v>
      </c>
      <c r="BY18" s="39">
        <v>521573</v>
      </c>
      <c r="BZ18" s="39">
        <v>544650</v>
      </c>
      <c r="CA18" s="39">
        <v>582776</v>
      </c>
      <c r="CB18" s="39">
        <v>438238</v>
      </c>
      <c r="CC18" s="39">
        <v>416226</v>
      </c>
      <c r="CD18" s="39">
        <v>404724</v>
      </c>
      <c r="CE18" s="39">
        <v>364249</v>
      </c>
      <c r="CF18" s="39">
        <v>315109</v>
      </c>
      <c r="CG18" s="39">
        <v>271470</v>
      </c>
      <c r="CH18" s="39">
        <v>271156</v>
      </c>
      <c r="CI18" s="39">
        <v>256209</v>
      </c>
      <c r="CJ18" s="39">
        <v>235279</v>
      </c>
      <c r="CK18" s="39">
        <v>209312</v>
      </c>
      <c r="CL18" s="39">
        <v>183821</v>
      </c>
      <c r="CM18" s="39">
        <v>160046</v>
      </c>
      <c r="CN18" s="39">
        <v>134603</v>
      </c>
      <c r="CO18" s="39">
        <v>523581</v>
      </c>
      <c r="CP18" s="1118"/>
      <c r="CQ18" s="39">
        <f t="shared" si="0"/>
        <v>57699579</v>
      </c>
    </row>
    <row r="19" spans="1:95" ht="18">
      <c r="A19" s="1118"/>
      <c r="B19" s="1117">
        <v>2024</v>
      </c>
      <c r="C19" s="39">
        <v>617177</v>
      </c>
      <c r="D19" s="39">
        <v>577378</v>
      </c>
      <c r="E19" s="39">
        <v>607387</v>
      </c>
      <c r="F19" s="39">
        <v>598428</v>
      </c>
      <c r="G19" s="39">
        <v>620388</v>
      </c>
      <c r="H19" s="39">
        <v>629596</v>
      </c>
      <c r="I19" s="39">
        <v>637790</v>
      </c>
      <c r="J19" s="39">
        <v>653157</v>
      </c>
      <c r="K19" s="39">
        <v>671489</v>
      </c>
      <c r="L19" s="39">
        <v>665616</v>
      </c>
      <c r="M19" s="39">
        <v>670158</v>
      </c>
      <c r="N19" s="39">
        <v>687373</v>
      </c>
      <c r="O19" s="39">
        <v>706378</v>
      </c>
      <c r="P19" s="39">
        <v>708045</v>
      </c>
      <c r="Q19" s="39">
        <v>700198</v>
      </c>
      <c r="R19" s="39">
        <v>696695</v>
      </c>
      <c r="S19" s="39">
        <v>704872</v>
      </c>
      <c r="T19" s="39">
        <v>681483</v>
      </c>
      <c r="U19" s="39">
        <v>675589</v>
      </c>
      <c r="V19" s="39">
        <v>692660</v>
      </c>
      <c r="W19" s="39">
        <v>710725</v>
      </c>
      <c r="X19" s="39">
        <v>712145</v>
      </c>
      <c r="Y19" s="39">
        <v>715582</v>
      </c>
      <c r="Z19" s="39">
        <v>723100</v>
      </c>
      <c r="AA19" s="39">
        <v>732544</v>
      </c>
      <c r="AB19" s="39">
        <v>747549</v>
      </c>
      <c r="AC19" s="39">
        <v>749103</v>
      </c>
      <c r="AD19" s="39">
        <v>765558</v>
      </c>
      <c r="AE19" s="39">
        <v>764072</v>
      </c>
      <c r="AF19" s="39">
        <v>781812</v>
      </c>
      <c r="AG19" s="39">
        <v>804472</v>
      </c>
      <c r="AH19" s="39">
        <v>807003</v>
      </c>
      <c r="AI19" s="39">
        <v>828888</v>
      </c>
      <c r="AJ19" s="39">
        <v>837269</v>
      </c>
      <c r="AK19" s="39">
        <v>833828</v>
      </c>
      <c r="AL19" s="39">
        <v>825780</v>
      </c>
      <c r="AM19" s="39">
        <v>832527</v>
      </c>
      <c r="AN19" s="39">
        <v>811038</v>
      </c>
      <c r="AO19" s="39">
        <v>801664</v>
      </c>
      <c r="AP19" s="39">
        <v>796196</v>
      </c>
      <c r="AQ19" s="39">
        <v>769622</v>
      </c>
      <c r="AR19" s="39">
        <v>767669</v>
      </c>
      <c r="AS19" s="39">
        <v>762358</v>
      </c>
      <c r="AT19" s="39">
        <v>768860</v>
      </c>
      <c r="AU19" s="39">
        <v>770337</v>
      </c>
      <c r="AV19" s="39">
        <v>737808</v>
      </c>
      <c r="AW19" s="39">
        <v>686326</v>
      </c>
      <c r="AX19" s="39">
        <v>672756</v>
      </c>
      <c r="AY19" s="39">
        <v>685670</v>
      </c>
      <c r="AZ19" s="39">
        <v>698832</v>
      </c>
      <c r="BA19" s="39">
        <v>706125</v>
      </c>
      <c r="BB19" s="39">
        <v>732162</v>
      </c>
      <c r="BC19" s="39">
        <v>758290</v>
      </c>
      <c r="BD19" s="39">
        <v>784656</v>
      </c>
      <c r="BE19" s="39">
        <v>763736</v>
      </c>
      <c r="BF19" s="39">
        <v>778963</v>
      </c>
      <c r="BG19" s="39">
        <v>775287</v>
      </c>
      <c r="BH19" s="39">
        <v>778512</v>
      </c>
      <c r="BI19" s="39">
        <v>773386</v>
      </c>
      <c r="BJ19" s="39">
        <v>773200</v>
      </c>
      <c r="BK19" s="39">
        <v>760472</v>
      </c>
      <c r="BL19" s="39">
        <v>740436</v>
      </c>
      <c r="BM19" s="39">
        <v>720590</v>
      </c>
      <c r="BN19" s="39">
        <v>691672</v>
      </c>
      <c r="BO19" s="39">
        <v>660912</v>
      </c>
      <c r="BP19" s="39">
        <v>640762</v>
      </c>
      <c r="BQ19" s="39">
        <v>620117</v>
      </c>
      <c r="BR19" s="39">
        <v>591855</v>
      </c>
      <c r="BS19" s="39">
        <v>566090</v>
      </c>
      <c r="BT19" s="39">
        <v>540888</v>
      </c>
      <c r="BU19" s="39">
        <v>537948</v>
      </c>
      <c r="BV19" s="39">
        <v>524125</v>
      </c>
      <c r="BW19" s="39">
        <v>504793</v>
      </c>
      <c r="BX19" s="39">
        <v>502489</v>
      </c>
      <c r="BY19" s="39">
        <v>504301</v>
      </c>
      <c r="BZ19" s="39">
        <v>509821</v>
      </c>
      <c r="CA19" s="39">
        <v>530891</v>
      </c>
      <c r="CB19" s="39">
        <v>566256</v>
      </c>
      <c r="CC19" s="39">
        <v>424361</v>
      </c>
      <c r="CD19" s="39">
        <v>401410</v>
      </c>
      <c r="CE19" s="39">
        <v>388512</v>
      </c>
      <c r="CF19" s="39">
        <v>347816</v>
      </c>
      <c r="CG19" s="39">
        <v>299088</v>
      </c>
      <c r="CH19" s="39">
        <v>255866</v>
      </c>
      <c r="CI19" s="39">
        <v>253480</v>
      </c>
      <c r="CJ19" s="39">
        <v>237267</v>
      </c>
      <c r="CK19" s="39">
        <v>215603</v>
      </c>
      <c r="CL19" s="39">
        <v>189592</v>
      </c>
      <c r="CM19" s="39">
        <v>164348</v>
      </c>
      <c r="CN19" s="39">
        <v>141062</v>
      </c>
      <c r="CO19" s="39">
        <v>534966</v>
      </c>
      <c r="CP19" s="1118"/>
      <c r="CQ19" s="39">
        <f t="shared" si="0"/>
        <v>58295056</v>
      </c>
    </row>
    <row r="20" spans="1:95" ht="18">
      <c r="B20" s="1117">
        <v>2025</v>
      </c>
      <c r="C20" s="39">
        <v>625166</v>
      </c>
      <c r="D20" s="39">
        <v>622218</v>
      </c>
      <c r="E20" s="39">
        <v>584049</v>
      </c>
      <c r="F20" s="39">
        <v>612182</v>
      </c>
      <c r="G20" s="39">
        <v>602501</v>
      </c>
      <c r="H20" s="39">
        <v>624230</v>
      </c>
      <c r="I20" s="39">
        <v>633335</v>
      </c>
      <c r="J20" s="39">
        <v>641496</v>
      </c>
      <c r="K20" s="39">
        <v>656752</v>
      </c>
      <c r="L20" s="39">
        <v>674878</v>
      </c>
      <c r="M20" s="39">
        <v>669022</v>
      </c>
      <c r="N20" s="39">
        <v>673552</v>
      </c>
      <c r="O20" s="39">
        <v>690616</v>
      </c>
      <c r="P20" s="39">
        <v>709709</v>
      </c>
      <c r="Q20" s="39">
        <v>711999</v>
      </c>
      <c r="R20" s="39">
        <v>704892</v>
      </c>
      <c r="S20" s="39">
        <v>701896</v>
      </c>
      <c r="T20" s="39">
        <v>711444</v>
      </c>
      <c r="U20" s="39">
        <v>693249</v>
      </c>
      <c r="V20" s="39">
        <v>697292</v>
      </c>
      <c r="W20" s="39">
        <v>717312</v>
      </c>
      <c r="X20" s="39">
        <v>730203</v>
      </c>
      <c r="Y20" s="39">
        <v>731045</v>
      </c>
      <c r="Z20" s="39">
        <v>738330</v>
      </c>
      <c r="AA20" s="39">
        <v>739677</v>
      </c>
      <c r="AB20" s="39">
        <v>742934</v>
      </c>
      <c r="AC20" s="39">
        <v>762135</v>
      </c>
      <c r="AD20" s="39">
        <v>766333</v>
      </c>
      <c r="AE20" s="39">
        <v>783327</v>
      </c>
      <c r="AF20" s="39">
        <v>781327</v>
      </c>
      <c r="AG20" s="39">
        <v>798032</v>
      </c>
      <c r="AH20" s="39">
        <v>819704</v>
      </c>
      <c r="AI20" s="39">
        <v>820417</v>
      </c>
      <c r="AJ20" s="39">
        <v>840246</v>
      </c>
      <c r="AK20" s="39">
        <v>847710</v>
      </c>
      <c r="AL20" s="39">
        <v>843186</v>
      </c>
      <c r="AM20" s="39">
        <v>833764</v>
      </c>
      <c r="AN20" s="39">
        <v>839353</v>
      </c>
      <c r="AO20" s="39">
        <v>816798</v>
      </c>
      <c r="AP20" s="39">
        <v>806612</v>
      </c>
      <c r="AQ20" s="39">
        <v>800428</v>
      </c>
      <c r="AR20" s="39">
        <v>773151</v>
      </c>
      <c r="AS20" s="39">
        <v>770567</v>
      </c>
      <c r="AT20" s="39">
        <v>764757</v>
      </c>
      <c r="AU20" s="39">
        <v>770790</v>
      </c>
      <c r="AV20" s="39">
        <v>771766</v>
      </c>
      <c r="AW20" s="39">
        <v>738924</v>
      </c>
      <c r="AX20" s="39">
        <v>687270</v>
      </c>
      <c r="AY20" s="39">
        <v>673397</v>
      </c>
      <c r="AZ20" s="39">
        <v>685958</v>
      </c>
      <c r="BA20" s="39">
        <v>698796</v>
      </c>
      <c r="BB20" s="39">
        <v>705704</v>
      </c>
      <c r="BC20" s="39">
        <v>731264</v>
      </c>
      <c r="BD20" s="39">
        <v>756948</v>
      </c>
      <c r="BE20" s="39">
        <v>782830</v>
      </c>
      <c r="BF20" s="39">
        <v>761587</v>
      </c>
      <c r="BG20" s="39">
        <v>776437</v>
      </c>
      <c r="BH20" s="39">
        <v>772421</v>
      </c>
      <c r="BI20" s="39">
        <v>775294</v>
      </c>
      <c r="BJ20" s="39">
        <v>769824</v>
      </c>
      <c r="BK20" s="39">
        <v>769193</v>
      </c>
      <c r="BL20" s="39">
        <v>756085</v>
      </c>
      <c r="BM20" s="39">
        <v>735724</v>
      </c>
      <c r="BN20" s="39">
        <v>715549</v>
      </c>
      <c r="BO20" s="39">
        <v>686371</v>
      </c>
      <c r="BP20" s="39">
        <v>655343</v>
      </c>
      <c r="BQ20" s="39">
        <v>634852</v>
      </c>
      <c r="BR20" s="39">
        <v>613901</v>
      </c>
      <c r="BS20" s="39">
        <v>585382</v>
      </c>
      <c r="BT20" s="39">
        <v>559288</v>
      </c>
      <c r="BU20" s="39">
        <v>533733</v>
      </c>
      <c r="BV20" s="39">
        <v>530077</v>
      </c>
      <c r="BW20" s="39">
        <v>515630</v>
      </c>
      <c r="BX20" s="39">
        <v>495708</v>
      </c>
      <c r="BY20" s="39">
        <v>492398</v>
      </c>
      <c r="BZ20" s="39">
        <v>493016</v>
      </c>
      <c r="CA20" s="39">
        <v>497046</v>
      </c>
      <c r="CB20" s="39">
        <v>516003</v>
      </c>
      <c r="CC20" s="39">
        <v>548422</v>
      </c>
      <c r="CD20" s="39">
        <v>409397</v>
      </c>
      <c r="CE20" s="39">
        <v>385487</v>
      </c>
      <c r="CF20" s="39">
        <v>371114</v>
      </c>
      <c r="CG20" s="39">
        <v>330249</v>
      </c>
      <c r="CH20" s="39">
        <v>281998</v>
      </c>
      <c r="CI20" s="39">
        <v>239306</v>
      </c>
      <c r="CJ20" s="39">
        <v>234866</v>
      </c>
      <c r="CK20" s="39">
        <v>217568</v>
      </c>
      <c r="CL20" s="39">
        <v>195434</v>
      </c>
      <c r="CM20" s="39">
        <v>169646</v>
      </c>
      <c r="CN20" s="39">
        <v>145003</v>
      </c>
      <c r="CO20" s="39">
        <v>550090</v>
      </c>
      <c r="CP20" s="1118"/>
      <c r="CQ20" s="39">
        <f>SUM(C20:CO20)</f>
        <v>58830915</v>
      </c>
    </row>
    <row r="21" spans="1:95" ht="18">
      <c r="B21" s="1117"/>
      <c r="C21" s="39">
        <f>C23/D23</f>
        <v>1.0383235148943759</v>
      </c>
      <c r="D21" s="39">
        <f>D23/E23</f>
        <v>1.057114976473996</v>
      </c>
      <c r="E21" s="39">
        <f t="shared" ref="E21:G21" si="1">E23/F23</f>
        <v>1.0788449866626029</v>
      </c>
      <c r="F21" s="39">
        <f t="shared" si="1"/>
        <v>1.1051248416581252</v>
      </c>
      <c r="G21" s="39">
        <f t="shared" si="1"/>
        <v>1.1476337553925737</v>
      </c>
      <c r="CO21" s="1119">
        <f>CO8/CQ8</f>
        <v>8.3274284540242691E-3</v>
      </c>
      <c r="CP21" s="1118"/>
      <c r="CQ21" s="1119">
        <f>CQ20/CQ9-1</f>
        <v>8.2041012119130619E-2</v>
      </c>
    </row>
    <row r="22" spans="1:95" ht="14.5">
      <c r="B22" s="1118"/>
      <c r="C22" s="1118">
        <f>C23/SUM(23:23)</f>
        <v>1.3214264071986405E-2</v>
      </c>
      <c r="D22" s="1118">
        <f t="shared" ref="D22:O22" si="2">D23/SUM(23:23)</f>
        <v>1.2726538388500847E-2</v>
      </c>
      <c r="E22" s="1118">
        <f t="shared" si="2"/>
        <v>1.2038934904649804E-2</v>
      </c>
      <c r="F22" s="1118">
        <f t="shared" si="2"/>
        <v>1.1159096119908883E-2</v>
      </c>
      <c r="G22" s="1118">
        <f t="shared" si="2"/>
        <v>1.0097588706055887E-2</v>
      </c>
      <c r="H22" s="1118">
        <f t="shared" si="2"/>
        <v>8.7986159858131577E-3</v>
      </c>
      <c r="I22" s="1118">
        <f t="shared" si="2"/>
        <v>7.8354499929586471E-3</v>
      </c>
      <c r="J22" s="1118">
        <f t="shared" si="2"/>
        <v>6.9383093791884273E-3</v>
      </c>
      <c r="K22" s="1118">
        <f t="shared" si="2"/>
        <v>6.1185603266897884E-3</v>
      </c>
      <c r="L22" s="1118">
        <f t="shared" si="2"/>
        <v>5.384816151593883E-3</v>
      </c>
      <c r="M22" s="1118">
        <f t="shared" si="2"/>
        <v>4.8117341163583984E-3</v>
      </c>
      <c r="N22" s="1118">
        <f t="shared" si="2"/>
        <v>4.3317909355640692E-3</v>
      </c>
      <c r="O22" s="1118">
        <f t="shared" si="2"/>
        <v>3.9439360441692432E-3</v>
      </c>
      <c r="P22" s="1118">
        <f t="shared" ref="P22" si="3">P23/SUM(23:23)</f>
        <v>3.6448358875960118E-3</v>
      </c>
      <c r="Q22" s="1118">
        <f t="shared" ref="Q22" si="4">Q23/SUM(23:23)</f>
        <v>3.4293290115920533E-3</v>
      </c>
      <c r="R22" s="1118">
        <f t="shared" ref="R22" si="5">R23/SUM(23:23)</f>
        <v>3.316740221112187E-3</v>
      </c>
      <c r="S22" s="1118">
        <f t="shared" ref="S22" si="6">S23/SUM(23:23)</f>
        <v>3.298813851675555E-3</v>
      </c>
      <c r="T22" s="1118">
        <f t="shared" ref="T22" si="7">T23/SUM(23:23)</f>
        <v>3.3401423460799485E-3</v>
      </c>
      <c r="U22" s="1118">
        <f t="shared" ref="U22" si="8">U23/SUM(23:23)</f>
        <v>3.4308353673628972E-3</v>
      </c>
      <c r="V22" s="1118">
        <f t="shared" ref="V22" si="9">V23/SUM(23:23)</f>
        <v>3.5610164390778971E-3</v>
      </c>
      <c r="W22" s="1118">
        <f t="shared" ref="W22" si="10">W23/SUM(23:23)</f>
        <v>3.6950302165099725E-3</v>
      </c>
      <c r="X22" s="1118">
        <f t="shared" ref="X22" si="11">X23/SUM(23:23)</f>
        <v>3.8241125356347854E-3</v>
      </c>
      <c r="Y22" s="1118">
        <f t="shared" ref="Y22" si="12">Y23/SUM(23:23)</f>
        <v>3.9662683728629994E-3</v>
      </c>
      <c r="Z22" s="1118">
        <f t="shared" ref="Z22:AA22" si="13">Z23/SUM(23:23)</f>
        <v>4.1147670726966934E-3</v>
      </c>
      <c r="AA22" s="1118">
        <f t="shared" si="13"/>
        <v>4.2642325081370816E-3</v>
      </c>
      <c r="AB22" s="1118">
        <f t="shared" ref="AB22" si="14">AB23/SUM(23:23)</f>
        <v>4.4238375111200524E-3</v>
      </c>
      <c r="AC22" s="1118">
        <f t="shared" ref="AC22" si="15">AC23/SUM(23:23)</f>
        <v>4.5773820586874538E-3</v>
      </c>
      <c r="AD22" s="1118">
        <f t="shared" ref="AD22" si="16">AD23/SUM(23:23)</f>
        <v>4.723251810380827E-3</v>
      </c>
      <c r="AE22" s="1118">
        <f t="shared" ref="AE22" si="17">AE23/SUM(23:23)</f>
        <v>4.8601407323763442E-3</v>
      </c>
      <c r="AF22" s="1118">
        <f t="shared" ref="AF22" si="18">AF23/SUM(23:23)</f>
        <v>4.9868868258859658E-3</v>
      </c>
      <c r="AG22" s="1118">
        <f t="shared" ref="AG22" si="19">AG23/SUM(23:23)</f>
        <v>5.0890286967451587E-3</v>
      </c>
      <c r="AH22" s="1118">
        <f t="shared" ref="AH22" si="20">AH23/SUM(23:23)</f>
        <v>5.1783692189676361E-3</v>
      </c>
      <c r="AI22" s="1118">
        <f t="shared" ref="AI22" si="21">AI23/SUM(23:23)</f>
        <v>5.2523872444702295E-3</v>
      </c>
      <c r="AJ22" s="1118">
        <f t="shared" ref="AJ22" si="22">AJ23/SUM(23:23)</f>
        <v>5.3082552131419889E-3</v>
      </c>
      <c r="AK22" s="1118">
        <f t="shared" ref="AK22" si="23">AK23/SUM(23:23)</f>
        <v>5.3428930618193851E-3</v>
      </c>
      <c r="AL22" s="1118">
        <f t="shared" ref="AL22:AM22" si="24">AL23/SUM(23:23)</f>
        <v>5.389194656030283E-3</v>
      </c>
      <c r="AM22" s="1118">
        <f t="shared" si="24"/>
        <v>5.4094075702666037E-3</v>
      </c>
      <c r="AN22" s="1118">
        <f t="shared" ref="AN22" si="25">AN23/SUM(23:23)</f>
        <v>5.4023438940562409E-3</v>
      </c>
      <c r="AO22" s="1118">
        <f t="shared" ref="AO22" si="26">AO23/SUM(23:23)</f>
        <v>5.3672478464444652E-3</v>
      </c>
      <c r="AP22" s="1118">
        <f t="shared" ref="AP22" si="27">AP23/SUM(23:23)</f>
        <v>5.3041429027187248E-3</v>
      </c>
      <c r="AQ22" s="1118">
        <f t="shared" ref="AQ22" si="28">AQ23/SUM(23:23)</f>
        <v>5.1779851524981256E-3</v>
      </c>
      <c r="AR22" s="1118">
        <f t="shared" ref="AR22" si="29">AR23/SUM(23:23)</f>
        <v>5.0253850092278575E-3</v>
      </c>
      <c r="AS22" s="1118">
        <f t="shared" ref="AS22" si="30">AS23/SUM(23:23)</f>
        <v>4.8482117842306724E-3</v>
      </c>
      <c r="AT22" s="1118">
        <f t="shared" ref="AT22" si="31">AT23/SUM(23:23)</f>
        <v>4.6496984434453688E-3</v>
      </c>
      <c r="AU22" s="1118">
        <f t="shared" ref="AU22" si="32">AU23/SUM(23:23)</f>
        <v>4.4337906354718036E-3</v>
      </c>
      <c r="AV22" s="1118">
        <f t="shared" ref="AV22" si="33">AV23/SUM(23:23)</f>
        <v>5.084511804131886E-3</v>
      </c>
      <c r="AW22" s="1118">
        <f t="shared" ref="AW22" si="34">AW23/SUM(23:23)</f>
        <v>5.7789673667553963E-3</v>
      </c>
      <c r="AX22" s="1118">
        <f t="shared" ref="AX22:AY22" si="35">AX23/SUM(23:23)</f>
        <v>6.521991110634404E-3</v>
      </c>
      <c r="AY22" s="1118">
        <f t="shared" si="35"/>
        <v>7.3168619588209576E-3</v>
      </c>
      <c r="AZ22" s="1118">
        <f t="shared" ref="AZ22" si="36">AZ23/SUM(23:23)</f>
        <v>8.1654267890773052E-3</v>
      </c>
      <c r="BA22" s="1118">
        <f t="shared" ref="BA22" si="37">BA23/SUM(23:23)</f>
        <v>8.188646812266373E-3</v>
      </c>
      <c r="BB22" s="1118">
        <f t="shared" ref="BB22" si="38">BB23/SUM(23:23)</f>
        <v>8.2140098672968693E-3</v>
      </c>
      <c r="BC22" s="1118">
        <f t="shared" ref="BC22" si="39">BC23/SUM(23:23)</f>
        <v>8.2408094354854567E-3</v>
      </c>
      <c r="BD22" s="1118">
        <f t="shared" ref="BD22" si="40">BD23/SUM(23:23)</f>
        <v>8.2685198634299822E-3</v>
      </c>
      <c r="BE22" s="1118">
        <f t="shared" ref="BE22" si="41">BE23/SUM(23:23)</f>
        <v>8.2967007548626712E-3</v>
      </c>
      <c r="BF22" s="1118">
        <f t="shared" ref="BF22" si="42">BF23/SUM(23:23)</f>
        <v>8.438168733725649E-3</v>
      </c>
      <c r="BG22" s="1118">
        <f t="shared" ref="BG22" si="43">BG23/SUM(23:23)</f>
        <v>8.5798034043242308E-3</v>
      </c>
      <c r="BH22" s="1118">
        <f t="shared" ref="BH22" si="44">BH23/SUM(23:23)</f>
        <v>8.7211545091709711E-3</v>
      </c>
      <c r="BI22" s="1118">
        <f t="shared" ref="BI22" si="45">BI23/SUM(23:23)</f>
        <v>8.8618787389316313E-3</v>
      </c>
      <c r="BJ22" s="1118">
        <f t="shared" ref="BJ22:BK22" si="46">BJ23/SUM(23:23)</f>
        <v>9.0021468668717523E-3</v>
      </c>
      <c r="BK22" s="1118">
        <f t="shared" si="46"/>
        <v>9.0293003550414273E-3</v>
      </c>
      <c r="BL22" s="1118">
        <f t="shared" ref="BL22" si="47">BL23/SUM(23:23)</f>
        <v>9.0566409821080471E-3</v>
      </c>
      <c r="BM22" s="1118">
        <f t="shared" ref="BM22" si="48">BM23/SUM(23:23)</f>
        <v>9.0847068681670588E-3</v>
      </c>
      <c r="BN22" s="1118">
        <f t="shared" ref="BN22" si="49">BN23/SUM(23:23)</f>
        <v>9.1140502864151002E-3</v>
      </c>
      <c r="BO22" s="1118">
        <f t="shared" ref="BO22" si="50">BO23/SUM(23:23)</f>
        <v>9.1441526147909135E-3</v>
      </c>
      <c r="BP22" s="1118">
        <f t="shared" ref="BP22" si="51">BP23/SUM(23:23)</f>
        <v>1.0494046535459531E-2</v>
      </c>
      <c r="BQ22" s="1118">
        <f t="shared" ref="BQ22" si="52">BQ23/SUM(23:23)</f>
        <v>1.1842868983447403E-2</v>
      </c>
      <c r="BR22" s="1118">
        <f t="shared" ref="BR22" si="53">BR23/SUM(23:23)</f>
        <v>1.3189982051809771E-2</v>
      </c>
      <c r="BS22" s="1118">
        <f t="shared" ref="BS22" si="54">BS23/SUM(23:23)</f>
        <v>1.4535398150675121E-2</v>
      </c>
      <c r="BT22" s="1118">
        <f t="shared" ref="BT22" si="55">BT23/SUM(23:23)</f>
        <v>1.5880277284706749E-2</v>
      </c>
      <c r="BU22" s="1118">
        <f t="shared" ref="BU22" si="56">BU23/SUM(23:23)</f>
        <v>1.590746239710876E-2</v>
      </c>
      <c r="BV22" s="1118">
        <f t="shared" ref="BV22:BW22" si="57">BV23/SUM(23:23)</f>
        <v>1.5940451825951704E-2</v>
      </c>
      <c r="BW22" s="1118">
        <f t="shared" si="57"/>
        <v>1.598350224429335E-2</v>
      </c>
      <c r="BX22" s="1118">
        <f t="shared" ref="BX22" si="58">BX23/SUM(23:23)</f>
        <v>1.6041331416806793E-2</v>
      </c>
      <c r="BY22" s="1118">
        <f t="shared" ref="BY22" si="59">BY23/SUM(23:23)</f>
        <v>1.6118766227168818E-2</v>
      </c>
      <c r="BZ22" s="1118">
        <f t="shared" ref="BZ22" si="60">BZ23/SUM(23:23)</f>
        <v>1.7640178073035171E-2</v>
      </c>
      <c r="CA22" s="1118">
        <f t="shared" ref="CA22" si="61">CA23/SUM(23:23)</f>
        <v>1.9189004827840837E-2</v>
      </c>
      <c r="CB22" s="1118">
        <f t="shared" ref="CB22" si="62">CB23/SUM(23:23)</f>
        <v>2.0768328347286123E-2</v>
      </c>
      <c r="CC22" s="1118">
        <f t="shared" ref="CC22" si="63">CC23/SUM(23:23)</f>
        <v>2.2379597727195309E-2</v>
      </c>
      <c r="CD22" s="1118">
        <f t="shared" ref="CD22" si="64">CD23/SUM(23:23)</f>
        <v>2.4022068380751695E-2</v>
      </c>
      <c r="CE22" s="1118">
        <f t="shared" ref="CE22" si="65">CE23/SUM(23:23)</f>
        <v>2.4271123190662321E-2</v>
      </c>
      <c r="CF22" s="1118">
        <f t="shared" ref="CF22" si="66">CF23/SUM(23:23)</f>
        <v>2.4536991559370471E-2</v>
      </c>
      <c r="CG22" s="1118">
        <f t="shared" ref="CG22" si="67">CG23/SUM(23:23)</f>
        <v>2.4806019583733803E-2</v>
      </c>
      <c r="CH22" s="1118">
        <f t="shared" ref="CH22:CI22" si="68">CH23/SUM(23:23)</f>
        <v>2.5063624276066329E-2</v>
      </c>
      <c r="CI22" s="1118">
        <f t="shared" si="68"/>
        <v>2.529667652935343E-2</v>
      </c>
      <c r="CJ22" s="1118">
        <f t="shared" ref="CJ22" si="69">CJ23/SUM(23:23)</f>
        <v>2.8289645991126874E-2</v>
      </c>
      <c r="CK22" s="1118">
        <f t="shared" ref="CK22" si="70">CK23/SUM(23:23)</f>
        <v>3.1244883935629506E-2</v>
      </c>
      <c r="CL22" s="1118">
        <f t="shared" ref="CL22" si="71">CL23/SUM(23:23)</f>
        <v>3.4163199837083581E-2</v>
      </c>
      <c r="CM22" s="1118">
        <f t="shared" ref="CM22" si="72">CM23/SUM(23:23)</f>
        <v>3.7048062742668565E-2</v>
      </c>
      <c r="CN22" s="1118">
        <f t="shared" ref="CN22" si="73">CN23/SUM(23:23)</f>
        <v>3.9904359994795247E-2</v>
      </c>
      <c r="CO22" s="1118">
        <f t="shared" ref="CO22" si="74">CO23/SUM(23:23)</f>
        <v>3.9943302354472798E-2</v>
      </c>
      <c r="CQ22" s="1119">
        <f>(CQ20/CQ9)^(1/COUNTA(CQ10:CQ20))-1</f>
        <v>7.1938508310922522E-3</v>
      </c>
    </row>
    <row r="23" spans="1:95" ht="14.5">
      <c r="B23" s="39" t="s">
        <v>404</v>
      </c>
      <c r="C23" s="258">
        <v>3.3931426482653499</v>
      </c>
      <c r="D23" s="258">
        <v>3.2679050407622903</v>
      </c>
      <c r="E23" s="258">
        <v>3.09134305490816</v>
      </c>
      <c r="F23" s="258">
        <v>2.8654191224183201</v>
      </c>
      <c r="G23" s="258">
        <v>2.5928465404135301</v>
      </c>
      <c r="H23" s="258">
        <v>2.2592979060001501</v>
      </c>
      <c r="I23" s="258">
        <v>2.0119773144098989</v>
      </c>
      <c r="J23" s="258">
        <v>1.7816106393161202</v>
      </c>
      <c r="K23" s="258">
        <v>1.5711164751496161</v>
      </c>
      <c r="L23" s="258">
        <v>1.3827065387451942</v>
      </c>
      <c r="M23" s="258">
        <v>1.2355512311080041</v>
      </c>
      <c r="N23" s="258">
        <v>1.1123120051756465</v>
      </c>
      <c r="O23" s="258">
        <v>1.0127190981351355</v>
      </c>
      <c r="P23" s="258">
        <v>0.93591652389848223</v>
      </c>
      <c r="Q23" s="258">
        <v>0.8805789305236329</v>
      </c>
      <c r="R23" s="258">
        <v>0.85166851791096754</v>
      </c>
      <c r="S23" s="258">
        <v>0.84706540658122298</v>
      </c>
      <c r="T23" s="258">
        <v>0.85767768708267234</v>
      </c>
      <c r="U23" s="258">
        <v>0.88096573072541984</v>
      </c>
      <c r="V23" s="258">
        <v>0.9143934679059933</v>
      </c>
      <c r="W23" s="258">
        <v>0.94880536259666448</v>
      </c>
      <c r="X23" s="258">
        <v>0.98195096342417698</v>
      </c>
      <c r="Y23" s="258">
        <v>1.018453566321412</v>
      </c>
      <c r="Z23" s="258">
        <v>1.0565848817599961</v>
      </c>
      <c r="AA23" s="258">
        <v>1.0949644343912683</v>
      </c>
      <c r="AB23" s="258">
        <v>1.1359476128375143</v>
      </c>
      <c r="AC23" s="258">
        <v>1.1753745949169818</v>
      </c>
      <c r="AD23" s="258">
        <v>1.2128308522512017</v>
      </c>
      <c r="AE23" s="258">
        <v>1.247981023064175</v>
      </c>
      <c r="AF23" s="258">
        <v>1.2805267307211188</v>
      </c>
      <c r="AG23" s="258">
        <v>1.3067545960262081</v>
      </c>
      <c r="AH23" s="258">
        <v>1.3296953466060333</v>
      </c>
      <c r="AI23" s="258">
        <v>1.3487016051237268</v>
      </c>
      <c r="AJ23" s="258">
        <v>1.3630473141347927</v>
      </c>
      <c r="AK23" s="258">
        <v>1.3719415787681593</v>
      </c>
      <c r="AL23" s="258">
        <v>1.3838308457862698</v>
      </c>
      <c r="AM23" s="258">
        <v>1.3890210933072338</v>
      </c>
      <c r="AN23" s="258">
        <v>1.3872072911255648</v>
      </c>
      <c r="AO23" s="258">
        <v>1.3781953707274002</v>
      </c>
      <c r="AP23" s="258">
        <v>1.3619913600684845</v>
      </c>
      <c r="AQ23" s="258">
        <v>1.3295967264853543</v>
      </c>
      <c r="AR23" s="258">
        <v>1.2904122473920805</v>
      </c>
      <c r="AS23" s="258">
        <v>1.244917922275397</v>
      </c>
      <c r="AT23" s="258">
        <v>1.1939439081949448</v>
      </c>
      <c r="AU23" s="258">
        <v>1.1385033639968249</v>
      </c>
      <c r="AV23" s="258">
        <v>1.3055947538374764</v>
      </c>
      <c r="AW23" s="258">
        <v>1.4839162081406614</v>
      </c>
      <c r="AX23" s="258">
        <v>1.6747089409251106</v>
      </c>
      <c r="AY23" s="258">
        <v>1.8788149100620821</v>
      </c>
      <c r="AZ23" s="258">
        <v>2.096708354575942</v>
      </c>
      <c r="BA23" s="258">
        <v>2.1026707638745092</v>
      </c>
      <c r="BB23" s="258">
        <v>2.1091834582815117</v>
      </c>
      <c r="BC23" s="258">
        <v>2.1160650187891883</v>
      </c>
      <c r="BD23" s="258">
        <v>2.1231804687565901</v>
      </c>
      <c r="BE23" s="258">
        <v>2.1304167237659857</v>
      </c>
      <c r="BF23" s="258">
        <v>2.1667426992292347</v>
      </c>
      <c r="BG23" s="258">
        <v>2.203111477593509</v>
      </c>
      <c r="BH23" s="258">
        <v>2.2394074422890897</v>
      </c>
      <c r="BI23" s="258">
        <v>2.2755424387628969</v>
      </c>
      <c r="BJ23" s="258">
        <v>2.3115603179662463</v>
      </c>
      <c r="BK23" s="258">
        <v>2.3185327576159893</v>
      </c>
      <c r="BL23" s="258">
        <v>2.3255532505639649</v>
      </c>
      <c r="BM23" s="258">
        <v>2.3327599746334555</v>
      </c>
      <c r="BN23" s="258">
        <v>2.3402947418638451</v>
      </c>
      <c r="BO23" s="258">
        <v>2.3480243811133432</v>
      </c>
      <c r="BP23" s="258">
        <v>2.6946484994072248</v>
      </c>
      <c r="BQ23" s="258">
        <v>3.0409974862499958</v>
      </c>
      <c r="BR23" s="258">
        <v>3.3869075406726354</v>
      </c>
      <c r="BS23" s="258">
        <v>3.7323818493328345</v>
      </c>
      <c r="BT23" s="258">
        <v>4.0777182768164506</v>
      </c>
      <c r="BU23" s="258">
        <v>4.0846988368980899</v>
      </c>
      <c r="BV23" s="258">
        <v>4.0931698222922908</v>
      </c>
      <c r="BW23" s="258">
        <v>4.1042242563269777</v>
      </c>
      <c r="BX23" s="258">
        <v>4.1190735608739661</v>
      </c>
      <c r="BY23" s="258">
        <v>4.138957177250056</v>
      </c>
      <c r="BZ23" s="258">
        <v>4.5296234596599261</v>
      </c>
      <c r="CA23" s="258">
        <v>4.927329309026649</v>
      </c>
      <c r="CB23" s="258">
        <v>5.3328660805067098</v>
      </c>
      <c r="CC23" s="258">
        <v>5.7466058711624948</v>
      </c>
      <c r="CD23" s="258">
        <v>6.1683574868972837</v>
      </c>
      <c r="CE23" s="258">
        <v>6.2323094779169645</v>
      </c>
      <c r="CF23" s="258">
        <v>6.300578834104634</v>
      </c>
      <c r="CG23" s="258">
        <v>6.3696595228265274</v>
      </c>
      <c r="CH23" s="258">
        <v>6.4358069422503448</v>
      </c>
      <c r="CI23" s="258">
        <v>6.495649816253386</v>
      </c>
      <c r="CJ23" s="258">
        <v>7.2641808725706714</v>
      </c>
      <c r="CK23" s="258">
        <v>8.0230232757977884</v>
      </c>
      <c r="CL23" s="258">
        <v>8.7723848817404964</v>
      </c>
      <c r="CM23" s="258">
        <v>9.5131564681121343</v>
      </c>
      <c r="CN23" s="258">
        <v>10.246593000749646</v>
      </c>
      <c r="CO23" s="258">
        <v>10.256592572479571</v>
      </c>
      <c r="CP23" s="258"/>
      <c r="CQ23" s="1199">
        <f>CQ20/CQ8-1</f>
        <v>9.1104390043926564E-2</v>
      </c>
    </row>
    <row r="24" spans="1:95" ht="14.5">
      <c r="B24" s="39" t="s">
        <v>405</v>
      </c>
      <c r="C24" s="287">
        <f>C23/$AG$23</f>
        <v>2.5966181091566618</v>
      </c>
      <c r="D24" s="287">
        <f>D23/$AG$23</f>
        <v>2.5007794506327872</v>
      </c>
      <c r="E24" s="287">
        <f>E23/$AG$23</f>
        <v>2.3656645741356628</v>
      </c>
      <c r="F24" s="287">
        <f t="shared" ref="F24:BO24" si="75">F23/$AG$23</f>
        <v>2.1927752396141957</v>
      </c>
      <c r="G24" s="287">
        <f t="shared" si="75"/>
        <v>1.9841878102424737</v>
      </c>
      <c r="H24" s="287">
        <f t="shared" si="75"/>
        <v>1.7289381746737991</v>
      </c>
      <c r="I24" s="287">
        <f t="shared" si="75"/>
        <v>1.5396749477891616</v>
      </c>
      <c r="J24" s="287">
        <f t="shared" si="75"/>
        <v>1.3633857839367327</v>
      </c>
      <c r="K24" s="287">
        <f t="shared" si="75"/>
        <v>1.2023041510068704</v>
      </c>
      <c r="L24" s="287">
        <f t="shared" si="75"/>
        <v>1.0581225755393959</v>
      </c>
      <c r="M24" s="287">
        <f t="shared" si="75"/>
        <v>0.94551129559082414</v>
      </c>
      <c r="N24" s="287">
        <f t="shared" si="75"/>
        <v>0.85120190780896865</v>
      </c>
      <c r="O24" s="287">
        <f t="shared" si="75"/>
        <v>0.77498797495319816</v>
      </c>
      <c r="P24" s="287">
        <f t="shared" si="75"/>
        <v>0.71621444970966197</v>
      </c>
      <c r="Q24" s="287">
        <f t="shared" si="75"/>
        <v>0.67386710037327624</v>
      </c>
      <c r="R24" s="287">
        <f t="shared" si="75"/>
        <v>0.65174327337425075</v>
      </c>
      <c r="S24" s="287">
        <f>S23/$AG$23</f>
        <v>0.64822072113395823</v>
      </c>
      <c r="T24" s="287">
        <f t="shared" si="75"/>
        <v>0.65634181788289714</v>
      </c>
      <c r="U24" s="287">
        <f t="shared" si="75"/>
        <v>0.67416310101713339</v>
      </c>
      <c r="V24" s="287">
        <f t="shared" si="75"/>
        <v>0.69974383154008379</v>
      </c>
      <c r="W24" s="287">
        <f t="shared" si="75"/>
        <v>0.72607769315060844</v>
      </c>
      <c r="X24" s="287">
        <f t="shared" si="75"/>
        <v>0.75144251752414193</v>
      </c>
      <c r="Y24" s="287">
        <f t="shared" si="75"/>
        <v>0.77937630326190643</v>
      </c>
      <c r="Z24" s="287">
        <f t="shared" si="75"/>
        <v>0.80855646880679144</v>
      </c>
      <c r="AA24" s="287">
        <f t="shared" si="75"/>
        <v>0.83792659901179167</v>
      </c>
      <c r="AB24" s="287">
        <f t="shared" si="75"/>
        <v>0.86928916591675942</v>
      </c>
      <c r="AC24" s="287">
        <f t="shared" si="75"/>
        <v>0.89946084635267554</v>
      </c>
      <c r="AD24" s="287">
        <f t="shared" si="75"/>
        <v>0.92812442056019928</v>
      </c>
      <c r="AE24" s="287">
        <f t="shared" si="75"/>
        <v>0.95502325138877542</v>
      </c>
      <c r="AF24" s="287">
        <f t="shared" si="75"/>
        <v>0.97992900473826738</v>
      </c>
      <c r="AG24" s="287">
        <f t="shared" si="75"/>
        <v>1</v>
      </c>
      <c r="AH24" s="287">
        <f t="shared" si="75"/>
        <v>1.0175555155111657</v>
      </c>
      <c r="AI24" s="287">
        <f t="shared" si="75"/>
        <v>1.0321001427697887</v>
      </c>
      <c r="AJ24" s="287">
        <f t="shared" si="75"/>
        <v>1.0430782629575353</v>
      </c>
      <c r="AK24" s="287">
        <f t="shared" si="75"/>
        <v>1.0498846401154296</v>
      </c>
      <c r="AL24" s="287">
        <f t="shared" si="75"/>
        <v>1.0589829567039195</v>
      </c>
      <c r="AM24" s="287">
        <f t="shared" si="75"/>
        <v>1.0629548176307893</v>
      </c>
      <c r="AN24" s="287">
        <f t="shared" si="75"/>
        <v>1.0615667971201406</v>
      </c>
      <c r="AO24" s="287">
        <f t="shared" si="75"/>
        <v>1.0546703833439275</v>
      </c>
      <c r="AP24" s="287">
        <f t="shared" si="75"/>
        <v>1.0422701892231712</v>
      </c>
      <c r="AQ24" s="287">
        <f t="shared" si="75"/>
        <v>1.0174800460075735</v>
      </c>
      <c r="AR24" s="287">
        <f t="shared" si="75"/>
        <v>0.98749394210372465</v>
      </c>
      <c r="AS24" s="287">
        <f t="shared" si="75"/>
        <v>0.952679199339452</v>
      </c>
      <c r="AT24" s="287">
        <f t="shared" si="75"/>
        <v>0.91367109924517087</v>
      </c>
      <c r="AU24" s="287">
        <f t="shared" si="75"/>
        <v>0.87124496631499981</v>
      </c>
      <c r="AV24" s="287">
        <f t="shared" si="75"/>
        <v>0.99911242539933753</v>
      </c>
      <c r="AW24" s="287">
        <f t="shared" si="75"/>
        <v>1.1355737432668651</v>
      </c>
      <c r="AX24" s="287">
        <f t="shared" si="75"/>
        <v>1.2815787646875991</v>
      </c>
      <c r="AY24" s="287">
        <f t="shared" si="75"/>
        <v>1.4377718018176389</v>
      </c>
      <c r="AZ24" s="287">
        <f t="shared" si="75"/>
        <v>1.604515768264335</v>
      </c>
      <c r="BA24" s="287">
        <f t="shared" si="75"/>
        <v>1.6090785295637393</v>
      </c>
      <c r="BB24" s="287">
        <f t="shared" si="75"/>
        <v>1.6140623990881378</v>
      </c>
      <c r="BC24" s="287">
        <f t="shared" si="75"/>
        <v>1.6193285451025485</v>
      </c>
      <c r="BD24" s="287">
        <f t="shared" si="75"/>
        <v>1.6247736761080485</v>
      </c>
      <c r="BE24" s="287">
        <f t="shared" si="75"/>
        <v>1.6303112537308102</v>
      </c>
      <c r="BF24" s="287">
        <f t="shared" si="75"/>
        <v>1.6581098745075917</v>
      </c>
      <c r="BG24" s="287">
        <f t="shared" si="75"/>
        <v>1.6859412504024005</v>
      </c>
      <c r="BH24" s="287">
        <f t="shared" si="75"/>
        <v>1.7137169053003862</v>
      </c>
      <c r="BI24" s="287">
        <f t="shared" si="75"/>
        <v>1.7413693785219784</v>
      </c>
      <c r="BJ24" s="287">
        <f t="shared" si="75"/>
        <v>1.7689322272105372</v>
      </c>
      <c r="BK24" s="287">
        <f t="shared" si="75"/>
        <v>1.7742679189088455</v>
      </c>
      <c r="BL24" s="287">
        <f t="shared" si="75"/>
        <v>1.7796403836159331</v>
      </c>
      <c r="BM24" s="287">
        <f t="shared" si="75"/>
        <v>1.7851553625503147</v>
      </c>
      <c r="BN24" s="287">
        <f t="shared" si="75"/>
        <v>1.7909213780311881</v>
      </c>
      <c r="BO24" s="287">
        <f t="shared" si="75"/>
        <v>1.7968365202262135</v>
      </c>
      <c r="BP24" s="287">
        <f t="shared" ref="BP24:CN24" si="76">BP23/$AG$23</f>
        <v>2.0620922303250744</v>
      </c>
      <c r="BQ24" s="287">
        <f t="shared" si="76"/>
        <v>2.3271373948081417</v>
      </c>
      <c r="BR24" s="287">
        <f t="shared" si="76"/>
        <v>2.5918466642260869</v>
      </c>
      <c r="BS24" s="287">
        <f t="shared" si="76"/>
        <v>2.8562224771834499</v>
      </c>
      <c r="BT24" s="287">
        <f t="shared" si="76"/>
        <v>3.1204927759325578</v>
      </c>
      <c r="BU24" s="287">
        <f t="shared" si="76"/>
        <v>3.125834681828942</v>
      </c>
      <c r="BV24" s="287">
        <f t="shared" si="76"/>
        <v>3.1323171425908636</v>
      </c>
      <c r="BW24" s="287">
        <f t="shared" si="76"/>
        <v>3.1407765993766312</v>
      </c>
      <c r="BX24" s="287">
        <f t="shared" si="76"/>
        <v>3.1521400983780081</v>
      </c>
      <c r="BY24" s="287">
        <f t="shared" si="76"/>
        <v>3.1673561277966575</v>
      </c>
      <c r="BZ24" s="287">
        <f t="shared" si="76"/>
        <v>3.4663153077359294</v>
      </c>
      <c r="CA24" s="287">
        <f t="shared" si="76"/>
        <v>3.7706615488558244</v>
      </c>
      <c r="CB24" s="287">
        <f t="shared" si="76"/>
        <v>4.0810004393508592</v>
      </c>
      <c r="CC24" s="287">
        <f t="shared" si="76"/>
        <v>4.397616728219444</v>
      </c>
      <c r="CD24" s="287">
        <f t="shared" si="76"/>
        <v>4.7203641032945498</v>
      </c>
      <c r="CE24" s="287">
        <f t="shared" si="76"/>
        <v>4.769303660281115</v>
      </c>
      <c r="CF24" s="287">
        <f t="shared" si="76"/>
        <v>4.821547100935752</v>
      </c>
      <c r="CG24" s="287">
        <f t="shared" si="76"/>
        <v>4.8744114175656419</v>
      </c>
      <c r="CH24" s="287">
        <f t="shared" si="76"/>
        <v>4.9250310362951035</v>
      </c>
      <c r="CI24" s="287">
        <f t="shared" si="76"/>
        <v>4.9708260724748277</v>
      </c>
      <c r="CJ24" s="287">
        <f t="shared" si="76"/>
        <v>5.5589480187487181</v>
      </c>
      <c r="CK24" s="287">
        <f t="shared" si="76"/>
        <v>6.1396556784230967</v>
      </c>
      <c r="CL24" s="287">
        <f t="shared" si="76"/>
        <v>6.7131081141149158</v>
      </c>
      <c r="CM24" s="287">
        <f t="shared" si="76"/>
        <v>7.2799869975902798</v>
      </c>
      <c r="CN24" s="287">
        <f t="shared" si="76"/>
        <v>7.841252697261714</v>
      </c>
      <c r="CO24" s="287">
        <f>CO23/$AG$23</f>
        <v>7.8489049157886912</v>
      </c>
    </row>
    <row r="25" spans="1:95" ht="14.5">
      <c r="C25" s="39">
        <v>2.5966181091566654</v>
      </c>
      <c r="D25" s="39">
        <v>2.5007794506327872</v>
      </c>
      <c r="E25" s="39">
        <v>2.3656645741356641</v>
      </c>
      <c r="F25" s="39">
        <v>2.1927752396141948</v>
      </c>
      <c r="G25" s="39">
        <v>1.9841878102424699</v>
      </c>
      <c r="H25" s="39">
        <v>1.7289381746738</v>
      </c>
      <c r="I25" s="39">
        <v>1.5396749477891616</v>
      </c>
      <c r="J25" s="39">
        <v>1.3633857839367327</v>
      </c>
      <c r="K25" s="39">
        <v>1.2023041510068704</v>
      </c>
      <c r="L25" s="39">
        <v>1.0581225755393959</v>
      </c>
      <c r="M25" s="39">
        <v>0.94551129559082414</v>
      </c>
      <c r="N25" s="39">
        <v>0.85120190780896865</v>
      </c>
      <c r="O25" s="39">
        <v>0.77498797495319816</v>
      </c>
      <c r="P25" s="39">
        <v>0.71621444970966197</v>
      </c>
      <c r="Q25" s="39">
        <v>0.67386710037327624</v>
      </c>
      <c r="R25" s="39">
        <v>0.65174327337425075</v>
      </c>
      <c r="S25" s="39">
        <v>0.64822072113395823</v>
      </c>
      <c r="T25" s="39">
        <v>0.65634181788289714</v>
      </c>
      <c r="U25" s="39">
        <v>0.67416310101713339</v>
      </c>
      <c r="V25" s="39">
        <v>0.69974383154008379</v>
      </c>
      <c r="W25" s="39">
        <v>0.72607769315060844</v>
      </c>
      <c r="X25" s="39">
        <v>0.75144251752414193</v>
      </c>
      <c r="Y25" s="39">
        <v>0.77937630326190643</v>
      </c>
      <c r="Z25" s="39">
        <v>0.80855646880679144</v>
      </c>
      <c r="AA25" s="39">
        <v>0.83792659901179167</v>
      </c>
      <c r="AB25" s="39">
        <v>0.86928916591675942</v>
      </c>
      <c r="AC25" s="39">
        <v>0.89946084635267554</v>
      </c>
      <c r="AD25" s="39">
        <v>0.92812442056019928</v>
      </c>
      <c r="AE25" s="39">
        <v>0.95502325138877542</v>
      </c>
      <c r="AF25" s="39">
        <v>0.97992900473826738</v>
      </c>
      <c r="AG25" s="39">
        <v>1</v>
      </c>
      <c r="AH25" s="39">
        <v>1.0175555155111657</v>
      </c>
      <c r="AI25" s="39">
        <v>1.0321001427697887</v>
      </c>
      <c r="AJ25" s="39">
        <v>1.0430782629575353</v>
      </c>
      <c r="AK25" s="39">
        <v>1.0498846401154296</v>
      </c>
      <c r="AL25" s="39">
        <v>1.0589829567039195</v>
      </c>
      <c r="AM25" s="39">
        <v>1.0629548176307893</v>
      </c>
      <c r="AN25" s="39">
        <v>1.0615667971201406</v>
      </c>
      <c r="AO25" s="39">
        <v>1.0546703833439275</v>
      </c>
      <c r="AP25" s="39">
        <v>1.0422701892231712</v>
      </c>
      <c r="AQ25" s="39">
        <v>1.0174800460075735</v>
      </c>
      <c r="AR25" s="39">
        <v>0.98749394210372465</v>
      </c>
      <c r="AS25" s="39">
        <v>0.952679199339452</v>
      </c>
      <c r="AT25" s="39">
        <v>0.91367109924517087</v>
      </c>
      <c r="AU25" s="39">
        <v>0.87124496631499981</v>
      </c>
      <c r="AV25" s="39">
        <v>0.99911242539933753</v>
      </c>
      <c r="AW25" s="39">
        <v>1.1355737432668651</v>
      </c>
      <c r="AX25" s="39">
        <v>1.2815787646875991</v>
      </c>
      <c r="AY25" s="39">
        <v>1.4377718018176389</v>
      </c>
      <c r="AZ25" s="39">
        <v>1.604515768264335</v>
      </c>
      <c r="BA25" s="39">
        <v>1.6090785295637393</v>
      </c>
      <c r="BB25" s="39">
        <v>1.6140623990881378</v>
      </c>
      <c r="BC25" s="39">
        <v>1.6193285451025485</v>
      </c>
      <c r="BD25" s="39">
        <v>1.6247736761080485</v>
      </c>
      <c r="BE25" s="39">
        <v>1.6303112537308102</v>
      </c>
      <c r="BF25" s="39">
        <v>1.6581098745075917</v>
      </c>
      <c r="BG25" s="39">
        <v>1.6859412504024005</v>
      </c>
      <c r="BH25" s="39">
        <v>1.7137169053003862</v>
      </c>
      <c r="BI25" s="39">
        <v>1.7413693785219784</v>
      </c>
      <c r="BJ25" s="39">
        <v>1.7689322272105372</v>
      </c>
      <c r="BK25" s="39">
        <v>1.7742679189088455</v>
      </c>
      <c r="BL25" s="39">
        <v>1.7796403836159331</v>
      </c>
      <c r="BM25" s="39">
        <v>1.7851553625503147</v>
      </c>
      <c r="BN25" s="39">
        <v>1.7909213780311881</v>
      </c>
      <c r="BO25" s="39">
        <v>1.7968365202262135</v>
      </c>
      <c r="BP25" s="39">
        <v>2.0620922303250744</v>
      </c>
      <c r="BQ25" s="39">
        <v>2.3271373948081417</v>
      </c>
      <c r="BR25" s="39">
        <v>2.5918466642260869</v>
      </c>
      <c r="BS25" s="39">
        <v>2.8562224771834499</v>
      </c>
      <c r="BT25" s="39">
        <v>3.1204927759325578</v>
      </c>
      <c r="BU25" s="39">
        <v>3.125834681828942</v>
      </c>
      <c r="BV25" s="39">
        <v>3.1323171425908636</v>
      </c>
      <c r="BW25" s="39">
        <v>3.1407765993766312</v>
      </c>
      <c r="BX25" s="39">
        <v>3.1521400983780081</v>
      </c>
      <c r="BY25" s="39">
        <v>3.1673561277966575</v>
      </c>
      <c r="BZ25" s="39">
        <v>3.4663153077359294</v>
      </c>
      <c r="CA25" s="39">
        <v>3.7706615488558244</v>
      </c>
      <c r="CB25" s="39">
        <v>4.0810004393508592</v>
      </c>
      <c r="CC25" s="39">
        <v>4.397616728219444</v>
      </c>
      <c r="CD25" s="39">
        <v>4.7203641032945498</v>
      </c>
      <c r="CE25" s="39">
        <v>4.769303660281115</v>
      </c>
      <c r="CF25" s="39">
        <v>4.821547100935752</v>
      </c>
      <c r="CG25" s="39">
        <v>4.8744114175656419</v>
      </c>
      <c r="CH25" s="39">
        <v>4.9250310362951035</v>
      </c>
      <c r="CI25" s="39">
        <v>4.9708260724748277</v>
      </c>
      <c r="CJ25" s="39">
        <v>5.5589480187487181</v>
      </c>
      <c r="CK25" s="39">
        <v>6.1396556784230967</v>
      </c>
      <c r="CL25" s="39">
        <v>6.7131081141149158</v>
      </c>
      <c r="CM25" s="39">
        <v>7.2799869975902798</v>
      </c>
      <c r="CN25" s="39">
        <v>7.841252697261714</v>
      </c>
      <c r="CO25" s="39">
        <v>7.8489049157886912</v>
      </c>
    </row>
    <row r="26" spans="1:95" ht="18">
      <c r="CQ26" s="1116" t="s">
        <v>403</v>
      </c>
    </row>
    <row r="27" spans="1:95" ht="18">
      <c r="B27" s="1117">
        <v>2013</v>
      </c>
      <c r="C27" s="39">
        <f>C$24*C8</f>
        <v>1749918.0693590757</v>
      </c>
      <c r="D27" s="39">
        <f t="shared" ref="D27:AH27" si="77">D$24*D8</f>
        <v>1735520.9325035491</v>
      </c>
      <c r="E27" s="39">
        <f>E$24*E8</f>
        <v>1623541.4032418604</v>
      </c>
      <c r="F27" s="39">
        <f>F$24*F8</f>
        <v>1482239.3148458097</v>
      </c>
      <c r="G27" s="39">
        <f t="shared" si="77"/>
        <v>1324649.7346813062</v>
      </c>
      <c r="H27" s="39">
        <f t="shared" si="77"/>
        <v>1166075.4361560452</v>
      </c>
      <c r="I27" s="39">
        <f t="shared" si="77"/>
        <v>1003253.7356543655</v>
      </c>
      <c r="J27" s="39">
        <f t="shared" si="77"/>
        <v>869969.65180110943</v>
      </c>
      <c r="K27" s="39">
        <f t="shared" si="77"/>
        <v>740221.39434624882</v>
      </c>
      <c r="L27" s="39">
        <f t="shared" si="77"/>
        <v>641272.01253792434</v>
      </c>
      <c r="M27" s="39">
        <f t="shared" si="77"/>
        <v>555560.69052936963</v>
      </c>
      <c r="N27" s="39">
        <f t="shared" si="77"/>
        <v>489749.23208078381</v>
      </c>
      <c r="O27" s="39">
        <f t="shared" si="77"/>
        <v>454251.45163906756</v>
      </c>
      <c r="P27" s="39">
        <f t="shared" si="77"/>
        <v>430477.83014019352</v>
      </c>
      <c r="Q27" s="39">
        <f t="shared" si="77"/>
        <v>417592.0727658174</v>
      </c>
      <c r="R27" s="39">
        <f t="shared" si="77"/>
        <v>408671.05736641033</v>
      </c>
      <c r="S27" s="39">
        <f t="shared" si="77"/>
        <v>418392.76801447105</v>
      </c>
      <c r="T27" s="39">
        <f t="shared" si="77"/>
        <v>424741.76231564867</v>
      </c>
      <c r="U27" s="39">
        <f t="shared" si="77"/>
        <v>441664.47236935463</v>
      </c>
      <c r="V27" s="39">
        <f t="shared" si="77"/>
        <v>480572.16785659338</v>
      </c>
      <c r="W27" s="39">
        <f t="shared" si="77"/>
        <v>504193.43266763457</v>
      </c>
      <c r="X27" s="39">
        <f t="shared" si="77"/>
        <v>541261.79104508681</v>
      </c>
      <c r="Y27" s="39">
        <f t="shared" si="77"/>
        <v>580509.8663452951</v>
      </c>
      <c r="Z27" s="39">
        <f t="shared" si="77"/>
        <v>601279.78380229522</v>
      </c>
      <c r="AA27" s="39">
        <f t="shared" si="77"/>
        <v>607241.21667085041</v>
      </c>
      <c r="AB27" s="39">
        <f t="shared" si="77"/>
        <v>630915.29870656342</v>
      </c>
      <c r="AC27" s="39">
        <f t="shared" si="77"/>
        <v>647561.43956653064</v>
      </c>
      <c r="AD27" s="39">
        <f t="shared" si="77"/>
        <v>683523.72639250266</v>
      </c>
      <c r="AE27" s="39">
        <f t="shared" si="77"/>
        <v>711863.82632942789</v>
      </c>
      <c r="AF27" s="39">
        <f t="shared" si="77"/>
        <v>716477.05167239369</v>
      </c>
      <c r="AG27" s="39">
        <f t="shared" si="77"/>
        <v>739210</v>
      </c>
      <c r="AH27" s="39">
        <f t="shared" si="77"/>
        <v>754273.20142780675</v>
      </c>
      <c r="AI27" s="39">
        <f t="shared" ref="AI27:BN27" si="78">AI$24*AI8</f>
        <v>771859.18807081482</v>
      </c>
      <c r="AJ27" s="39">
        <f t="shared" si="78"/>
        <v>782708.19619286421</v>
      </c>
      <c r="AK27" s="39">
        <f t="shared" si="78"/>
        <v>757778.38635003392</v>
      </c>
      <c r="AL27" s="39">
        <f t="shared" si="78"/>
        <v>714028.7894042281</v>
      </c>
      <c r="AM27" s="39">
        <f t="shared" si="78"/>
        <v>705331.10992263362</v>
      </c>
      <c r="AN27" s="39">
        <f t="shared" si="78"/>
        <v>716316.61239314859</v>
      </c>
      <c r="AO27" s="39">
        <f t="shared" si="78"/>
        <v>725582.63829950511</v>
      </c>
      <c r="AP27" s="39">
        <f t="shared" si="78"/>
        <v>727949.64144857181</v>
      </c>
      <c r="AQ27" s="39">
        <f t="shared" si="78"/>
        <v>740614.56816849869</v>
      </c>
      <c r="AR27" s="39">
        <f t="shared" si="78"/>
        <v>747943.71165243466</v>
      </c>
      <c r="AS27" s="39">
        <f t="shared" si="78"/>
        <v>745714.40667895274</v>
      </c>
      <c r="AT27" s="39">
        <f t="shared" si="78"/>
        <v>697967.971450974</v>
      </c>
      <c r="AU27" s="39">
        <f t="shared" si="78"/>
        <v>681219.46920196782</v>
      </c>
      <c r="AV27" s="39">
        <f t="shared" si="78"/>
        <v>779860.20098272909</v>
      </c>
      <c r="AW27" s="39">
        <f t="shared" si="78"/>
        <v>897685.80651111936</v>
      </c>
      <c r="AX27" s="39">
        <f t="shared" si="78"/>
        <v>1013211.0450469571</v>
      </c>
      <c r="AY27" s="39">
        <f t="shared" si="78"/>
        <v>1141915.7470704161</v>
      </c>
      <c r="AZ27" s="39">
        <f t="shared" si="78"/>
        <v>1261205.5519076565</v>
      </c>
      <c r="BA27" s="39">
        <f t="shared" si="78"/>
        <v>1238142.4833789992</v>
      </c>
      <c r="BB27" s="39">
        <f t="shared" si="78"/>
        <v>1214554.5162530392</v>
      </c>
      <c r="BC27" s="39">
        <f t="shared" si="78"/>
        <v>1176045.4525234513</v>
      </c>
      <c r="BD27" s="39">
        <f t="shared" si="78"/>
        <v>1132701.2196566693</v>
      </c>
      <c r="BE27" s="39">
        <f t="shared" si="78"/>
        <v>1110325.109664622</v>
      </c>
      <c r="BF27" s="39">
        <f t="shared" si="78"/>
        <v>1102994.5858409442</v>
      </c>
      <c r="BG27" s="39">
        <f t="shared" si="78"/>
        <v>1078788.2857187353</v>
      </c>
      <c r="BH27" s="39">
        <f t="shared" si="78"/>
        <v>1058203.0518539355</v>
      </c>
      <c r="BI27" s="39">
        <f t="shared" si="78"/>
        <v>1036104.332004306</v>
      </c>
      <c r="BJ27" s="39">
        <f t="shared" si="78"/>
        <v>1056445.2425991315</v>
      </c>
      <c r="BK27" s="39">
        <f t="shared" si="78"/>
        <v>1046083.5252377905</v>
      </c>
      <c r="BL27" s="39">
        <f t="shared" si="78"/>
        <v>1021049.0940554219</v>
      </c>
      <c r="BM27" s="39">
        <f t="shared" si="78"/>
        <v>1031371.7255580818</v>
      </c>
      <c r="BN27" s="39">
        <f t="shared" si="78"/>
        <v>1056249.6103352341</v>
      </c>
      <c r="BO27" s="39">
        <f t="shared" ref="BO27:CO27" si="79">BO$24*BO8</f>
        <v>1087756.3147589036</v>
      </c>
      <c r="BP27" s="39">
        <f t="shared" si="79"/>
        <v>1320229.8053588651</v>
      </c>
      <c r="BQ27" s="39">
        <f t="shared" si="79"/>
        <v>1619610.831252438</v>
      </c>
      <c r="BR27" s="39">
        <f t="shared" si="79"/>
        <v>1390227.6729909095</v>
      </c>
      <c r="BS27" s="39">
        <f t="shared" si="79"/>
        <v>1487789.1510299959</v>
      </c>
      <c r="BT27" s="39">
        <f t="shared" si="79"/>
        <v>1620568.6338178313</v>
      </c>
      <c r="BU27" s="39">
        <f t="shared" si="79"/>
        <v>1508412.1615674198</v>
      </c>
      <c r="BV27" s="39">
        <f t="shared" si="79"/>
        <v>1349702.9274738329</v>
      </c>
      <c r="BW27" s="39">
        <f t="shared" si="79"/>
        <v>1216686.602172917</v>
      </c>
      <c r="BX27" s="39">
        <f t="shared" si="79"/>
        <v>1270035.0713176799</v>
      </c>
      <c r="BY27" s="39">
        <f t="shared" si="79"/>
        <v>1264525.7583931542</v>
      </c>
      <c r="BZ27" s="39">
        <f t="shared" si="79"/>
        <v>1343627.004845832</v>
      </c>
      <c r="CA27" s="39">
        <f t="shared" si="79"/>
        <v>1385616.3113426964</v>
      </c>
      <c r="CB27" s="39">
        <f t="shared" si="79"/>
        <v>1422902.0181862672</v>
      </c>
      <c r="CC27" s="39">
        <f t="shared" si="79"/>
        <v>1452554.7934145234</v>
      </c>
      <c r="CD27" s="39">
        <f t="shared" si="79"/>
        <v>1439640.2460432884</v>
      </c>
      <c r="CE27" s="39">
        <f t="shared" si="79"/>
        <v>1379773.8568303075</v>
      </c>
      <c r="CF27" s="39">
        <f t="shared" si="79"/>
        <v>1351648.4065408241</v>
      </c>
      <c r="CG27" s="39">
        <f t="shared" si="79"/>
        <v>1286493.6566152647</v>
      </c>
      <c r="CH27" s="39">
        <f t="shared" si="79"/>
        <v>1201820.84856984</v>
      </c>
      <c r="CI27" s="39">
        <f t="shared" si="79"/>
        <v>1085404.7270552409</v>
      </c>
      <c r="CJ27" s="39">
        <f t="shared" si="79"/>
        <v>1082049.231849438</v>
      </c>
      <c r="CK27" s="39">
        <f t="shared" si="79"/>
        <v>1080861.8235636724</v>
      </c>
      <c r="CL27" s="39">
        <f t="shared" si="79"/>
        <v>1056696.9220266007</v>
      </c>
      <c r="CM27" s="39">
        <f t="shared" si="79"/>
        <v>999738.77441808034</v>
      </c>
      <c r="CN27" s="39">
        <f t="shared" si="79"/>
        <v>934387.19516379759</v>
      </c>
      <c r="CO27" s="39">
        <f t="shared" si="79"/>
        <v>3524189.7028087857</v>
      </c>
      <c r="CQ27" s="39">
        <f t="shared" si="0"/>
        <v>91707547.549673662</v>
      </c>
    </row>
    <row r="28" spans="1:95" ht="18">
      <c r="B28" s="1117">
        <v>2014</v>
      </c>
      <c r="C28" s="39">
        <f t="shared" ref="C28:AH28" si="80">C$24*C9</f>
        <v>1715281.7804010352</v>
      </c>
      <c r="D28" s="39">
        <f t="shared" si="80"/>
        <v>1691954.8536940755</v>
      </c>
      <c r="E28" s="39">
        <f t="shared" si="80"/>
        <v>1645669.8296683256</v>
      </c>
      <c r="F28" s="39">
        <f t="shared" si="80"/>
        <v>1510534.8865377915</v>
      </c>
      <c r="G28" s="39">
        <f t="shared" si="80"/>
        <v>1346116.6626003196</v>
      </c>
      <c r="H28" s="39">
        <f t="shared" si="80"/>
        <v>1159636.8703935598</v>
      </c>
      <c r="I28" s="39">
        <f t="shared" si="80"/>
        <v>1042227.5276077525</v>
      </c>
      <c r="J28" s="39">
        <f t="shared" si="80"/>
        <v>890720.38343262649</v>
      </c>
      <c r="K28" s="39">
        <f t="shared" si="80"/>
        <v>768682.33820888354</v>
      </c>
      <c r="L28" s="39">
        <f t="shared" si="80"/>
        <v>655903.73151248309</v>
      </c>
      <c r="M28" s="39">
        <f t="shared" si="80"/>
        <v>577306.50481666299</v>
      </c>
      <c r="N28" s="39">
        <f t="shared" si="80"/>
        <v>503775.33711766003</v>
      </c>
      <c r="O28" s="39">
        <f t="shared" si="80"/>
        <v>448911.78449164005</v>
      </c>
      <c r="P28" s="39">
        <f t="shared" si="80"/>
        <v>421379.04177108192</v>
      </c>
      <c r="Q28" s="39">
        <f t="shared" si="80"/>
        <v>406387.01062081056</v>
      </c>
      <c r="R28" s="39">
        <f t="shared" si="80"/>
        <v>405513.36120691209</v>
      </c>
      <c r="S28" s="39">
        <f t="shared" si="80"/>
        <v>408253.94771521486</v>
      </c>
      <c r="T28" s="39">
        <f t="shared" si="80"/>
        <v>426719.97655474767</v>
      </c>
      <c r="U28" s="39">
        <f t="shared" si="80"/>
        <v>442108.74585292488</v>
      </c>
      <c r="V28" s="39">
        <f t="shared" si="80"/>
        <v>469218.82418985548</v>
      </c>
      <c r="W28" s="39">
        <f t="shared" si="80"/>
        <v>508545.5423603793</v>
      </c>
      <c r="X28" s="39">
        <f t="shared" si="80"/>
        <v>531478.00946692249</v>
      </c>
      <c r="Y28" s="39">
        <f t="shared" si="80"/>
        <v>574355.13167843584</v>
      </c>
      <c r="Z28" s="39">
        <f t="shared" si="80"/>
        <v>614939.53678631713</v>
      </c>
      <c r="AA28" s="39">
        <f t="shared" si="80"/>
        <v>618831.41738838144</v>
      </c>
      <c r="AB28" s="39">
        <f t="shared" si="80"/>
        <v>630824.89263330807</v>
      </c>
      <c r="AC28" s="39">
        <f t="shared" si="80"/>
        <v>659723.9491309115</v>
      </c>
      <c r="AD28" s="39">
        <f t="shared" si="80"/>
        <v>676291.78090749762</v>
      </c>
      <c r="AE28" s="39">
        <f t="shared" si="80"/>
        <v>710457.07708013221</v>
      </c>
      <c r="AF28" s="39">
        <f t="shared" si="80"/>
        <v>736920.33056924341</v>
      </c>
      <c r="AG28" s="39">
        <f t="shared" si="80"/>
        <v>736902</v>
      </c>
      <c r="AH28" s="39">
        <f t="shared" si="80"/>
        <v>757191.55064629274</v>
      </c>
      <c r="AI28" s="39">
        <f t="shared" ref="AI28:BN28" si="81">AI$24*AI9</f>
        <v>767794.77770858735</v>
      </c>
      <c r="AJ28" s="39">
        <f t="shared" si="81"/>
        <v>783472.77255961206</v>
      </c>
      <c r="AK28" s="39">
        <f t="shared" si="81"/>
        <v>792076.01777332486</v>
      </c>
      <c r="AL28" s="39">
        <f t="shared" si="81"/>
        <v>768323.90457739471</v>
      </c>
      <c r="AM28" s="39">
        <f t="shared" si="81"/>
        <v>720135.94462259521</v>
      </c>
      <c r="AN28" s="39">
        <f t="shared" si="81"/>
        <v>707070.36559023219</v>
      </c>
      <c r="AO28" s="39">
        <f t="shared" si="81"/>
        <v>714584.53554199461</v>
      </c>
      <c r="AP28" s="39">
        <f t="shared" si="81"/>
        <v>720082.58606031525</v>
      </c>
      <c r="AQ28" s="39">
        <f t="shared" si="81"/>
        <v>712993.03735953104</v>
      </c>
      <c r="AR28" s="39">
        <f t="shared" si="81"/>
        <v>720720.4786565192</v>
      </c>
      <c r="AS28" s="39">
        <f t="shared" si="81"/>
        <v>723159.72663459124</v>
      </c>
      <c r="AT28" s="39">
        <f t="shared" si="81"/>
        <v>717591.79932056169</v>
      </c>
      <c r="AU28" s="39">
        <f t="shared" si="81"/>
        <v>667305.68708991725</v>
      </c>
      <c r="AV28" s="39">
        <f t="shared" si="81"/>
        <v>783245.19387998211</v>
      </c>
      <c r="AW28" s="39">
        <f t="shared" si="81"/>
        <v>888365.01722638495</v>
      </c>
      <c r="AX28" s="39">
        <f t="shared" si="81"/>
        <v>1014757.9106159351</v>
      </c>
      <c r="AY28" s="39">
        <f t="shared" si="81"/>
        <v>1137727.5178117212</v>
      </c>
      <c r="AZ28" s="39">
        <f t="shared" si="81"/>
        <v>1275030.059767022</v>
      </c>
      <c r="BA28" s="39">
        <f t="shared" si="81"/>
        <v>1264796.8692212226</v>
      </c>
      <c r="BB28" s="39">
        <f t="shared" si="81"/>
        <v>1241299.5302059297</v>
      </c>
      <c r="BC28" s="39">
        <f t="shared" si="81"/>
        <v>1217471.1153642647</v>
      </c>
      <c r="BD28" s="39">
        <f t="shared" si="81"/>
        <v>1178488.9666230702</v>
      </c>
      <c r="BE28" s="39">
        <f t="shared" si="81"/>
        <v>1134841.730298226</v>
      </c>
      <c r="BF28" s="39">
        <f t="shared" si="81"/>
        <v>1126808.3598586221</v>
      </c>
      <c r="BG28" s="39">
        <f t="shared" si="81"/>
        <v>1118220.765624397</v>
      </c>
      <c r="BH28" s="39">
        <f t="shared" si="81"/>
        <v>1092746.4435140754</v>
      </c>
      <c r="BI28" s="39">
        <f t="shared" si="81"/>
        <v>1070832.4615201699</v>
      </c>
      <c r="BJ28" s="39">
        <f t="shared" si="81"/>
        <v>1047492.676597219</v>
      </c>
      <c r="BK28" s="39">
        <f t="shared" si="81"/>
        <v>1053771.4281304227</v>
      </c>
      <c r="BL28" s="39">
        <f t="shared" si="81"/>
        <v>1042556.0480914204</v>
      </c>
      <c r="BM28" s="39">
        <f t="shared" si="81"/>
        <v>1017047.638928978</v>
      </c>
      <c r="BN28" s="39">
        <f t="shared" si="81"/>
        <v>1027000.2823892288</v>
      </c>
      <c r="BO28" s="39">
        <f t="shared" ref="BO28:CO28" si="82">BO$24*BO9</f>
        <v>1050696.561529238</v>
      </c>
      <c r="BP28" s="39">
        <f t="shared" si="82"/>
        <v>1236455.2464096786</v>
      </c>
      <c r="BQ28" s="39">
        <f t="shared" si="82"/>
        <v>1475484.2309797853</v>
      </c>
      <c r="BR28" s="39">
        <f t="shared" si="82"/>
        <v>1784849.2868526524</v>
      </c>
      <c r="BS28" s="39">
        <f t="shared" si="82"/>
        <v>1513406.6104278543</v>
      </c>
      <c r="BT28" s="39">
        <f t="shared" si="82"/>
        <v>1603914.5638726791</v>
      </c>
      <c r="BU28" s="39">
        <f t="shared" si="82"/>
        <v>1599811.567664098</v>
      </c>
      <c r="BV28" s="39">
        <f t="shared" si="82"/>
        <v>1487224.179302142</v>
      </c>
      <c r="BW28" s="39">
        <f t="shared" si="82"/>
        <v>1328667.8510470914</v>
      </c>
      <c r="BX28" s="39">
        <f t="shared" si="82"/>
        <v>1196555.5334843902</v>
      </c>
      <c r="BY28" s="39">
        <f t="shared" si="82"/>
        <v>1248321.5644433466</v>
      </c>
      <c r="BZ28" s="39">
        <f t="shared" si="82"/>
        <v>1350157.5428856064</v>
      </c>
      <c r="CA28" s="39">
        <f t="shared" si="82"/>
        <v>1422844.05281455</v>
      </c>
      <c r="CB28" s="39">
        <f t="shared" si="82"/>
        <v>1454995.0056413226</v>
      </c>
      <c r="CC28" s="39">
        <f t="shared" si="82"/>
        <v>1482159.5492288969</v>
      </c>
      <c r="CD28" s="39">
        <f t="shared" si="82"/>
        <v>1500915.2924681548</v>
      </c>
      <c r="CE28" s="39">
        <f t="shared" si="82"/>
        <v>1393256.6782779221</v>
      </c>
      <c r="CF28" s="39">
        <f t="shared" si="82"/>
        <v>1328770.1655468838</v>
      </c>
      <c r="CG28" s="39">
        <f t="shared" si="82"/>
        <v>1293522.5578793944</v>
      </c>
      <c r="CH28" s="39">
        <f t="shared" si="82"/>
        <v>1219334.2589349055</v>
      </c>
      <c r="CI28" s="39">
        <f t="shared" si="82"/>
        <v>1130763.5149665738</v>
      </c>
      <c r="CJ28" s="39">
        <f t="shared" si="82"/>
        <v>1121106.4006291665</v>
      </c>
      <c r="CK28" s="39">
        <f t="shared" si="82"/>
        <v>1093859.4746348942</v>
      </c>
      <c r="CL28" s="39">
        <f t="shared" si="82"/>
        <v>1068021.9354151126</v>
      </c>
      <c r="CM28" s="39">
        <f t="shared" si="82"/>
        <v>1023158.4925893283</v>
      </c>
      <c r="CN28" s="39">
        <f t="shared" si="82"/>
        <v>948250.52993255632</v>
      </c>
      <c r="CO28" s="39">
        <f t="shared" si="82"/>
        <v>3673413.0830677599</v>
      </c>
      <c r="CQ28" s="39">
        <f t="shared" si="0"/>
        <v>92970491.997131661</v>
      </c>
    </row>
    <row r="29" spans="1:95" ht="18">
      <c r="B29" s="1117">
        <v>2015</v>
      </c>
      <c r="C29" s="39">
        <f t="shared" ref="C29:AH29" si="83">C$24*C10</f>
        <v>1710195.0055251971</v>
      </c>
      <c r="D29" s="39">
        <f t="shared" si="83"/>
        <v>1657881.7336792038</v>
      </c>
      <c r="E29" s="39">
        <f t="shared" si="83"/>
        <v>1603563.3659132849</v>
      </c>
      <c r="F29" s="39">
        <f t="shared" si="83"/>
        <v>1527991.5702203601</v>
      </c>
      <c r="G29" s="39">
        <f t="shared" si="83"/>
        <v>1371091.6345678414</v>
      </c>
      <c r="H29" s="39">
        <f t="shared" si="83"/>
        <v>1177510.6332433375</v>
      </c>
      <c r="I29" s="39">
        <f t="shared" si="83"/>
        <v>1036653.9042967558</v>
      </c>
      <c r="J29" s="39">
        <f t="shared" si="83"/>
        <v>926182.04767282098</v>
      </c>
      <c r="K29" s="39">
        <f t="shared" si="83"/>
        <v>787320.45715779206</v>
      </c>
      <c r="L29" s="39">
        <f t="shared" si="83"/>
        <v>678139.11931486789</v>
      </c>
      <c r="M29" s="39">
        <f t="shared" si="83"/>
        <v>589821.29232510319</v>
      </c>
      <c r="N29" s="39">
        <f t="shared" si="83"/>
        <v>523668.77690506342</v>
      </c>
      <c r="O29" s="39">
        <f t="shared" si="83"/>
        <v>462095.87992154382</v>
      </c>
      <c r="P29" s="39">
        <f t="shared" si="83"/>
        <v>417874.60446865257</v>
      </c>
      <c r="Q29" s="39">
        <f t="shared" si="83"/>
        <v>398405.05481688911</v>
      </c>
      <c r="R29" s="39">
        <f t="shared" si="83"/>
        <v>394967.50330044329</v>
      </c>
      <c r="S29" s="39">
        <f t="shared" si="83"/>
        <v>405744.68530370528</v>
      </c>
      <c r="T29" s="39">
        <f t="shared" si="83"/>
        <v>416982.48934463703</v>
      </c>
      <c r="U29" s="39">
        <f t="shared" si="83"/>
        <v>445779.56393796316</v>
      </c>
      <c r="V29" s="39">
        <f t="shared" si="83"/>
        <v>469812.20695900149</v>
      </c>
      <c r="W29" s="39">
        <f t="shared" si="83"/>
        <v>498031.93736355851</v>
      </c>
      <c r="X29" s="39">
        <f t="shared" si="83"/>
        <v>537123.5971010814</v>
      </c>
      <c r="Y29" s="39">
        <f t="shared" si="83"/>
        <v>565511.54876532301</v>
      </c>
      <c r="Z29" s="39">
        <f t="shared" si="83"/>
        <v>611334.99204837647</v>
      </c>
      <c r="AA29" s="39">
        <f t="shared" si="83"/>
        <v>634012.97150927712</v>
      </c>
      <c r="AB29" s="39">
        <f t="shared" si="83"/>
        <v>643818.15779626591</v>
      </c>
      <c r="AC29" s="39">
        <f t="shared" si="83"/>
        <v>660556.84987463406</v>
      </c>
      <c r="AD29" s="39">
        <f t="shared" si="83"/>
        <v>691698.64628879691</v>
      </c>
      <c r="AE29" s="39">
        <f t="shared" si="83"/>
        <v>706515.69612165075</v>
      </c>
      <c r="AF29" s="39">
        <f t="shared" si="83"/>
        <v>737626.85938165965</v>
      </c>
      <c r="AG29" s="39">
        <f t="shared" si="83"/>
        <v>759570</v>
      </c>
      <c r="AH29" s="39">
        <f t="shared" si="83"/>
        <v>756401.92756625602</v>
      </c>
      <c r="AI29" s="39">
        <f t="shared" ref="AI29:BN29" si="84">AI$24*AI10</f>
        <v>771995.42528966034</v>
      </c>
      <c r="AJ29" s="39">
        <f t="shared" si="84"/>
        <v>779549.75521262875</v>
      </c>
      <c r="AK29" s="39">
        <f t="shared" si="84"/>
        <v>793137.45114448154</v>
      </c>
      <c r="AL29" s="39">
        <f t="shared" si="84"/>
        <v>803598.62686520233</v>
      </c>
      <c r="AM29" s="39">
        <f t="shared" si="84"/>
        <v>775244.83714266354</v>
      </c>
      <c r="AN29" s="39">
        <f t="shared" si="84"/>
        <v>722070.30443353974</v>
      </c>
      <c r="AO29" s="39">
        <f t="shared" si="84"/>
        <v>705199.02380061708</v>
      </c>
      <c r="AP29" s="39">
        <f t="shared" si="84"/>
        <v>709008.46529981913</v>
      </c>
      <c r="AQ29" s="39">
        <f t="shared" si="84"/>
        <v>705645.81394731032</v>
      </c>
      <c r="AR29" s="39">
        <f t="shared" si="84"/>
        <v>694098.62947134487</v>
      </c>
      <c r="AS29" s="39">
        <f t="shared" si="84"/>
        <v>697142.05770063074</v>
      </c>
      <c r="AT29" s="39">
        <f t="shared" si="84"/>
        <v>695383.19591120933</v>
      </c>
      <c r="AU29" s="39">
        <f t="shared" si="84"/>
        <v>686052.26503011712</v>
      </c>
      <c r="AV29" s="39">
        <f t="shared" si="84"/>
        <v>767216.4332393005</v>
      </c>
      <c r="AW29" s="39">
        <f t="shared" si="84"/>
        <v>892203.25647862686</v>
      </c>
      <c r="AX29" s="39">
        <f t="shared" si="84"/>
        <v>1004812.8594019592</v>
      </c>
      <c r="AY29" s="39">
        <f t="shared" si="84"/>
        <v>1140012.1372048096</v>
      </c>
      <c r="AZ29" s="39">
        <f t="shared" si="84"/>
        <v>1270360.9188813728</v>
      </c>
      <c r="BA29" s="39">
        <f t="shared" si="84"/>
        <v>1278935.842260499</v>
      </c>
      <c r="BB29" s="39">
        <f t="shared" si="84"/>
        <v>1268241.4597715088</v>
      </c>
      <c r="BC29" s="39">
        <f t="shared" si="84"/>
        <v>1244128.501873743</v>
      </c>
      <c r="BD29" s="39">
        <f t="shared" si="84"/>
        <v>1220055.5515789425</v>
      </c>
      <c r="BE29" s="39">
        <f t="shared" si="84"/>
        <v>1180671.4099518529</v>
      </c>
      <c r="BF29" s="39">
        <f t="shared" si="84"/>
        <v>1151965.2028746514</v>
      </c>
      <c r="BG29" s="39">
        <f t="shared" si="84"/>
        <v>1142606.2198702174</v>
      </c>
      <c r="BH29" s="39">
        <f t="shared" si="84"/>
        <v>1132643.4867863737</v>
      </c>
      <c r="BI29" s="39">
        <f t="shared" si="84"/>
        <v>1105860.1065691395</v>
      </c>
      <c r="BJ29" s="39">
        <f t="shared" si="84"/>
        <v>1082565.2958661222</v>
      </c>
      <c r="BK29" s="39">
        <f t="shared" si="84"/>
        <v>1044625.0770084475</v>
      </c>
      <c r="BL29" s="39">
        <f t="shared" si="84"/>
        <v>1050541.294492705</v>
      </c>
      <c r="BM29" s="39">
        <f t="shared" si="84"/>
        <v>1038367.7494239165</v>
      </c>
      <c r="BN29" s="39">
        <f t="shared" si="84"/>
        <v>1012445.4643499693</v>
      </c>
      <c r="BO29" s="39">
        <f t="shared" ref="BO29:CO29" si="85">BO$24*BO10</f>
        <v>1021568.0446998507</v>
      </c>
      <c r="BP29" s="39">
        <f t="shared" si="85"/>
        <v>1194231.8459015423</v>
      </c>
      <c r="BQ29" s="39">
        <f t="shared" si="85"/>
        <v>1380709.233438829</v>
      </c>
      <c r="BR29" s="39">
        <f t="shared" si="85"/>
        <v>1624934.9395165672</v>
      </c>
      <c r="BS29" s="39">
        <f t="shared" si="85"/>
        <v>1943596.5588288396</v>
      </c>
      <c r="BT29" s="39">
        <f t="shared" si="85"/>
        <v>1630657.1869624211</v>
      </c>
      <c r="BU29" s="39">
        <f t="shared" si="85"/>
        <v>1582910.1795394488</v>
      </c>
      <c r="BV29" s="39">
        <f t="shared" si="85"/>
        <v>1576842.9050688092</v>
      </c>
      <c r="BW29" s="39">
        <f t="shared" si="85"/>
        <v>1463611.3176393083</v>
      </c>
      <c r="BX29" s="39">
        <f t="shared" si="85"/>
        <v>1306870.9805073254</v>
      </c>
      <c r="BY29" s="39">
        <f t="shared" si="85"/>
        <v>1174287.7823122274</v>
      </c>
      <c r="BZ29" s="39">
        <f t="shared" si="85"/>
        <v>1331020.0160715964</v>
      </c>
      <c r="CA29" s="39">
        <f t="shared" si="85"/>
        <v>1426867.3486871792</v>
      </c>
      <c r="CB29" s="39">
        <f t="shared" si="85"/>
        <v>1491552.6075770275</v>
      </c>
      <c r="CC29" s="39">
        <f t="shared" si="85"/>
        <v>1512621.840305273</v>
      </c>
      <c r="CD29" s="39">
        <f t="shared" si="85"/>
        <v>1527934.6565954129</v>
      </c>
      <c r="CE29" s="39">
        <f t="shared" si="85"/>
        <v>1447478.8915916581</v>
      </c>
      <c r="CF29" s="39">
        <f t="shared" si="85"/>
        <v>1337203.0514264205</v>
      </c>
      <c r="CG29" s="39">
        <f t="shared" si="85"/>
        <v>1266908.271539486</v>
      </c>
      <c r="CH29" s="39">
        <f t="shared" si="85"/>
        <v>1221914.9751979241</v>
      </c>
      <c r="CI29" s="39">
        <f t="shared" si="85"/>
        <v>1139049.8820293893</v>
      </c>
      <c r="CJ29" s="39">
        <f t="shared" si="85"/>
        <v>1159318.6093100451</v>
      </c>
      <c r="CK29" s="39">
        <f t="shared" si="85"/>
        <v>1121929.9803966447</v>
      </c>
      <c r="CL29" s="39">
        <f t="shared" si="85"/>
        <v>1070143.2775791727</v>
      </c>
      <c r="CM29" s="39">
        <f t="shared" si="85"/>
        <v>1021404.015722909</v>
      </c>
      <c r="CN29" s="39">
        <f t="shared" si="85"/>
        <v>956922.9554157278</v>
      </c>
      <c r="CO29" s="39">
        <f t="shared" si="85"/>
        <v>3698231.3204114838</v>
      </c>
      <c r="CQ29" s="39">
        <f t="shared" si="0"/>
        <v>94000991.506097242</v>
      </c>
    </row>
    <row r="30" spans="1:95" ht="18">
      <c r="B30" s="1117">
        <v>2016</v>
      </c>
      <c r="C30" s="39">
        <f t="shared" ref="C30:AH30" si="86">C$24*C11</f>
        <v>1725216.4412866684</v>
      </c>
      <c r="D30" s="39">
        <f t="shared" si="86"/>
        <v>1651612.2795964673</v>
      </c>
      <c r="E30" s="39">
        <f t="shared" si="86"/>
        <v>1570117.6001641548</v>
      </c>
      <c r="F30" s="39">
        <f t="shared" si="86"/>
        <v>1487526.0959485197</v>
      </c>
      <c r="G30" s="39">
        <f t="shared" si="86"/>
        <v>1383629.7173407637</v>
      </c>
      <c r="H30" s="39">
        <f t="shared" si="86"/>
        <v>1198448.0745386372</v>
      </c>
      <c r="I30" s="39">
        <f t="shared" si="86"/>
        <v>1051758.1155345675</v>
      </c>
      <c r="J30" s="39">
        <f t="shared" si="86"/>
        <v>921286.12932270416</v>
      </c>
      <c r="K30" s="39">
        <f t="shared" si="86"/>
        <v>819112.98582286667</v>
      </c>
      <c r="L30" s="39">
        <f t="shared" si="86"/>
        <v>694753.75999598752</v>
      </c>
      <c r="M30" s="39">
        <f t="shared" si="86"/>
        <v>607161.9694862389</v>
      </c>
      <c r="N30" s="39">
        <f t="shared" si="86"/>
        <v>534434.77863503119</v>
      </c>
      <c r="O30" s="39">
        <f t="shared" si="86"/>
        <v>480407.29579373798</v>
      </c>
      <c r="P30" s="39">
        <f t="shared" si="86"/>
        <v>430421.96541311615</v>
      </c>
      <c r="Q30" s="39">
        <f t="shared" si="86"/>
        <v>396543.83388565812</v>
      </c>
      <c r="R30" s="39">
        <f t="shared" si="86"/>
        <v>387737.0634256294</v>
      </c>
      <c r="S30" s="39">
        <f t="shared" si="86"/>
        <v>395570.21286478668</v>
      </c>
      <c r="T30" s="39">
        <f t="shared" si="86"/>
        <v>415386.26604354585</v>
      </c>
      <c r="U30" s="39">
        <f t="shared" si="86"/>
        <v>436939.2631943255</v>
      </c>
      <c r="V30" s="39">
        <f t="shared" si="86"/>
        <v>476123.19657566154</v>
      </c>
      <c r="W30" s="39">
        <f t="shared" si="86"/>
        <v>498502.43570872006</v>
      </c>
      <c r="X30" s="39">
        <f t="shared" si="86"/>
        <v>527596.80886391038</v>
      </c>
      <c r="Y30" s="39">
        <f t="shared" si="86"/>
        <v>572723.89707570872</v>
      </c>
      <c r="Z30" s="39">
        <f t="shared" si="86"/>
        <v>603191.21129455452</v>
      </c>
      <c r="AA30" s="39">
        <f t="shared" si="86"/>
        <v>631015.70806461188</v>
      </c>
      <c r="AB30" s="39">
        <f t="shared" si="86"/>
        <v>659093.30701975513</v>
      </c>
      <c r="AC30" s="39">
        <f t="shared" si="86"/>
        <v>674372.56847461115</v>
      </c>
      <c r="AD30" s="39">
        <f t="shared" si="86"/>
        <v>693231.90783156233</v>
      </c>
      <c r="AE30" s="39">
        <f t="shared" si="86"/>
        <v>725148.19975624583</v>
      </c>
      <c r="AF30" s="39">
        <f t="shared" si="86"/>
        <v>736858.59504194488</v>
      </c>
      <c r="AG30" s="39">
        <f t="shared" si="86"/>
        <v>762109</v>
      </c>
      <c r="AH30" s="39">
        <f t="shared" si="86"/>
        <v>781376.81013896212</v>
      </c>
      <c r="AI30" s="39">
        <f t="shared" ref="AI30:BN30" si="87">AI$24*AI11</f>
        <v>772289.57383034972</v>
      </c>
      <c r="AJ30" s="39">
        <f t="shared" si="87"/>
        <v>784797.48195356817</v>
      </c>
      <c r="AK30" s="39">
        <f t="shared" si="87"/>
        <v>789424.00917239324</v>
      </c>
      <c r="AL30" s="39">
        <f t="shared" si="87"/>
        <v>804828.10607793555</v>
      </c>
      <c r="AM30" s="39">
        <f t="shared" si="87"/>
        <v>810981.37811141065</v>
      </c>
      <c r="AN30" s="39">
        <f t="shared" si="87"/>
        <v>777429.95133655798</v>
      </c>
      <c r="AO30" s="39">
        <f t="shared" si="87"/>
        <v>720326.16110891895</v>
      </c>
      <c r="AP30" s="39">
        <f t="shared" si="87"/>
        <v>699292.42259588069</v>
      </c>
      <c r="AQ30" s="39">
        <f t="shared" si="87"/>
        <v>694509.49484375748</v>
      </c>
      <c r="AR30" s="39">
        <f t="shared" si="87"/>
        <v>687177.28443113994</v>
      </c>
      <c r="AS30" s="39">
        <f t="shared" si="87"/>
        <v>671617.87659192819</v>
      </c>
      <c r="AT30" s="39">
        <f t="shared" si="87"/>
        <v>670549.61543372564</v>
      </c>
      <c r="AU30" s="39">
        <f t="shared" si="87"/>
        <v>664354.78038900835</v>
      </c>
      <c r="AV30" s="39">
        <f t="shared" si="87"/>
        <v>788612.42582922732</v>
      </c>
      <c r="AW30" s="39">
        <f t="shared" si="87"/>
        <v>873863.74052486708</v>
      </c>
      <c r="AX30" s="39">
        <f t="shared" si="87"/>
        <v>1008904.9403976068</v>
      </c>
      <c r="AY30" s="39">
        <f t="shared" si="87"/>
        <v>1129289.2351068535</v>
      </c>
      <c r="AZ30" s="39">
        <f t="shared" si="87"/>
        <v>1273340.5046630397</v>
      </c>
      <c r="BA30" s="39">
        <f t="shared" si="87"/>
        <v>1274403.0680427181</v>
      </c>
      <c r="BB30" s="39">
        <f t="shared" si="87"/>
        <v>1282458.1213826772</v>
      </c>
      <c r="BC30" s="39">
        <f t="shared" si="87"/>
        <v>1271098.4187924259</v>
      </c>
      <c r="BD30" s="39">
        <f t="shared" si="87"/>
        <v>1246617.3516359569</v>
      </c>
      <c r="BE30" s="39">
        <f t="shared" si="87"/>
        <v>1222184.0254056004</v>
      </c>
      <c r="BF30" s="39">
        <f t="shared" si="87"/>
        <v>1198085.52903408</v>
      </c>
      <c r="BG30" s="39">
        <f t="shared" si="87"/>
        <v>1167983.0075712742</v>
      </c>
      <c r="BH30" s="39">
        <f t="shared" si="87"/>
        <v>1157583.2089092103</v>
      </c>
      <c r="BI30" s="39">
        <f t="shared" si="87"/>
        <v>1146064.8427804548</v>
      </c>
      <c r="BJ30" s="39">
        <f t="shared" si="87"/>
        <v>1118007.6219705127</v>
      </c>
      <c r="BK30" s="39">
        <f t="shared" si="87"/>
        <v>1079803.4870366531</v>
      </c>
      <c r="BL30" s="39">
        <f t="shared" si="87"/>
        <v>1041207.0806806395</v>
      </c>
      <c r="BM30" s="39">
        <f t="shared" si="87"/>
        <v>1046518.7688093212</v>
      </c>
      <c r="BN30" s="39">
        <f t="shared" si="87"/>
        <v>1033585.5002962494</v>
      </c>
      <c r="BO30" s="39">
        <f t="shared" ref="BO30:CO30" si="88">BO$24*BO11</f>
        <v>1006948.9827712903</v>
      </c>
      <c r="BP30" s="39">
        <f t="shared" si="88"/>
        <v>1161364.1578423909</v>
      </c>
      <c r="BQ30" s="39">
        <f t="shared" si="88"/>
        <v>1333756.9093611799</v>
      </c>
      <c r="BR30" s="39">
        <f t="shared" si="88"/>
        <v>1520628.6623614526</v>
      </c>
      <c r="BS30" s="39">
        <f t="shared" si="88"/>
        <v>1769015.6723559557</v>
      </c>
      <c r="BT30" s="39">
        <f t="shared" si="88"/>
        <v>2095323.5252409864</v>
      </c>
      <c r="BU30" s="39">
        <f t="shared" si="88"/>
        <v>1609395.3767985855</v>
      </c>
      <c r="BV30" s="39">
        <f t="shared" si="88"/>
        <v>1560285.4766530739</v>
      </c>
      <c r="BW30" s="39">
        <f t="shared" si="88"/>
        <v>1553170.5623705329</v>
      </c>
      <c r="BX30" s="39">
        <f t="shared" si="88"/>
        <v>1439125.3226149715</v>
      </c>
      <c r="BY30" s="39">
        <f t="shared" si="88"/>
        <v>1284217.2114396659</v>
      </c>
      <c r="BZ30" s="39">
        <f t="shared" si="88"/>
        <v>1252514.906981993</v>
      </c>
      <c r="CA30" s="39">
        <f t="shared" si="88"/>
        <v>1407851.9024962992</v>
      </c>
      <c r="CB30" s="39">
        <f t="shared" si="88"/>
        <v>1497159.9021806957</v>
      </c>
      <c r="CC30" s="39">
        <f t="shared" si="88"/>
        <v>1552130.0289915963</v>
      </c>
      <c r="CD30" s="39">
        <f t="shared" si="88"/>
        <v>1563011.6822469947</v>
      </c>
      <c r="CE30" s="39">
        <f t="shared" si="88"/>
        <v>1478083.513179682</v>
      </c>
      <c r="CF30" s="39">
        <f t="shared" si="88"/>
        <v>1392554.4121451629</v>
      </c>
      <c r="CG30" s="39">
        <f t="shared" si="88"/>
        <v>1277973.18545736</v>
      </c>
      <c r="CH30" s="39">
        <f t="shared" si="88"/>
        <v>1201008.2184488513</v>
      </c>
      <c r="CI30" s="39">
        <f t="shared" si="88"/>
        <v>1147947.6606991193</v>
      </c>
      <c r="CJ30" s="39">
        <f t="shared" si="88"/>
        <v>1172432.1676862733</v>
      </c>
      <c r="CK30" s="39">
        <f t="shared" si="88"/>
        <v>1165773.2615962639</v>
      </c>
      <c r="CL30" s="39">
        <f t="shared" si="88"/>
        <v>1104232.4405826484</v>
      </c>
      <c r="CM30" s="39">
        <f t="shared" si="88"/>
        <v>1030423.9196129234</v>
      </c>
      <c r="CN30" s="39">
        <f t="shared" si="88"/>
        <v>962897.98997104121</v>
      </c>
      <c r="CO30" s="39">
        <f t="shared" si="88"/>
        <v>3785346.3160718228</v>
      </c>
      <c r="CQ30" s="39">
        <f t="shared" si="0"/>
        <v>95161169.87704441</v>
      </c>
    </row>
    <row r="31" spans="1:95" ht="18">
      <c r="B31" s="1117">
        <v>2017</v>
      </c>
      <c r="C31" s="39">
        <f t="shared" ref="C31:AH31" si="89">C$24*C12</f>
        <v>1682026.8922770657</v>
      </c>
      <c r="D31" s="39">
        <f t="shared" si="89"/>
        <v>1661635.4036346036</v>
      </c>
      <c r="E31" s="39">
        <f t="shared" si="89"/>
        <v>1559353.8263518377</v>
      </c>
      <c r="F31" s="39">
        <f t="shared" si="89"/>
        <v>1452468.0054175679</v>
      </c>
      <c r="G31" s="39">
        <f t="shared" si="89"/>
        <v>1343930.0876334324</v>
      </c>
      <c r="H31" s="39">
        <f t="shared" si="89"/>
        <v>1204793.2776396901</v>
      </c>
      <c r="I31" s="39">
        <f t="shared" si="89"/>
        <v>1068338.8750473089</v>
      </c>
      <c r="J31" s="39">
        <f t="shared" si="89"/>
        <v>932737.20652198873</v>
      </c>
      <c r="K31" s="39">
        <f t="shared" si="89"/>
        <v>813886.56967843988</v>
      </c>
      <c r="L31" s="39">
        <f t="shared" si="89"/>
        <v>722443.76967527799</v>
      </c>
      <c r="M31" s="39">
        <f t="shared" si="89"/>
        <v>621586.68981177255</v>
      </c>
      <c r="N31" s="39">
        <f t="shared" si="89"/>
        <v>547432.63176727423</v>
      </c>
      <c r="O31" s="39">
        <f t="shared" si="89"/>
        <v>489557.57881401043</v>
      </c>
      <c r="P31" s="39">
        <f t="shared" si="89"/>
        <v>447211.46454321005</v>
      </c>
      <c r="Q31" s="39">
        <f t="shared" si="89"/>
        <v>408351.33321839868</v>
      </c>
      <c r="R31" s="39">
        <f t="shared" si="89"/>
        <v>386884.58322405588</v>
      </c>
      <c r="S31" s="39">
        <f t="shared" si="89"/>
        <v>388229.7614186657</v>
      </c>
      <c r="T31" s="39">
        <f t="shared" si="89"/>
        <v>404271.11735769897</v>
      </c>
      <c r="U31" s="39">
        <f t="shared" si="89"/>
        <v>434306.65628485358</v>
      </c>
      <c r="V31" s="39">
        <f t="shared" si="89"/>
        <v>464902.80423691624</v>
      </c>
      <c r="W31" s="39">
        <f t="shared" si="89"/>
        <v>503431.77716751955</v>
      </c>
      <c r="X31" s="39">
        <f t="shared" si="89"/>
        <v>523364.6846052144</v>
      </c>
      <c r="Y31" s="39">
        <f t="shared" si="89"/>
        <v>558080.19571372075</v>
      </c>
      <c r="Z31" s="39">
        <f t="shared" si="89"/>
        <v>603972.27684342186</v>
      </c>
      <c r="AA31" s="39">
        <f t="shared" si="89"/>
        <v>616390.53720546013</v>
      </c>
      <c r="AB31" s="39">
        <f t="shared" si="89"/>
        <v>651330.55476811854</v>
      </c>
      <c r="AC31" s="39">
        <f t="shared" si="89"/>
        <v>684525.68250824022</v>
      </c>
      <c r="AD31" s="39">
        <f t="shared" si="89"/>
        <v>702758.17688419227</v>
      </c>
      <c r="AE31" s="39">
        <f t="shared" si="89"/>
        <v>722038.64404972398</v>
      </c>
      <c r="AF31" s="39">
        <f t="shared" si="89"/>
        <v>753165.59360979439</v>
      </c>
      <c r="AG31" s="39">
        <f t="shared" si="89"/>
        <v>759693</v>
      </c>
      <c r="AH31" s="39">
        <f t="shared" si="89"/>
        <v>780724.55705351953</v>
      </c>
      <c r="AI31" s="39">
        <f t="shared" ref="AI31:BN31" si="90">AI$24*AI12</f>
        <v>794853.34715158294</v>
      </c>
      <c r="AJ31" s="39">
        <f t="shared" si="90"/>
        <v>782011.41991320858</v>
      </c>
      <c r="AK31" s="39">
        <f t="shared" si="90"/>
        <v>791377.84448764811</v>
      </c>
      <c r="AL31" s="39">
        <f t="shared" si="90"/>
        <v>797179.07218166313</v>
      </c>
      <c r="AM31" s="39">
        <f t="shared" si="90"/>
        <v>808914.99394593644</v>
      </c>
      <c r="AN31" s="39">
        <f t="shared" si="90"/>
        <v>810434.06305902312</v>
      </c>
      <c r="AO31" s="39">
        <f t="shared" si="90"/>
        <v>772977.41598621453</v>
      </c>
      <c r="AP31" s="39">
        <f t="shared" si="90"/>
        <v>711971.63944778056</v>
      </c>
      <c r="AQ31" s="39">
        <f t="shared" si="90"/>
        <v>682651.78238758526</v>
      </c>
      <c r="AR31" s="39">
        <f t="shared" si="90"/>
        <v>674520.57457519649</v>
      </c>
      <c r="AS31" s="39">
        <f t="shared" si="90"/>
        <v>663671.57939023781</v>
      </c>
      <c r="AT31" s="39">
        <f t="shared" si="90"/>
        <v>645104.78899084684</v>
      </c>
      <c r="AU31" s="39">
        <f t="shared" si="90"/>
        <v>639852.7582013316</v>
      </c>
      <c r="AV31" s="39">
        <f t="shared" si="90"/>
        <v>762270.82673357381</v>
      </c>
      <c r="AW31" s="39">
        <f t="shared" si="90"/>
        <v>897238.39045627217</v>
      </c>
      <c r="AX31" s="39">
        <f t="shared" si="90"/>
        <v>987092.46982262388</v>
      </c>
      <c r="AY31" s="39">
        <f t="shared" si="90"/>
        <v>1132833.342598334</v>
      </c>
      <c r="AZ31" s="39">
        <f t="shared" si="90"/>
        <v>1261200.7383603517</v>
      </c>
      <c r="BA31" s="39">
        <f t="shared" si="90"/>
        <v>1276581.7603717474</v>
      </c>
      <c r="BB31" s="39">
        <f t="shared" si="90"/>
        <v>1277086.5217185118</v>
      </c>
      <c r="BC31" s="39">
        <f t="shared" si="90"/>
        <v>1284802.7962696287</v>
      </c>
      <c r="BD31" s="39">
        <f t="shared" si="90"/>
        <v>1273135.2828037164</v>
      </c>
      <c r="BE31" s="39">
        <f t="shared" si="90"/>
        <v>1248047.2831347859</v>
      </c>
      <c r="BF31" s="39">
        <f t="shared" si="90"/>
        <v>1239821.8126853106</v>
      </c>
      <c r="BG31" s="39">
        <f t="shared" si="90"/>
        <v>1214332.904427337</v>
      </c>
      <c r="BH31" s="39">
        <f t="shared" si="90"/>
        <v>1183319.8093930115</v>
      </c>
      <c r="BI31" s="39">
        <f t="shared" si="90"/>
        <v>1171464.4565355764</v>
      </c>
      <c r="BJ31" s="39">
        <f t="shared" si="90"/>
        <v>1158477.2534646352</v>
      </c>
      <c r="BK31" s="39">
        <f t="shared" si="90"/>
        <v>1114809.7930767247</v>
      </c>
      <c r="BL31" s="39">
        <f t="shared" si="90"/>
        <v>1076235.742351352</v>
      </c>
      <c r="BM31" s="39">
        <f t="shared" si="90"/>
        <v>1036880.715006912</v>
      </c>
      <c r="BN31" s="39">
        <f t="shared" si="90"/>
        <v>1041639.2737332557</v>
      </c>
      <c r="BO31" s="39">
        <f t="shared" ref="BO31:CO31" si="91">BO$24*BO12</f>
        <v>1027959.3922022954</v>
      </c>
      <c r="BP31" s="39">
        <f t="shared" si="91"/>
        <v>1144393.1387868156</v>
      </c>
      <c r="BQ31" s="39">
        <f t="shared" si="91"/>
        <v>1297423.3132160404</v>
      </c>
      <c r="BR31" s="39">
        <f t="shared" si="91"/>
        <v>1468472.931937231</v>
      </c>
      <c r="BS31" s="39">
        <f t="shared" si="91"/>
        <v>1655366.5799888261</v>
      </c>
      <c r="BT31" s="39">
        <f t="shared" si="91"/>
        <v>1907204.6182438922</v>
      </c>
      <c r="BU31" s="39">
        <f t="shared" si="91"/>
        <v>2069064.9959349406</v>
      </c>
      <c r="BV31" s="39">
        <f t="shared" si="91"/>
        <v>1586872.5845593852</v>
      </c>
      <c r="BW31" s="39">
        <f t="shared" si="91"/>
        <v>1535798.9269993808</v>
      </c>
      <c r="BX31" s="39">
        <f t="shared" si="91"/>
        <v>1527536.548094278</v>
      </c>
      <c r="BY31" s="39">
        <f t="shared" si="91"/>
        <v>1413961.6205026004</v>
      </c>
      <c r="BZ31" s="39">
        <f t="shared" si="91"/>
        <v>1370352.2958684759</v>
      </c>
      <c r="CA31" s="39">
        <f t="shared" si="91"/>
        <v>1324821.9351904939</v>
      </c>
      <c r="CB31" s="39">
        <f t="shared" si="91"/>
        <v>1476938.5450037119</v>
      </c>
      <c r="CC31" s="39">
        <f t="shared" si="91"/>
        <v>1558194.3424598109</v>
      </c>
      <c r="CD31" s="39">
        <f t="shared" si="91"/>
        <v>1602724.1054480118</v>
      </c>
      <c r="CE31" s="39">
        <f t="shared" si="91"/>
        <v>1511296.9438698797</v>
      </c>
      <c r="CF31" s="39">
        <f t="shared" si="91"/>
        <v>1422042.9942144861</v>
      </c>
      <c r="CG31" s="39">
        <f t="shared" si="91"/>
        <v>1330709.4425840026</v>
      </c>
      <c r="CH31" s="39">
        <f t="shared" si="91"/>
        <v>1212503.2408875641</v>
      </c>
      <c r="CI31" s="39">
        <f t="shared" si="91"/>
        <v>1127959.9690616981</v>
      </c>
      <c r="CJ31" s="39">
        <f t="shared" si="91"/>
        <v>1181776.7593057901</v>
      </c>
      <c r="CK31" s="39">
        <f t="shared" si="91"/>
        <v>1179341.900645579</v>
      </c>
      <c r="CL31" s="39">
        <f t="shared" si="91"/>
        <v>1145222.678727434</v>
      </c>
      <c r="CM31" s="39">
        <f t="shared" si="91"/>
        <v>1061371.1443396797</v>
      </c>
      <c r="CN31" s="39">
        <f t="shared" si="91"/>
        <v>969382.7059516767</v>
      </c>
      <c r="CO31" s="39">
        <f t="shared" si="91"/>
        <v>3824002.1727820821</v>
      </c>
      <c r="CQ31" s="39">
        <f t="shared" si="0"/>
        <v>96039312.494430974</v>
      </c>
    </row>
    <row r="32" spans="1:95" ht="18">
      <c r="B32" s="1117">
        <v>2018</v>
      </c>
      <c r="C32" s="39">
        <f t="shared" ref="C32:AH32" si="92">C$24*C13</f>
        <v>1637907.7539843849</v>
      </c>
      <c r="D32" s="39">
        <f t="shared" si="92"/>
        <v>1616493.8337712311</v>
      </c>
      <c r="E32" s="39">
        <f t="shared" si="92"/>
        <v>1567600.5330572745</v>
      </c>
      <c r="F32" s="39">
        <f t="shared" si="92"/>
        <v>1440370.4644206164</v>
      </c>
      <c r="G32" s="39">
        <f t="shared" si="92"/>
        <v>1310446.9183355905</v>
      </c>
      <c r="H32" s="39">
        <f t="shared" si="92"/>
        <v>1169555.7887016635</v>
      </c>
      <c r="I32" s="39">
        <f t="shared" si="92"/>
        <v>1071342.7808704455</v>
      </c>
      <c r="J32" s="39">
        <f t="shared" si="92"/>
        <v>946567.39191424299</v>
      </c>
      <c r="K32" s="39">
        <f t="shared" si="92"/>
        <v>823211.64067364915</v>
      </c>
      <c r="L32" s="39">
        <f t="shared" si="92"/>
        <v>717729.83360124996</v>
      </c>
      <c r="M32" s="39">
        <f t="shared" si="92"/>
        <v>646698.52431136917</v>
      </c>
      <c r="N32" s="39">
        <f t="shared" si="92"/>
        <v>560412.60965945316</v>
      </c>
      <c r="O32" s="39">
        <f t="shared" si="92"/>
        <v>499181.37948697922</v>
      </c>
      <c r="P32" s="39">
        <f t="shared" si="92"/>
        <v>455238.07988110621</v>
      </c>
      <c r="Q32" s="39">
        <f t="shared" si="92"/>
        <v>424291.65947772854</v>
      </c>
      <c r="R32" s="39">
        <f t="shared" si="92"/>
        <v>398662.88766047533</v>
      </c>
      <c r="S32" s="39">
        <f t="shared" si="92"/>
        <v>388809.27074335946</v>
      </c>
      <c r="T32" s="39">
        <f t="shared" si="92"/>
        <v>397531.79957167734</v>
      </c>
      <c r="U32" s="39">
        <f t="shared" si="92"/>
        <v>422993.52528668509</v>
      </c>
      <c r="V32" s="39">
        <f t="shared" si="92"/>
        <v>463389.25832929509</v>
      </c>
      <c r="W32" s="39">
        <f t="shared" si="92"/>
        <v>492475.99085557001</v>
      </c>
      <c r="X32" s="39">
        <f t="shared" si="92"/>
        <v>529880.44267466618</v>
      </c>
      <c r="Y32" s="39">
        <f t="shared" si="92"/>
        <v>553347.8228003144</v>
      </c>
      <c r="Z32" s="39">
        <f t="shared" si="92"/>
        <v>590073.99970110191</v>
      </c>
      <c r="AA32" s="39">
        <f t="shared" si="92"/>
        <v>617597.15150803712</v>
      </c>
      <c r="AB32" s="39">
        <f t="shared" si="92"/>
        <v>636280.55143860169</v>
      </c>
      <c r="AC32" s="39">
        <f t="shared" si="92"/>
        <v>677531.47496700182</v>
      </c>
      <c r="AD32" s="39">
        <f t="shared" si="92"/>
        <v>712670.54569577519</v>
      </c>
      <c r="AE32" s="39">
        <f t="shared" si="92"/>
        <v>731971.8408874186</v>
      </c>
      <c r="AF32" s="39">
        <f t="shared" si="92"/>
        <v>750313.02027700131</v>
      </c>
      <c r="AG32" s="39">
        <f t="shared" si="92"/>
        <v>778233</v>
      </c>
      <c r="AH32" s="39">
        <f t="shared" si="92"/>
        <v>781102.07014977408</v>
      </c>
      <c r="AI32" s="39">
        <f t="shared" ref="AI32:BN32" si="93">AI$24*AI13</f>
        <v>795300.24651340221</v>
      </c>
      <c r="AJ32" s="39">
        <f t="shared" si="93"/>
        <v>805834.28436089563</v>
      </c>
      <c r="AK32" s="39">
        <f t="shared" si="93"/>
        <v>789435.5579034345</v>
      </c>
      <c r="AL32" s="39">
        <f t="shared" si="93"/>
        <v>799753.45974941039</v>
      </c>
      <c r="AM32" s="39">
        <f t="shared" si="93"/>
        <v>800926.88849144103</v>
      </c>
      <c r="AN32" s="39">
        <f t="shared" si="93"/>
        <v>808064.64596785104</v>
      </c>
      <c r="AO32" s="39">
        <f t="shared" si="93"/>
        <v>805790.32095281081</v>
      </c>
      <c r="AP32" s="39">
        <f t="shared" si="93"/>
        <v>764091.40253007447</v>
      </c>
      <c r="AQ32" s="39">
        <f t="shared" si="93"/>
        <v>694926.66166262061</v>
      </c>
      <c r="AR32" s="39">
        <f t="shared" si="93"/>
        <v>662425.74877231009</v>
      </c>
      <c r="AS32" s="39">
        <f t="shared" si="93"/>
        <v>651085.7344877643</v>
      </c>
      <c r="AT32" s="39">
        <f t="shared" si="93"/>
        <v>637373.3041490342</v>
      </c>
      <c r="AU32" s="39">
        <f t="shared" si="93"/>
        <v>615510.17384249053</v>
      </c>
      <c r="AV32" s="39">
        <f t="shared" si="93"/>
        <v>734120.83414794749</v>
      </c>
      <c r="AW32" s="39">
        <f t="shared" si="93"/>
        <v>866326.93759080488</v>
      </c>
      <c r="AX32" s="39">
        <f t="shared" si="93"/>
        <v>1013352.0187110727</v>
      </c>
      <c r="AY32" s="39">
        <f t="shared" si="93"/>
        <v>1108001.5858091416</v>
      </c>
      <c r="AZ32" s="39">
        <f t="shared" si="93"/>
        <v>1264696.9782193997</v>
      </c>
      <c r="BA32" s="39">
        <f t="shared" si="93"/>
        <v>1265171.7845186109</v>
      </c>
      <c r="BB32" s="39">
        <f t="shared" si="93"/>
        <v>1279599.616873892</v>
      </c>
      <c r="BC32" s="39">
        <f t="shared" si="93"/>
        <v>1279305.1758590057</v>
      </c>
      <c r="BD32" s="39">
        <f t="shared" si="93"/>
        <v>1286786.6312303762</v>
      </c>
      <c r="BE32" s="39">
        <f t="shared" si="93"/>
        <v>1274609.944391822</v>
      </c>
      <c r="BF32" s="39">
        <f t="shared" si="93"/>
        <v>1265648.5320906409</v>
      </c>
      <c r="BG32" s="39">
        <f t="shared" si="93"/>
        <v>1256297.6680911032</v>
      </c>
      <c r="BH32" s="39">
        <f t="shared" si="93"/>
        <v>1229514.7622922887</v>
      </c>
      <c r="BI32" s="39">
        <f t="shared" si="93"/>
        <v>1197207.1200582669</v>
      </c>
      <c r="BJ32" s="39">
        <f t="shared" si="93"/>
        <v>1184404.4931188601</v>
      </c>
      <c r="BK32" s="39">
        <f t="shared" si="93"/>
        <v>1155344.7179521162</v>
      </c>
      <c r="BL32" s="39">
        <f t="shared" si="93"/>
        <v>1110999.2376049056</v>
      </c>
      <c r="BM32" s="39">
        <f t="shared" si="93"/>
        <v>1071646.6156925794</v>
      </c>
      <c r="BN32" s="39">
        <f t="shared" si="93"/>
        <v>1032240.518341348</v>
      </c>
      <c r="BO32" s="39">
        <f t="shared" ref="BO32:CO32" si="94">BO$24*BO13</f>
        <v>1036068.5154180763</v>
      </c>
      <c r="BP32" s="39">
        <f t="shared" si="94"/>
        <v>1167717.4640040225</v>
      </c>
      <c r="BQ32" s="39">
        <f t="shared" si="94"/>
        <v>1278387.3293265097</v>
      </c>
      <c r="BR32" s="39">
        <f t="shared" si="94"/>
        <v>1428931.7192277978</v>
      </c>
      <c r="BS32" s="39">
        <f t="shared" si="94"/>
        <v>1597922.2335277125</v>
      </c>
      <c r="BT32" s="39">
        <f t="shared" si="94"/>
        <v>1783726.7191002409</v>
      </c>
      <c r="BU32" s="39">
        <f t="shared" si="94"/>
        <v>1882221.3536632974</v>
      </c>
      <c r="BV32" s="39">
        <f t="shared" si="94"/>
        <v>2040688.9568122346</v>
      </c>
      <c r="BW32" s="39">
        <f t="shared" si="94"/>
        <v>1561996.1446147813</v>
      </c>
      <c r="BX32" s="39">
        <f t="shared" si="94"/>
        <v>1510568.577944709</v>
      </c>
      <c r="BY32" s="39">
        <f t="shared" si="94"/>
        <v>1501076.5834415196</v>
      </c>
      <c r="BZ32" s="39">
        <f t="shared" si="94"/>
        <v>1508443.3650980599</v>
      </c>
      <c r="CA32" s="39">
        <f t="shared" si="94"/>
        <v>1449453.6113648254</v>
      </c>
      <c r="CB32" s="39">
        <f t="shared" si="94"/>
        <v>1389086.848545806</v>
      </c>
      <c r="CC32" s="39">
        <f t="shared" si="94"/>
        <v>1536791.1418435669</v>
      </c>
      <c r="CD32" s="39">
        <f t="shared" si="94"/>
        <v>1608331.8980027256</v>
      </c>
      <c r="CE32" s="39">
        <f t="shared" si="94"/>
        <v>1549584.9136546166</v>
      </c>
      <c r="CF32" s="39">
        <f t="shared" si="94"/>
        <v>1453421.6227473759</v>
      </c>
      <c r="CG32" s="39">
        <f t="shared" si="94"/>
        <v>1358108.5091621391</v>
      </c>
      <c r="CH32" s="39">
        <f t="shared" si="94"/>
        <v>1261758.4762815514</v>
      </c>
      <c r="CI32" s="39">
        <f t="shared" si="94"/>
        <v>1137911.5628587925</v>
      </c>
      <c r="CJ32" s="39">
        <f t="shared" si="94"/>
        <v>1162615.0654851631</v>
      </c>
      <c r="CK32" s="39">
        <f t="shared" si="94"/>
        <v>1187747.0892693403</v>
      </c>
      <c r="CL32" s="39">
        <f t="shared" si="94"/>
        <v>1155003.6772496996</v>
      </c>
      <c r="CM32" s="39">
        <f t="shared" si="94"/>
        <v>1097763.7993406334</v>
      </c>
      <c r="CN32" s="39">
        <f t="shared" si="94"/>
        <v>992898.62279076455</v>
      </c>
      <c r="CO32" s="39">
        <f t="shared" si="94"/>
        <v>3833067.6579598179</v>
      </c>
      <c r="CQ32" s="39">
        <f t="shared" si="0"/>
        <v>96787000.905407295</v>
      </c>
    </row>
    <row r="33" spans="2:95" ht="18">
      <c r="B33" s="1117">
        <v>2019</v>
      </c>
      <c r="C33" s="39">
        <f t="shared" ref="C33:AH33" si="95">C$24*C14</f>
        <v>1596309.9318756952</v>
      </c>
      <c r="D33" s="39">
        <f t="shared" si="95"/>
        <v>1575205.9650412838</v>
      </c>
      <c r="E33" s="39">
        <f t="shared" si="95"/>
        <v>1523755.3058402441</v>
      </c>
      <c r="F33" s="39">
        <f t="shared" si="95"/>
        <v>1449836.6751300308</v>
      </c>
      <c r="G33" s="39">
        <f t="shared" si="95"/>
        <v>1300797.8130143813</v>
      </c>
      <c r="H33" s="39">
        <f t="shared" si="95"/>
        <v>1140426.6383347593</v>
      </c>
      <c r="I33" s="39">
        <f t="shared" si="95"/>
        <v>1041075.8507468062</v>
      </c>
      <c r="J33" s="39">
        <f t="shared" si="95"/>
        <v>948431.14028088446</v>
      </c>
      <c r="K33" s="39">
        <f t="shared" si="95"/>
        <v>835636.25177015411</v>
      </c>
      <c r="L33" s="39">
        <f t="shared" si="95"/>
        <v>725832.93628473068</v>
      </c>
      <c r="M33" s="39">
        <f t="shared" si="95"/>
        <v>642956.19060342072</v>
      </c>
      <c r="N33" s="39">
        <f t="shared" si="95"/>
        <v>583902.37750734948</v>
      </c>
      <c r="O33" s="39">
        <f t="shared" si="95"/>
        <v>511405.26481591602</v>
      </c>
      <c r="P33" s="39">
        <f t="shared" si="95"/>
        <v>462224.03562357428</v>
      </c>
      <c r="Q33" s="39">
        <f t="shared" si="95"/>
        <v>431489.23397681548</v>
      </c>
      <c r="R33" s="39">
        <f t="shared" si="95"/>
        <v>413987.97899059748</v>
      </c>
      <c r="S33" s="39">
        <f t="shared" si="95"/>
        <v>400408.53232733055</v>
      </c>
      <c r="T33" s="39">
        <f t="shared" si="95"/>
        <v>399108.33261823212</v>
      </c>
      <c r="U33" s="39">
        <f t="shared" si="95"/>
        <v>417410.78064716223</v>
      </c>
      <c r="V33" s="39">
        <f t="shared" si="95"/>
        <v>452059.70595282956</v>
      </c>
      <c r="W33" s="39">
        <f t="shared" si="95"/>
        <v>491142.91221094551</v>
      </c>
      <c r="X33" s="39">
        <f t="shared" si="95"/>
        <v>518387.12936913443</v>
      </c>
      <c r="Y33" s="39">
        <f t="shared" si="95"/>
        <v>560231.27431072353</v>
      </c>
      <c r="Z33" s="39">
        <f t="shared" si="95"/>
        <v>583131.73385992681</v>
      </c>
      <c r="AA33" s="39">
        <f t="shared" si="95"/>
        <v>600670.19628139993</v>
      </c>
      <c r="AB33" s="39">
        <f t="shared" si="95"/>
        <v>637334.99919685873</v>
      </c>
      <c r="AC33" s="39">
        <f t="shared" si="95"/>
        <v>661423.93013051804</v>
      </c>
      <c r="AD33" s="39">
        <f t="shared" si="95"/>
        <v>706829.85871718987</v>
      </c>
      <c r="AE33" s="39">
        <f t="shared" si="95"/>
        <v>742173.39925875352</v>
      </c>
      <c r="AF33" s="39">
        <f t="shared" si="95"/>
        <v>761409.73632665747</v>
      </c>
      <c r="AG33" s="39">
        <f t="shared" si="95"/>
        <v>776244</v>
      </c>
      <c r="AH33" s="39">
        <f t="shared" si="95"/>
        <v>802407.6475335469</v>
      </c>
      <c r="AI33" s="39">
        <f t="shared" ref="AI33:BN33" si="96">AI$24*AI14</f>
        <v>799314.0839686339</v>
      </c>
      <c r="AJ33" s="39">
        <f t="shared" si="96"/>
        <v>807842.21001708892</v>
      </c>
      <c r="AK33" s="39">
        <f t="shared" si="96"/>
        <v>814330.4224898516</v>
      </c>
      <c r="AL33" s="39">
        <f t="shared" si="96"/>
        <v>798142.74667226372</v>
      </c>
      <c r="AM33" s="39">
        <f t="shared" si="96"/>
        <v>803506.67983383092</v>
      </c>
      <c r="AN33" s="39">
        <f t="shared" si="96"/>
        <v>799790.79435109661</v>
      </c>
      <c r="AO33" s="39">
        <f t="shared" si="96"/>
        <v>802863.61063903139</v>
      </c>
      <c r="AP33" s="39">
        <f t="shared" si="96"/>
        <v>796620.65513572958</v>
      </c>
      <c r="AQ33" s="39">
        <f t="shared" si="96"/>
        <v>745804.73388318333</v>
      </c>
      <c r="AR33" s="39">
        <f t="shared" si="96"/>
        <v>674408.00026579667</v>
      </c>
      <c r="AS33" s="39">
        <f t="shared" si="96"/>
        <v>638602.77893881954</v>
      </c>
      <c r="AT33" s="39">
        <f t="shared" si="96"/>
        <v>624741.80120196973</v>
      </c>
      <c r="AU33" s="39">
        <f t="shared" si="96"/>
        <v>607964.32118923636</v>
      </c>
      <c r="AV33" s="39">
        <f t="shared" si="96"/>
        <v>705750.03771630779</v>
      </c>
      <c r="AW33" s="39">
        <f t="shared" si="96"/>
        <v>833873.37558198115</v>
      </c>
      <c r="AX33" s="39">
        <f t="shared" si="96"/>
        <v>977055.14493759058</v>
      </c>
      <c r="AY33" s="39">
        <f t="shared" si="96"/>
        <v>1135961.9340390891</v>
      </c>
      <c r="AZ33" s="39">
        <f t="shared" si="96"/>
        <v>1235534.9041311955</v>
      </c>
      <c r="BA33" s="39">
        <f t="shared" si="96"/>
        <v>1266830.744482591</v>
      </c>
      <c r="BB33" s="39">
        <f t="shared" si="96"/>
        <v>1267237.5129592761</v>
      </c>
      <c r="BC33" s="39">
        <f t="shared" si="96"/>
        <v>1280548.8201816443</v>
      </c>
      <c r="BD33" s="39">
        <f t="shared" si="96"/>
        <v>1279793.6053284071</v>
      </c>
      <c r="BE33" s="39">
        <f t="shared" si="96"/>
        <v>1286511.216544057</v>
      </c>
      <c r="BF33" s="39">
        <f t="shared" si="96"/>
        <v>1290739.0507116897</v>
      </c>
      <c r="BG33" s="39">
        <f t="shared" si="96"/>
        <v>1280863.5180507165</v>
      </c>
      <c r="BH33" s="39">
        <f t="shared" si="96"/>
        <v>1270853.0414819445</v>
      </c>
      <c r="BI33" s="39">
        <f t="shared" si="96"/>
        <v>1242729.9983515884</v>
      </c>
      <c r="BJ33" s="39">
        <f t="shared" si="96"/>
        <v>1209196.0782832159</v>
      </c>
      <c r="BK33" s="39">
        <f t="shared" si="96"/>
        <v>1180551.7422760541</v>
      </c>
      <c r="BL33" s="39">
        <f t="shared" si="96"/>
        <v>1150857.8432767517</v>
      </c>
      <c r="BM33" s="39">
        <f t="shared" si="96"/>
        <v>1105834.1260407805</v>
      </c>
      <c r="BN33" s="39">
        <f t="shared" si="96"/>
        <v>1065841.7852359691</v>
      </c>
      <c r="BO33" s="39">
        <f t="shared" ref="BO33:CO33" si="97">BO$24*BO14</f>
        <v>1026236.2259793985</v>
      </c>
      <c r="BP33" s="39">
        <f t="shared" si="97"/>
        <v>1177648.500185268</v>
      </c>
      <c r="BQ33" s="39">
        <f t="shared" si="97"/>
        <v>1303897.4094483966</v>
      </c>
      <c r="BR33" s="39">
        <f t="shared" si="97"/>
        <v>1407556.7597879253</v>
      </c>
      <c r="BS33" s="39">
        <f t="shared" si="97"/>
        <v>1555590.1601933767</v>
      </c>
      <c r="BT33" s="39">
        <f t="shared" si="97"/>
        <v>1721472.8882203863</v>
      </c>
      <c r="BU33" s="39">
        <f t="shared" si="97"/>
        <v>1760626.3845401516</v>
      </c>
      <c r="BV33" s="39">
        <f t="shared" si="97"/>
        <v>1856608.9429764547</v>
      </c>
      <c r="BW33" s="39">
        <f t="shared" si="97"/>
        <v>2011607.7371453443</v>
      </c>
      <c r="BX33" s="39">
        <f t="shared" si="97"/>
        <v>1537522.5279259393</v>
      </c>
      <c r="BY33" s="39">
        <f t="shared" si="97"/>
        <v>1485645.2243868944</v>
      </c>
      <c r="BZ33" s="39">
        <f t="shared" si="97"/>
        <v>1604404.8380774213</v>
      </c>
      <c r="CA33" s="39">
        <f t="shared" si="97"/>
        <v>1597746.1887582273</v>
      </c>
      <c r="CB33" s="39">
        <f t="shared" si="97"/>
        <v>1524090.4240799719</v>
      </c>
      <c r="CC33" s="39">
        <f t="shared" si="97"/>
        <v>1447761.3911807642</v>
      </c>
      <c r="CD33" s="39">
        <f t="shared" si="97"/>
        <v>1589403.2379485145</v>
      </c>
      <c r="CE33" s="39">
        <f t="shared" si="97"/>
        <v>1559266.6000849872</v>
      </c>
      <c r="CF33" s="39">
        <f t="shared" si="97"/>
        <v>1495923.5604421245</v>
      </c>
      <c r="CG33" s="39">
        <f t="shared" si="97"/>
        <v>1394422.8742230032</v>
      </c>
      <c r="CH33" s="39">
        <f t="shared" si="97"/>
        <v>1292490.6699480328</v>
      </c>
      <c r="CI33" s="39">
        <f t="shared" si="97"/>
        <v>1190433.3111405617</v>
      </c>
      <c r="CJ33" s="39">
        <f t="shared" si="97"/>
        <v>1178947.254764247</v>
      </c>
      <c r="CK33" s="39">
        <f t="shared" si="97"/>
        <v>1178126.2488212511</v>
      </c>
      <c r="CL33" s="39">
        <f t="shared" si="97"/>
        <v>1177734.2613240925</v>
      </c>
      <c r="CM33" s="39">
        <f t="shared" si="97"/>
        <v>1117208.6446111971</v>
      </c>
      <c r="CN33" s="39">
        <f t="shared" si="97"/>
        <v>1037985.8258000194</v>
      </c>
      <c r="CO33" s="39">
        <f t="shared" si="97"/>
        <v>3946241.0179405748</v>
      </c>
      <c r="CQ33" s="39">
        <f t="shared" si="0"/>
        <v>97650744.186709747</v>
      </c>
    </row>
    <row r="34" spans="2:95" ht="18">
      <c r="B34" s="1117">
        <v>2020</v>
      </c>
      <c r="C34" s="39">
        <f t="shared" ref="C34:AH34" si="98">C$24*C15</f>
        <v>1556311.626522246</v>
      </c>
      <c r="D34" s="39">
        <f t="shared" si="98"/>
        <v>1539187.2386138197</v>
      </c>
      <c r="E34" s="39">
        <f t="shared" si="98"/>
        <v>1481696.1553766862</v>
      </c>
      <c r="F34" s="39">
        <f t="shared" si="98"/>
        <v>1405696.1095565972</v>
      </c>
      <c r="G34" s="39">
        <f t="shared" si="98"/>
        <v>1307405.1584224887</v>
      </c>
      <c r="H34" s="39">
        <f t="shared" si="98"/>
        <v>1129829.9762621836</v>
      </c>
      <c r="I34" s="39">
        <f t="shared" si="98"/>
        <v>1013360.1620116535</v>
      </c>
      <c r="J34" s="39">
        <f t="shared" si="98"/>
        <v>920903.01791741792</v>
      </c>
      <c r="K34" s="39">
        <f t="shared" si="98"/>
        <v>835133.68863503321</v>
      </c>
      <c r="L34" s="39">
        <f t="shared" si="98"/>
        <v>735558.14087651321</v>
      </c>
      <c r="M34" s="39">
        <f t="shared" si="98"/>
        <v>649013.13596297556</v>
      </c>
      <c r="N34" s="39">
        <f t="shared" si="98"/>
        <v>579690.63046751067</v>
      </c>
      <c r="O34" s="39">
        <f t="shared" si="98"/>
        <v>532502.76245806692</v>
      </c>
      <c r="P34" s="39">
        <f t="shared" si="98"/>
        <v>473162.06269954023</v>
      </c>
      <c r="Q34" s="39">
        <f t="shared" si="98"/>
        <v>436006.83901771792</v>
      </c>
      <c r="R34" s="39">
        <f t="shared" si="98"/>
        <v>419788.4941236283</v>
      </c>
      <c r="S34" s="39">
        <f t="shared" si="98"/>
        <v>414478.81130026421</v>
      </c>
      <c r="T34" s="39">
        <f t="shared" si="98"/>
        <v>409592.08047527558</v>
      </c>
      <c r="U34" s="39">
        <f t="shared" si="98"/>
        <v>418858.88298814703</v>
      </c>
      <c r="V34" s="39">
        <f t="shared" si="98"/>
        <v>448407.04315219034</v>
      </c>
      <c r="W34" s="39">
        <f t="shared" si="98"/>
        <v>476179.90311049781</v>
      </c>
      <c r="X34" s="39">
        <f t="shared" si="98"/>
        <v>509150.39794372773</v>
      </c>
      <c r="Y34" s="39">
        <f t="shared" si="98"/>
        <v>535762.75526981603</v>
      </c>
      <c r="Z34" s="39">
        <f t="shared" si="98"/>
        <v>578487.38550310058</v>
      </c>
      <c r="AA34" s="39">
        <f t="shared" si="98"/>
        <v>588253.79993724322</v>
      </c>
      <c r="AB34" s="39">
        <f t="shared" si="98"/>
        <v>618986.91277185362</v>
      </c>
      <c r="AC34" s="39">
        <f t="shared" si="98"/>
        <v>661790.01069498365</v>
      </c>
      <c r="AD34" s="39">
        <f t="shared" si="98"/>
        <v>687840.43307252822</v>
      </c>
      <c r="AE34" s="39">
        <f t="shared" si="98"/>
        <v>733643.13157734892</v>
      </c>
      <c r="AF34" s="39">
        <f t="shared" si="98"/>
        <v>767971.34094238491</v>
      </c>
      <c r="AG34" s="39">
        <f t="shared" si="98"/>
        <v>784411</v>
      </c>
      <c r="AH34" s="39">
        <f t="shared" si="98"/>
        <v>796692.0382029207</v>
      </c>
      <c r="AI34" s="39">
        <f t="shared" ref="AI34:BN34" si="99">AI$24*AI15</f>
        <v>819376.04654379305</v>
      </c>
      <c r="AJ34" s="39">
        <f t="shared" si="99"/>
        <v>811021.51256258355</v>
      </c>
      <c r="AK34" s="39">
        <f t="shared" si="99"/>
        <v>814546.6987257154</v>
      </c>
      <c r="AL34" s="39">
        <f t="shared" si="99"/>
        <v>820884.40566748031</v>
      </c>
      <c r="AM34" s="39">
        <f t="shared" si="99"/>
        <v>799879.87799607473</v>
      </c>
      <c r="AN34" s="39">
        <f t="shared" si="99"/>
        <v>800716.48059818544</v>
      </c>
      <c r="AO34" s="39">
        <f t="shared" si="99"/>
        <v>792367.53098399262</v>
      </c>
      <c r="AP34" s="39">
        <f t="shared" si="99"/>
        <v>791646.94179275667</v>
      </c>
      <c r="AQ34" s="39">
        <f t="shared" si="99"/>
        <v>775852.954601879</v>
      </c>
      <c r="AR34" s="39">
        <f t="shared" si="99"/>
        <v>722326.14380637987</v>
      </c>
      <c r="AS34" s="39">
        <f t="shared" si="99"/>
        <v>649046.04832197854</v>
      </c>
      <c r="AT34" s="39">
        <f t="shared" si="99"/>
        <v>610898.77037730615</v>
      </c>
      <c r="AU34" s="39">
        <f t="shared" si="99"/>
        <v>594534.08003349067</v>
      </c>
      <c r="AV34" s="39">
        <f t="shared" si="99"/>
        <v>695662.99866947613</v>
      </c>
      <c r="AW34" s="39">
        <f t="shared" si="99"/>
        <v>800288.78212486359</v>
      </c>
      <c r="AX34" s="39">
        <f t="shared" si="99"/>
        <v>938568.0530552573</v>
      </c>
      <c r="AY34" s="39">
        <f t="shared" si="99"/>
        <v>1093022.8791778055</v>
      </c>
      <c r="AZ34" s="39">
        <f t="shared" si="99"/>
        <v>1264149.8383424217</v>
      </c>
      <c r="BA34" s="39">
        <f t="shared" si="99"/>
        <v>1235773.9197834814</v>
      </c>
      <c r="BB34" s="39">
        <f t="shared" si="99"/>
        <v>1266711.3286171732</v>
      </c>
      <c r="BC34" s="39">
        <f t="shared" si="99"/>
        <v>1267033.9041442184</v>
      </c>
      <c r="BD34" s="39">
        <f t="shared" si="99"/>
        <v>1279575.8856558085</v>
      </c>
      <c r="BE34" s="39">
        <f t="shared" si="99"/>
        <v>1277917.8459256419</v>
      </c>
      <c r="BF34" s="39">
        <f t="shared" si="99"/>
        <v>1301914.7112658708</v>
      </c>
      <c r="BG34" s="39">
        <f t="shared" si="99"/>
        <v>1304785.3384526763</v>
      </c>
      <c r="BH34" s="39">
        <f t="shared" si="99"/>
        <v>1293722.5935831782</v>
      </c>
      <c r="BI34" s="39">
        <f t="shared" si="99"/>
        <v>1282997.4238605306</v>
      </c>
      <c r="BJ34" s="39">
        <f t="shared" si="99"/>
        <v>1253916.4539193253</v>
      </c>
      <c r="BK34" s="39">
        <f t="shared" si="99"/>
        <v>1204270.1558160277</v>
      </c>
      <c r="BL34" s="39">
        <f t="shared" si="99"/>
        <v>1174989.7668785837</v>
      </c>
      <c r="BM34" s="39">
        <f t="shared" si="99"/>
        <v>1144580.923184935</v>
      </c>
      <c r="BN34" s="39">
        <f t="shared" si="99"/>
        <v>1099403.6518602737</v>
      </c>
      <c r="BO34" s="39">
        <f t="shared" ref="BO34:CO34" si="100">BO$24*BO15</f>
        <v>1058744.592303331</v>
      </c>
      <c r="BP34" s="39">
        <f t="shared" si="100"/>
        <v>1165447.1004584346</v>
      </c>
      <c r="BQ34" s="39">
        <f t="shared" si="100"/>
        <v>1313957.6244061522</v>
      </c>
      <c r="BR34" s="39">
        <f t="shared" si="100"/>
        <v>1433915.8403631046</v>
      </c>
      <c r="BS34" s="39">
        <f t="shared" si="100"/>
        <v>1530329.7286051663</v>
      </c>
      <c r="BT34" s="39">
        <f t="shared" si="100"/>
        <v>1674631.1711608628</v>
      </c>
      <c r="BU34" s="39">
        <f t="shared" si="100"/>
        <v>1697112.5496400693</v>
      </c>
      <c r="BV34" s="39">
        <f t="shared" si="100"/>
        <v>1733076.6195069563</v>
      </c>
      <c r="BW34" s="39">
        <f t="shared" si="100"/>
        <v>1826656.8255378525</v>
      </c>
      <c r="BX34" s="39">
        <f t="shared" si="100"/>
        <v>1977145.2031665235</v>
      </c>
      <c r="BY34" s="39">
        <f t="shared" si="100"/>
        <v>1508127.1181819951</v>
      </c>
      <c r="BZ34" s="39">
        <f t="shared" si="100"/>
        <v>1583499.4904564659</v>
      </c>
      <c r="CA34" s="39">
        <f t="shared" si="100"/>
        <v>1694335.4549937181</v>
      </c>
      <c r="CB34" s="39">
        <f t="shared" si="100"/>
        <v>1672471.5190543297</v>
      </c>
      <c r="CC34" s="39">
        <f t="shared" si="100"/>
        <v>1581937.0751754676</v>
      </c>
      <c r="CD34" s="39">
        <f t="shared" si="100"/>
        <v>1488793.3974508944</v>
      </c>
      <c r="CE34" s="39">
        <f t="shared" si="100"/>
        <v>1530059.3844694255</v>
      </c>
      <c r="CF34" s="39">
        <f t="shared" si="100"/>
        <v>1494559.0626125596</v>
      </c>
      <c r="CG34" s="39">
        <f t="shared" si="100"/>
        <v>1423976.4306477036</v>
      </c>
      <c r="CH34" s="39">
        <f t="shared" si="100"/>
        <v>1318248.5822678562</v>
      </c>
      <c r="CI34" s="39">
        <f t="shared" si="100"/>
        <v>1207453.4196127155</v>
      </c>
      <c r="CJ34" s="39">
        <f t="shared" si="100"/>
        <v>1219588.7237293187</v>
      </c>
      <c r="CK34" s="39">
        <f t="shared" si="100"/>
        <v>1179415.57651372</v>
      </c>
      <c r="CL34" s="39">
        <f t="shared" si="100"/>
        <v>1150667.0094079813</v>
      </c>
      <c r="CM34" s="39">
        <f t="shared" si="100"/>
        <v>1123527.6733251056</v>
      </c>
      <c r="CN34" s="39">
        <f t="shared" si="100"/>
        <v>1036205.861437741</v>
      </c>
      <c r="CO34" s="39">
        <f t="shared" si="100"/>
        <v>3936547.6203695759</v>
      </c>
      <c r="CQ34" s="39">
        <f t="shared" si="0"/>
        <v>97988565.727050513</v>
      </c>
    </row>
    <row r="35" spans="2:95" ht="18">
      <c r="B35" s="1117">
        <v>2021</v>
      </c>
      <c r="C35" s="39">
        <f t="shared" ref="C35:AH35" si="101">C$24*C16</f>
        <v>1504379.2643391127</v>
      </c>
      <c r="D35" s="39">
        <f t="shared" si="101"/>
        <v>1506211.9607777759</v>
      </c>
      <c r="E35" s="39">
        <f t="shared" si="101"/>
        <v>1453310.5461516324</v>
      </c>
      <c r="F35" s="39">
        <f t="shared" si="101"/>
        <v>1367493.5793320385</v>
      </c>
      <c r="G35" s="39">
        <f t="shared" si="101"/>
        <v>1268822.626452324</v>
      </c>
      <c r="H35" s="39">
        <f t="shared" si="101"/>
        <v>1137938.6963014037</v>
      </c>
      <c r="I35" s="39">
        <f t="shared" si="101"/>
        <v>1005096.7265668691</v>
      </c>
      <c r="J35" s="39">
        <f t="shared" si="101"/>
        <v>896841.98560250248</v>
      </c>
      <c r="K35" s="39">
        <f t="shared" si="101"/>
        <v>811984.52451154694</v>
      </c>
      <c r="L35" s="39">
        <f t="shared" si="101"/>
        <v>735003.68464693055</v>
      </c>
      <c r="M35" s="39">
        <f t="shared" si="101"/>
        <v>658507.01488200307</v>
      </c>
      <c r="N35" s="39">
        <f t="shared" si="101"/>
        <v>585692.45511947176</v>
      </c>
      <c r="O35" s="39">
        <f t="shared" si="101"/>
        <v>529402.81055825413</v>
      </c>
      <c r="P35" s="39">
        <f t="shared" si="101"/>
        <v>493740.33626859821</v>
      </c>
      <c r="Q35" s="39">
        <f t="shared" si="101"/>
        <v>446934.94178447133</v>
      </c>
      <c r="R35" s="39">
        <f t="shared" si="101"/>
        <v>423437.60471125069</v>
      </c>
      <c r="S35" s="39">
        <f t="shared" si="101"/>
        <v>420456.7027905616</v>
      </c>
      <c r="T35" s="39">
        <f t="shared" si="101"/>
        <v>424279.04133404122</v>
      </c>
      <c r="U35" s="39">
        <f t="shared" si="101"/>
        <v>430860.33451245399</v>
      </c>
      <c r="V35" s="39">
        <f t="shared" si="101"/>
        <v>451336.87057484867</v>
      </c>
      <c r="W35" s="39">
        <f t="shared" si="101"/>
        <v>474098.96444192814</v>
      </c>
      <c r="X35" s="39">
        <f t="shared" si="101"/>
        <v>498325.86847879243</v>
      </c>
      <c r="Y35" s="39">
        <f t="shared" si="101"/>
        <v>534462.75559597521</v>
      </c>
      <c r="Z35" s="39">
        <f t="shared" si="101"/>
        <v>562535.37493001134</v>
      </c>
      <c r="AA35" s="39">
        <f t="shared" si="101"/>
        <v>596900.36451244587</v>
      </c>
      <c r="AB35" s="39">
        <f t="shared" si="101"/>
        <v>612462.02829248249</v>
      </c>
      <c r="AC35" s="39">
        <f t="shared" si="101"/>
        <v>647943.71042623057</v>
      </c>
      <c r="AD35" s="39">
        <f t="shared" si="101"/>
        <v>691093.50916659168</v>
      </c>
      <c r="AE35" s="39">
        <f t="shared" si="101"/>
        <v>716469.90347087593</v>
      </c>
      <c r="AF35" s="39">
        <f t="shared" si="101"/>
        <v>760922.71161130257</v>
      </c>
      <c r="AG35" s="39">
        <f t="shared" si="101"/>
        <v>790324</v>
      </c>
      <c r="AH35" s="39">
        <f t="shared" si="101"/>
        <v>806118.67249861616</v>
      </c>
      <c r="AI35" s="39">
        <f t="shared" ref="AI35:BN35" si="102">AI$24*AI16</f>
        <v>814038.02460538771</v>
      </c>
      <c r="AJ35" s="39">
        <f t="shared" si="102"/>
        <v>833843.02187783143</v>
      </c>
      <c r="AK35" s="39">
        <f t="shared" si="102"/>
        <v>821025.53683986771</v>
      </c>
      <c r="AL35" s="39">
        <f t="shared" si="102"/>
        <v>822532.18314811168</v>
      </c>
      <c r="AM35" s="39">
        <f t="shared" si="102"/>
        <v>823492.35631492501</v>
      </c>
      <c r="AN35" s="39">
        <f t="shared" si="102"/>
        <v>797325.83624818362</v>
      </c>
      <c r="AO35" s="39">
        <f t="shared" si="102"/>
        <v>792888.53815336456</v>
      </c>
      <c r="AP35" s="39">
        <f t="shared" si="102"/>
        <v>780565.5251409359</v>
      </c>
      <c r="AQ35" s="39">
        <f t="shared" si="102"/>
        <v>770845.93529547565</v>
      </c>
      <c r="AR35" s="39">
        <f t="shared" si="102"/>
        <v>751388.09052249254</v>
      </c>
      <c r="AS35" s="39">
        <f t="shared" si="102"/>
        <v>695334.82525948389</v>
      </c>
      <c r="AT35" s="39">
        <f t="shared" si="102"/>
        <v>620978.38994417887</v>
      </c>
      <c r="AU35" s="39">
        <f t="shared" si="102"/>
        <v>581425.32827031508</v>
      </c>
      <c r="AV35" s="39">
        <f t="shared" si="102"/>
        <v>680895.11790964857</v>
      </c>
      <c r="AW35" s="39">
        <f t="shared" si="102"/>
        <v>790183.31138353178</v>
      </c>
      <c r="AX35" s="39">
        <f t="shared" si="102"/>
        <v>902631.30291465227</v>
      </c>
      <c r="AY35" s="39">
        <f t="shared" si="102"/>
        <v>1052017.6273899663</v>
      </c>
      <c r="AZ35" s="39">
        <f t="shared" si="102"/>
        <v>1218267.1054331346</v>
      </c>
      <c r="BA35" s="39">
        <f t="shared" si="102"/>
        <v>1266528.2377190331</v>
      </c>
      <c r="BB35" s="39">
        <f t="shared" si="102"/>
        <v>1238432.955385149</v>
      </c>
      <c r="BC35" s="39">
        <f t="shared" si="102"/>
        <v>1269451.5616620565</v>
      </c>
      <c r="BD35" s="39">
        <f t="shared" si="102"/>
        <v>1269666.3910052257</v>
      </c>
      <c r="BE35" s="39">
        <f t="shared" si="102"/>
        <v>1281242.050571999</v>
      </c>
      <c r="BF35" s="39">
        <f t="shared" si="102"/>
        <v>1296348.4364171489</v>
      </c>
      <c r="BG35" s="39">
        <f t="shared" si="102"/>
        <v>1319768.2983450023</v>
      </c>
      <c r="BH35" s="39">
        <f t="shared" si="102"/>
        <v>1321486.5211659498</v>
      </c>
      <c r="BI35" s="39">
        <f t="shared" si="102"/>
        <v>1309689.1336945156</v>
      </c>
      <c r="BJ35" s="39">
        <f t="shared" si="102"/>
        <v>1297154.4643490326</v>
      </c>
      <c r="BK35" s="39">
        <f t="shared" si="102"/>
        <v>1251233.2533616258</v>
      </c>
      <c r="BL35" s="39">
        <f t="shared" si="102"/>
        <v>1201606.0684559436</v>
      </c>
      <c r="BM35" s="39">
        <f t="shared" si="102"/>
        <v>1171181.5232422973</v>
      </c>
      <c r="BN35" s="39">
        <f t="shared" si="102"/>
        <v>1139865.9385541324</v>
      </c>
      <c r="BO35" s="39">
        <f t="shared" ref="BO35:CO35" si="103">BO$24*BO16</f>
        <v>1094242.8945969201</v>
      </c>
      <c r="BP35" s="39">
        <f t="shared" si="103"/>
        <v>1204327.8494612139</v>
      </c>
      <c r="BQ35" s="39">
        <f t="shared" si="103"/>
        <v>1302426.6586148778</v>
      </c>
      <c r="BR35" s="39">
        <f t="shared" si="103"/>
        <v>1447761.4852434003</v>
      </c>
      <c r="BS35" s="39">
        <f t="shared" si="103"/>
        <v>1560634.2490880827</v>
      </c>
      <c r="BT35" s="39">
        <f t="shared" si="103"/>
        <v>1649367.6616469128</v>
      </c>
      <c r="BU35" s="39">
        <f t="shared" si="103"/>
        <v>1653207.0756991</v>
      </c>
      <c r="BV35" s="39">
        <f t="shared" si="103"/>
        <v>1672431.8273092546</v>
      </c>
      <c r="BW35" s="39">
        <f t="shared" si="103"/>
        <v>1706895.8730270222</v>
      </c>
      <c r="BX35" s="39">
        <f t="shared" si="103"/>
        <v>1797772.670868323</v>
      </c>
      <c r="BY35" s="39">
        <f t="shared" si="103"/>
        <v>1943999.6643526044</v>
      </c>
      <c r="BZ35" s="39">
        <f t="shared" si="103"/>
        <v>1609479.5236879468</v>
      </c>
      <c r="CA35" s="39">
        <f t="shared" si="103"/>
        <v>1674754.4095705098</v>
      </c>
      <c r="CB35" s="39">
        <f t="shared" si="103"/>
        <v>1776949.2113021512</v>
      </c>
      <c r="CC35" s="39">
        <f t="shared" si="103"/>
        <v>1738967.1733067275</v>
      </c>
      <c r="CD35" s="39">
        <f t="shared" si="103"/>
        <v>1631570.2504832447</v>
      </c>
      <c r="CE35" s="39">
        <f t="shared" si="103"/>
        <v>1437053.1937902835</v>
      </c>
      <c r="CF35" s="39">
        <f t="shared" si="103"/>
        <v>1471430.1011693708</v>
      </c>
      <c r="CG35" s="39">
        <f t="shared" si="103"/>
        <v>1428348.77768926</v>
      </c>
      <c r="CH35" s="39">
        <f t="shared" si="103"/>
        <v>1350083.9828864678</v>
      </c>
      <c r="CI35" s="39">
        <f t="shared" si="103"/>
        <v>1237909.6709587688</v>
      </c>
      <c r="CJ35" s="39">
        <f t="shared" si="103"/>
        <v>1244448.3392691631</v>
      </c>
      <c r="CK35" s="39">
        <f t="shared" si="103"/>
        <v>1228508.2633183911</v>
      </c>
      <c r="CL35" s="39">
        <f t="shared" si="103"/>
        <v>1162696.8991484751</v>
      </c>
      <c r="CM35" s="39">
        <f t="shared" si="103"/>
        <v>1107351.5422164598</v>
      </c>
      <c r="CN35" s="39">
        <f t="shared" si="103"/>
        <v>1059149.3668299287</v>
      </c>
      <c r="CO35" s="39">
        <f t="shared" si="103"/>
        <v>3998514.7246797276</v>
      </c>
      <c r="CQ35" s="39">
        <f t="shared" si="0"/>
        <v>98617005.801438555</v>
      </c>
    </row>
    <row r="36" spans="2:95" ht="18">
      <c r="B36" s="1117">
        <v>2022</v>
      </c>
      <c r="C36" s="39">
        <f t="shared" ref="C36:AH36" si="104">C$24*C17</f>
        <v>1548378.9581987723</v>
      </c>
      <c r="D36" s="39">
        <f t="shared" si="104"/>
        <v>1481874.3751642175</v>
      </c>
      <c r="E36" s="39">
        <f t="shared" si="104"/>
        <v>1456154.0749697434</v>
      </c>
      <c r="F36" s="39">
        <f t="shared" si="104"/>
        <v>1375319.5941622215</v>
      </c>
      <c r="G36" s="39">
        <f t="shared" si="104"/>
        <v>1261485.0999300473</v>
      </c>
      <c r="H36" s="39">
        <f t="shared" si="104"/>
        <v>1126033.2280305999</v>
      </c>
      <c r="I36" s="39">
        <f t="shared" si="104"/>
        <v>1031714.6270642481</v>
      </c>
      <c r="J36" s="39">
        <f t="shared" si="104"/>
        <v>905781.70618777559</v>
      </c>
      <c r="K36" s="39">
        <f t="shared" si="104"/>
        <v>804036.09176924056</v>
      </c>
      <c r="L36" s="39">
        <f t="shared" si="104"/>
        <v>725898.53988441406</v>
      </c>
      <c r="M36" s="39">
        <f t="shared" si="104"/>
        <v>666472.00203606009</v>
      </c>
      <c r="N36" s="39">
        <f t="shared" si="104"/>
        <v>600654.88225493778</v>
      </c>
      <c r="O36" s="39">
        <f t="shared" si="104"/>
        <v>539954.27183724195</v>
      </c>
      <c r="P36" s="39">
        <f t="shared" si="104"/>
        <v>495207.85967605334</v>
      </c>
      <c r="Q36" s="39">
        <f t="shared" si="104"/>
        <v>470138.88151872478</v>
      </c>
      <c r="R36" s="39">
        <f t="shared" si="104"/>
        <v>437368.61717962532</v>
      </c>
      <c r="S36" s="39">
        <f t="shared" si="104"/>
        <v>424996.1925006627</v>
      </c>
      <c r="T36" s="39">
        <f t="shared" si="104"/>
        <v>430528.07178210426</v>
      </c>
      <c r="U36" s="39">
        <f t="shared" si="104"/>
        <v>443221.11496960314</v>
      </c>
      <c r="V36" s="39">
        <f t="shared" si="104"/>
        <v>460822.59795520606</v>
      </c>
      <c r="W36" s="39">
        <f t="shared" si="104"/>
        <v>481732.94530771364</v>
      </c>
      <c r="X36" s="39">
        <f t="shared" si="104"/>
        <v>500204.47477260279</v>
      </c>
      <c r="Y36" s="39">
        <f t="shared" si="104"/>
        <v>529159.0998522779</v>
      </c>
      <c r="Z36" s="39">
        <f t="shared" si="104"/>
        <v>573230.95989938767</v>
      </c>
      <c r="AA36" s="39">
        <f t="shared" si="104"/>
        <v>602372.86313059181</v>
      </c>
      <c r="AB36" s="39">
        <f t="shared" si="104"/>
        <v>637743.56510483951</v>
      </c>
      <c r="AC36" s="39">
        <f t="shared" si="104"/>
        <v>651490.28454339912</v>
      </c>
      <c r="AD36" s="39">
        <f t="shared" si="104"/>
        <v>685056.05981084763</v>
      </c>
      <c r="AE36" s="39">
        <f t="shared" si="104"/>
        <v>725984.80012446234</v>
      </c>
      <c r="AF36" s="39">
        <f t="shared" si="104"/>
        <v>748154.23667956295</v>
      </c>
      <c r="AG36" s="39">
        <f t="shared" si="104"/>
        <v>788041</v>
      </c>
      <c r="AH36" s="39">
        <f t="shared" si="104"/>
        <v>814536.90927843994</v>
      </c>
      <c r="AI36" s="39">
        <f t="shared" ref="AI36:BN36" si="105">AI$24*AI17</f>
        <v>826522.30793233111</v>
      </c>
      <c r="AJ36" s="39">
        <f t="shared" si="105"/>
        <v>830363.31279260514</v>
      </c>
      <c r="AK36" s="39">
        <f t="shared" si="105"/>
        <v>846089.43285334331</v>
      </c>
      <c r="AL36" s="39">
        <f t="shared" si="105"/>
        <v>834512.45733730309</v>
      </c>
      <c r="AM36" s="39">
        <f t="shared" si="105"/>
        <v>831442.19539598573</v>
      </c>
      <c r="AN36" s="39">
        <f t="shared" si="105"/>
        <v>827081.55357146123</v>
      </c>
      <c r="AO36" s="39">
        <f t="shared" si="105"/>
        <v>796210.74986089789</v>
      </c>
      <c r="AP36" s="39">
        <f t="shared" si="105"/>
        <v>787569.58081251557</v>
      </c>
      <c r="AQ36" s="39">
        <f t="shared" si="105"/>
        <v>764994.40755088616</v>
      </c>
      <c r="AR36" s="39">
        <f t="shared" si="105"/>
        <v>750329.49701655726</v>
      </c>
      <c r="AS36" s="39">
        <f t="shared" si="105"/>
        <v>726663.68072976172</v>
      </c>
      <c r="AT36" s="39">
        <f t="shared" si="105"/>
        <v>667981.28597374749</v>
      </c>
      <c r="AU36" s="39">
        <f t="shared" si="105"/>
        <v>592842.12230890687</v>
      </c>
      <c r="AV36" s="39">
        <f t="shared" si="105"/>
        <v>667158.32117283309</v>
      </c>
      <c r="AW36" s="39">
        <f t="shared" si="105"/>
        <v>774026.36816433084</v>
      </c>
      <c r="AX36" s="39">
        <f t="shared" si="105"/>
        <v>891467.47029545868</v>
      </c>
      <c r="AY36" s="39">
        <f t="shared" si="105"/>
        <v>1011603.2998126743</v>
      </c>
      <c r="AZ36" s="39">
        <f t="shared" si="105"/>
        <v>1172397.2086499939</v>
      </c>
      <c r="BA36" s="39">
        <f t="shared" si="105"/>
        <v>1219044.3303116071</v>
      </c>
      <c r="BB36" s="39">
        <f t="shared" si="105"/>
        <v>1267069.6504697709</v>
      </c>
      <c r="BC36" s="39">
        <f t="shared" si="105"/>
        <v>1238524.005779143</v>
      </c>
      <c r="BD36" s="39">
        <f t="shared" si="105"/>
        <v>1269154.5872972517</v>
      </c>
      <c r="BE36" s="39">
        <f t="shared" si="105"/>
        <v>1268566.380574242</v>
      </c>
      <c r="BF36" s="39">
        <f t="shared" si="105"/>
        <v>1297147.6453766616</v>
      </c>
      <c r="BG36" s="39">
        <f t="shared" si="105"/>
        <v>1312201.7940131964</v>
      </c>
      <c r="BH36" s="39">
        <f t="shared" si="105"/>
        <v>1334481.6364588425</v>
      </c>
      <c r="BI36" s="39">
        <f t="shared" si="105"/>
        <v>1335113.1266209364</v>
      </c>
      <c r="BJ36" s="39">
        <f t="shared" si="105"/>
        <v>1322685.4631843623</v>
      </c>
      <c r="BK36" s="39">
        <f t="shared" si="105"/>
        <v>1293113.0733195501</v>
      </c>
      <c r="BL36" s="39">
        <f t="shared" si="105"/>
        <v>1246344.4480596646</v>
      </c>
      <c r="BM36" s="39">
        <f t="shared" si="105"/>
        <v>1196527.1590797866</v>
      </c>
      <c r="BN36" s="39">
        <f t="shared" si="105"/>
        <v>1165483.2779454903</v>
      </c>
      <c r="BO36" s="39">
        <f t="shared" ref="BO36:CO36" si="106">BO$24*BO17</f>
        <v>1133602.5985724754</v>
      </c>
      <c r="BP36" s="39">
        <f t="shared" si="106"/>
        <v>1243666.3829391252</v>
      </c>
      <c r="BQ36" s="39">
        <f t="shared" si="106"/>
        <v>1345113.3398478436</v>
      </c>
      <c r="BR36" s="39">
        <f t="shared" si="106"/>
        <v>1434501.5977092197</v>
      </c>
      <c r="BS36" s="39">
        <f t="shared" si="106"/>
        <v>1576292.0607080024</v>
      </c>
      <c r="BT36" s="39">
        <f t="shared" si="106"/>
        <v>1683003.4532786899</v>
      </c>
      <c r="BU36" s="39">
        <f t="shared" si="106"/>
        <v>1628278.5441115142</v>
      </c>
      <c r="BV36" s="39">
        <f t="shared" si="106"/>
        <v>1630580.9379670981</v>
      </c>
      <c r="BW36" s="39">
        <f t="shared" si="106"/>
        <v>1647902.6661609309</v>
      </c>
      <c r="BX36" s="39">
        <f t="shared" si="106"/>
        <v>1680440.5599863983</v>
      </c>
      <c r="BY36" s="39">
        <f t="shared" si="106"/>
        <v>1768867.0419783439</v>
      </c>
      <c r="BZ36" s="39">
        <f t="shared" si="106"/>
        <v>2077952.0375284576</v>
      </c>
      <c r="CA36" s="39">
        <f t="shared" si="106"/>
        <v>1703882.770035421</v>
      </c>
      <c r="CB36" s="39">
        <f t="shared" si="106"/>
        <v>1757976.6402596089</v>
      </c>
      <c r="CC36" s="39">
        <f t="shared" si="106"/>
        <v>1851488.9925316786</v>
      </c>
      <c r="CD36" s="39">
        <f t="shared" si="106"/>
        <v>1796754.6719139342</v>
      </c>
      <c r="CE36" s="39">
        <f t="shared" si="106"/>
        <v>1578496.4324432407</v>
      </c>
      <c r="CF36" s="39">
        <f t="shared" si="106"/>
        <v>1382665.4190411437</v>
      </c>
      <c r="CG36" s="39">
        <f t="shared" si="106"/>
        <v>1407071.9718515861</v>
      </c>
      <c r="CH36" s="39">
        <f t="shared" si="106"/>
        <v>1357525.7047823097</v>
      </c>
      <c r="CI36" s="39">
        <f t="shared" si="106"/>
        <v>1270702.2105588852</v>
      </c>
      <c r="CJ36" s="39">
        <f t="shared" si="106"/>
        <v>1280709.3571954609</v>
      </c>
      <c r="CK36" s="39">
        <f t="shared" si="106"/>
        <v>1258383.8278495979</v>
      </c>
      <c r="CL36" s="39">
        <f t="shared" si="106"/>
        <v>1216321.2067640251</v>
      </c>
      <c r="CM36" s="39">
        <f t="shared" si="106"/>
        <v>1123804.3128310139</v>
      </c>
      <c r="CN36" s="39">
        <f t="shared" si="106"/>
        <v>1047905.0104620554</v>
      </c>
      <c r="CO36" s="39">
        <f t="shared" si="106"/>
        <v>4084012.845927414</v>
      </c>
      <c r="CQ36" s="39">
        <f t="shared" si="0"/>
        <v>99756362.411533192</v>
      </c>
    </row>
    <row r="37" spans="2:95" ht="18">
      <c r="B37" s="1117">
        <v>2023</v>
      </c>
      <c r="C37" s="39">
        <f t="shared" ref="C37:AH37" si="107">C$24*C18</f>
        <v>1484616.4039103214</v>
      </c>
      <c r="D37" s="39">
        <f t="shared" si="107"/>
        <v>1500477.6734974748</v>
      </c>
      <c r="E37" s="39">
        <f t="shared" si="107"/>
        <v>1402730.2718920377</v>
      </c>
      <c r="F37" s="39">
        <f t="shared" si="107"/>
        <v>1350012.7751218341</v>
      </c>
      <c r="G37" s="39">
        <f t="shared" si="107"/>
        <v>1240367.3890656366</v>
      </c>
      <c r="H37" s="39">
        <f t="shared" si="107"/>
        <v>1095192.4288707688</v>
      </c>
      <c r="I37" s="39">
        <f t="shared" si="107"/>
        <v>999061.20077153563</v>
      </c>
      <c r="J37" s="39">
        <f t="shared" si="107"/>
        <v>909873.2269253697</v>
      </c>
      <c r="K37" s="39">
        <f t="shared" si="107"/>
        <v>795601.92814992729</v>
      </c>
      <c r="L37" s="39">
        <f t="shared" si="107"/>
        <v>705016.49085614411</v>
      </c>
      <c r="M37" s="39">
        <f t="shared" si="107"/>
        <v>646297.62752203876</v>
      </c>
      <c r="N37" s="39">
        <f t="shared" si="107"/>
        <v>598157.45585742628</v>
      </c>
      <c r="O37" s="39">
        <f t="shared" si="107"/>
        <v>545832.55562726199</v>
      </c>
      <c r="P37" s="39">
        <f t="shared" si="107"/>
        <v>498362.06811257469</v>
      </c>
      <c r="Q37" s="39">
        <f t="shared" si="107"/>
        <v>466022.22740254441</v>
      </c>
      <c r="R37" s="39">
        <f t="shared" si="107"/>
        <v>455710.62812219688</v>
      </c>
      <c r="S37" s="39">
        <f t="shared" si="107"/>
        <v>437132.82906245382</v>
      </c>
      <c r="T37" s="39">
        <f t="shared" si="107"/>
        <v>435075.86423821485</v>
      </c>
      <c r="U37" s="39">
        <f t="shared" si="107"/>
        <v>451160.0596471809</v>
      </c>
      <c r="V37" s="39">
        <f t="shared" si="107"/>
        <v>478598.89025165036</v>
      </c>
      <c r="W37" s="39">
        <f t="shared" si="107"/>
        <v>501494.60188219376</v>
      </c>
      <c r="X37" s="39">
        <f t="shared" si="107"/>
        <v>521833.24475450016</v>
      </c>
      <c r="Y37" s="39">
        <f t="shared" si="107"/>
        <v>543530.79888442741</v>
      </c>
      <c r="Z37" s="39">
        <f t="shared" si="107"/>
        <v>576301.8573679158</v>
      </c>
      <c r="AA37" s="39">
        <f t="shared" si="107"/>
        <v>615298.71884694777</v>
      </c>
      <c r="AB37" s="39">
        <f t="shared" si="107"/>
        <v>636255.3420527901</v>
      </c>
      <c r="AC37" s="39">
        <f t="shared" si="107"/>
        <v>670902.44852938259</v>
      </c>
      <c r="AD37" s="39">
        <f t="shared" si="107"/>
        <v>690504.15015953593</v>
      </c>
      <c r="AE37" s="39">
        <f t="shared" si="107"/>
        <v>728061.97569623298</v>
      </c>
      <c r="AF37" s="39">
        <f t="shared" si="107"/>
        <v>770402.54480314057</v>
      </c>
      <c r="AG37" s="39">
        <f t="shared" si="107"/>
        <v>789827</v>
      </c>
      <c r="AH37" s="39">
        <f t="shared" si="107"/>
        <v>827976.78252731147</v>
      </c>
      <c r="AI37" s="39">
        <f t="shared" ref="AI37:BN37" si="108">AI$24*AI18</f>
        <v>850741.56988256692</v>
      </c>
      <c r="AJ37" s="39">
        <f t="shared" si="108"/>
        <v>857276.81813343544</v>
      </c>
      <c r="AK37" s="39">
        <f t="shared" si="108"/>
        <v>855710.57569536113</v>
      </c>
      <c r="AL37" s="39">
        <f t="shared" si="108"/>
        <v>871886.08384529781</v>
      </c>
      <c r="AM37" s="39">
        <f t="shared" si="108"/>
        <v>853643.06971702236</v>
      </c>
      <c r="AN37" s="39">
        <f t="shared" si="108"/>
        <v>843850.0626987709</v>
      </c>
      <c r="AO37" s="39">
        <f t="shared" si="108"/>
        <v>833554.51879433973</v>
      </c>
      <c r="AP37" s="39">
        <f t="shared" si="108"/>
        <v>796878.09587246773</v>
      </c>
      <c r="AQ37" s="39">
        <f t="shared" si="108"/>
        <v>776778.86144374579</v>
      </c>
      <c r="AR37" s="39">
        <f t="shared" si="108"/>
        <v>749328.17815926415</v>
      </c>
      <c r="AS37" s="39">
        <f t="shared" si="108"/>
        <v>729648.42466129223</v>
      </c>
      <c r="AT37" s="39">
        <f t="shared" si="108"/>
        <v>701587.9363461833</v>
      </c>
      <c r="AU37" s="39">
        <f t="shared" si="108"/>
        <v>641096.0247682631</v>
      </c>
      <c r="AV37" s="39">
        <f t="shared" si="108"/>
        <v>684070.29719756765</v>
      </c>
      <c r="AW37" s="39">
        <f t="shared" si="108"/>
        <v>762419.66893440019</v>
      </c>
      <c r="AX37" s="39">
        <f t="shared" si="108"/>
        <v>877504.66965418728</v>
      </c>
      <c r="AY37" s="39">
        <f t="shared" si="108"/>
        <v>1003929.9117063736</v>
      </c>
      <c r="AZ37" s="39">
        <f t="shared" si="108"/>
        <v>1132618.0537231844</v>
      </c>
      <c r="BA37" s="39">
        <f t="shared" si="108"/>
        <v>1178485.8968954235</v>
      </c>
      <c r="BB37" s="39">
        <f t="shared" si="108"/>
        <v>1225129.8530918646</v>
      </c>
      <c r="BC37" s="39">
        <f t="shared" si="108"/>
        <v>1272562.2917971986</v>
      </c>
      <c r="BD37" s="39">
        <f t="shared" si="108"/>
        <v>1243431.1704571089</v>
      </c>
      <c r="BE37" s="39">
        <f t="shared" si="108"/>
        <v>1273258.4163624791</v>
      </c>
      <c r="BF37" s="39">
        <f t="shared" si="108"/>
        <v>1289404.2722627111</v>
      </c>
      <c r="BG37" s="39">
        <f t="shared" si="108"/>
        <v>1317141.6018768754</v>
      </c>
      <c r="BH37" s="39">
        <f t="shared" si="108"/>
        <v>1330624.0597050113</v>
      </c>
      <c r="BI37" s="39">
        <f t="shared" si="108"/>
        <v>1352436.2691984731</v>
      </c>
      <c r="BJ37" s="39">
        <f t="shared" si="108"/>
        <v>1352012.5905792858</v>
      </c>
      <c r="BK37" s="39">
        <f t="shared" si="108"/>
        <v>1321153.6035099856</v>
      </c>
      <c r="BL37" s="39">
        <f t="shared" si="108"/>
        <v>1290413.682879146</v>
      </c>
      <c r="BM37" s="39">
        <f t="shared" si="108"/>
        <v>1243273.2374035292</v>
      </c>
      <c r="BN37" s="39">
        <f t="shared" si="108"/>
        <v>1192631.8551150651</v>
      </c>
      <c r="BO37" s="39">
        <f t="shared" ref="BO37:CO37" si="109">BO$24*BO18</f>
        <v>1161020.5270346073</v>
      </c>
      <c r="BP37" s="39">
        <f t="shared" si="109"/>
        <v>1290558.3602567175</v>
      </c>
      <c r="BQ37" s="39">
        <f t="shared" si="109"/>
        <v>1391162.7346163071</v>
      </c>
      <c r="BR37" s="39">
        <f t="shared" si="109"/>
        <v>1483355.3154832171</v>
      </c>
      <c r="BS37" s="39">
        <f t="shared" si="109"/>
        <v>1563593.2955744448</v>
      </c>
      <c r="BT37" s="39">
        <f t="shared" si="109"/>
        <v>1701142.8777851858</v>
      </c>
      <c r="BU37" s="39">
        <f t="shared" si="109"/>
        <v>1662656.4739422689</v>
      </c>
      <c r="BV37" s="39">
        <f t="shared" si="109"/>
        <v>1607195.0581805147</v>
      </c>
      <c r="BW37" s="39">
        <f t="shared" si="109"/>
        <v>1607223.3276458047</v>
      </c>
      <c r="BX37" s="39">
        <f t="shared" si="109"/>
        <v>1622337.1615529964</v>
      </c>
      <c r="BY37" s="39">
        <f t="shared" si="109"/>
        <v>1652007.4376432861</v>
      </c>
      <c r="BZ37" s="39">
        <f t="shared" si="109"/>
        <v>1887928.6323583741</v>
      </c>
      <c r="CA37" s="39">
        <f t="shared" si="109"/>
        <v>2197451.0547960019</v>
      </c>
      <c r="CB37" s="39">
        <f t="shared" si="109"/>
        <v>1788449.4705402418</v>
      </c>
      <c r="CC37" s="39">
        <f t="shared" si="109"/>
        <v>1830402.4203198664</v>
      </c>
      <c r="CD37" s="39">
        <f t="shared" si="109"/>
        <v>1910444.6413417833</v>
      </c>
      <c r="CE37" s="39">
        <f t="shared" si="109"/>
        <v>1737214.0889537358</v>
      </c>
      <c r="CF37" s="39">
        <f t="shared" si="109"/>
        <v>1519312.8854287639</v>
      </c>
      <c r="CG37" s="39">
        <f t="shared" si="109"/>
        <v>1323256.4675265448</v>
      </c>
      <c r="CH37" s="39">
        <f t="shared" si="109"/>
        <v>1335451.715677635</v>
      </c>
      <c r="CI37" s="39">
        <f t="shared" si="109"/>
        <v>1273570.3772027032</v>
      </c>
      <c r="CJ37" s="39">
        <f t="shared" si="109"/>
        <v>1307903.7309031796</v>
      </c>
      <c r="CK37" s="39">
        <f t="shared" si="109"/>
        <v>1285103.6093620951</v>
      </c>
      <c r="CL37" s="39">
        <f t="shared" si="109"/>
        <v>1234010.2466447179</v>
      </c>
      <c r="CM37" s="39">
        <f t="shared" si="109"/>
        <v>1165132.7990163339</v>
      </c>
      <c r="CN37" s="39">
        <f t="shared" si="109"/>
        <v>1055456.1368095186</v>
      </c>
      <c r="CO37" s="39">
        <f t="shared" si="109"/>
        <v>4109537.4847135586</v>
      </c>
      <c r="CQ37" s="39">
        <f t="shared" si="0"/>
        <v>100775049.41408722</v>
      </c>
    </row>
    <row r="38" spans="2:95" ht="18">
      <c r="B38" s="1117">
        <v>2024</v>
      </c>
      <c r="C38" s="39">
        <f t="shared" ref="C38:AH38" si="110">C$24*C19</f>
        <v>1602572.974754981</v>
      </c>
      <c r="D38" s="39">
        <f t="shared" si="110"/>
        <v>1443895.0376474573</v>
      </c>
      <c r="E38" s="39">
        <f t="shared" si="110"/>
        <v>1436873.9086905378</v>
      </c>
      <c r="F38" s="39">
        <f t="shared" si="110"/>
        <v>1312218.101091844</v>
      </c>
      <c r="G38" s="39">
        <f t="shared" si="110"/>
        <v>1230966.3072207079</v>
      </c>
      <c r="H38" s="39">
        <f t="shared" si="110"/>
        <v>1088532.5590219251</v>
      </c>
      <c r="I38" s="39">
        <f t="shared" si="110"/>
        <v>981989.28495044936</v>
      </c>
      <c r="J38" s="39">
        <f t="shared" si="110"/>
        <v>890504.96847876452</v>
      </c>
      <c r="K38" s="39">
        <f t="shared" si="110"/>
        <v>807334.01205545233</v>
      </c>
      <c r="L38" s="39">
        <f t="shared" si="110"/>
        <v>704303.31624023058</v>
      </c>
      <c r="M38" s="39">
        <f t="shared" si="110"/>
        <v>633641.95883055555</v>
      </c>
      <c r="N38" s="39">
        <f t="shared" si="110"/>
        <v>585093.20897637424</v>
      </c>
      <c r="O38" s="39">
        <f t="shared" si="110"/>
        <v>547434.45577149023</v>
      </c>
      <c r="P38" s="39">
        <f t="shared" si="110"/>
        <v>507112.06004467764</v>
      </c>
      <c r="Q38" s="39">
        <f t="shared" si="110"/>
        <v>471840.3959471673</v>
      </c>
      <c r="R38" s="39">
        <f t="shared" si="110"/>
        <v>454066.27984347363</v>
      </c>
      <c r="S38" s="39">
        <f t="shared" si="110"/>
        <v>456912.6361471354</v>
      </c>
      <c r="T38" s="39">
        <f t="shared" si="110"/>
        <v>447285.79107629036</v>
      </c>
      <c r="U38" s="39">
        <f t="shared" si="110"/>
        <v>455457.17525306414</v>
      </c>
      <c r="V38" s="39">
        <f t="shared" si="110"/>
        <v>484684.56235455442</v>
      </c>
      <c r="W38" s="39">
        <f t="shared" si="110"/>
        <v>516041.5684644662</v>
      </c>
      <c r="X38" s="39">
        <f t="shared" si="110"/>
        <v>535136.03164223011</v>
      </c>
      <c r="Y38" s="39">
        <f t="shared" si="110"/>
        <v>557707.65384076152</v>
      </c>
      <c r="Z38" s="39">
        <f t="shared" si="110"/>
        <v>584667.18259419093</v>
      </c>
      <c r="AA38" s="39">
        <f t="shared" si="110"/>
        <v>613818.10254649387</v>
      </c>
      <c r="AB38" s="39">
        <f t="shared" si="110"/>
        <v>649836.24669190764</v>
      </c>
      <c r="AC38" s="39">
        <f t="shared" si="110"/>
        <v>673788.81838532828</v>
      </c>
      <c r="AD38" s="39">
        <f t="shared" si="110"/>
        <v>710533.075155225</v>
      </c>
      <c r="AE38" s="39">
        <f t="shared" si="110"/>
        <v>729706.52573512436</v>
      </c>
      <c r="AF38" s="39">
        <f t="shared" si="110"/>
        <v>766120.25505243428</v>
      </c>
      <c r="AG38" s="39">
        <f t="shared" si="110"/>
        <v>804472</v>
      </c>
      <c r="AH38" s="39">
        <f t="shared" si="110"/>
        <v>821170.35368405725</v>
      </c>
      <c r="AI38" s="39">
        <f t="shared" ref="AI38:BN38" si="111">AI$24*AI19</f>
        <v>855495.42314016458</v>
      </c>
      <c r="AJ38" s="39">
        <f t="shared" si="111"/>
        <v>873337.09414819255</v>
      </c>
      <c r="AK38" s="39">
        <f t="shared" si="111"/>
        <v>875423.20969816844</v>
      </c>
      <c r="AL38" s="39">
        <f t="shared" si="111"/>
        <v>874486.94598696264</v>
      </c>
      <c r="AM38" s="39">
        <f t="shared" si="111"/>
        <v>884938.5854577081</v>
      </c>
      <c r="AN38" s="39">
        <f t="shared" si="111"/>
        <v>860971.01200272457</v>
      </c>
      <c r="AO38" s="39">
        <f t="shared" si="111"/>
        <v>845491.27819302632</v>
      </c>
      <c r="AP38" s="39">
        <f t="shared" si="111"/>
        <v>829851.35557873198</v>
      </c>
      <c r="AQ38" s="39">
        <f t="shared" si="111"/>
        <v>783075.02796844067</v>
      </c>
      <c r="AR38" s="39">
        <f t="shared" si="111"/>
        <v>758068.48704082426</v>
      </c>
      <c r="AS38" s="39">
        <f t="shared" si="111"/>
        <v>726282.60905002593</v>
      </c>
      <c r="AT38" s="39">
        <f t="shared" si="111"/>
        <v>702485.1613656421</v>
      </c>
      <c r="AU38" s="39">
        <f t="shared" si="111"/>
        <v>671152.23361619806</v>
      </c>
      <c r="AV38" s="39">
        <f t="shared" si="111"/>
        <v>737153.14035903441</v>
      </c>
      <c r="AW38" s="39">
        <f t="shared" si="111"/>
        <v>779373.78492137452</v>
      </c>
      <c r="AX38" s="39">
        <f t="shared" si="111"/>
        <v>862189.80341617041</v>
      </c>
      <c r="AY38" s="39">
        <f t="shared" si="111"/>
        <v>985836.99135230039</v>
      </c>
      <c r="AZ38" s="39">
        <f t="shared" si="111"/>
        <v>1121286.9633677017</v>
      </c>
      <c r="BA38" s="39">
        <f t="shared" si="111"/>
        <v>1136210.5766881953</v>
      </c>
      <c r="BB38" s="39">
        <f t="shared" si="111"/>
        <v>1181755.1542411691</v>
      </c>
      <c r="BC38" s="39">
        <f t="shared" si="111"/>
        <v>1227920.6424658115</v>
      </c>
      <c r="BD38" s="39">
        <f t="shared" si="111"/>
        <v>1274888.4136002369</v>
      </c>
      <c r="BE38" s="39">
        <f t="shared" si="111"/>
        <v>1245127.395679354</v>
      </c>
      <c r="BF38" s="39">
        <f t="shared" si="111"/>
        <v>1291606.2421760571</v>
      </c>
      <c r="BG38" s="39">
        <f t="shared" si="111"/>
        <v>1307088.3342007259</v>
      </c>
      <c r="BH38" s="39">
        <f t="shared" si="111"/>
        <v>1334149.1753792143</v>
      </c>
      <c r="BI38" s="39">
        <f t="shared" si="111"/>
        <v>1346750.6981775986</v>
      </c>
      <c r="BJ38" s="39">
        <f t="shared" si="111"/>
        <v>1367738.3980791874</v>
      </c>
      <c r="BK38" s="39">
        <f t="shared" si="111"/>
        <v>1349281.0728284474</v>
      </c>
      <c r="BL38" s="39">
        <f t="shared" si="111"/>
        <v>1317709.807083047</v>
      </c>
      <c r="BM38" s="39">
        <f t="shared" si="111"/>
        <v>1286365.1027001312</v>
      </c>
      <c r="BN38" s="39">
        <f t="shared" si="111"/>
        <v>1238730.1713855879</v>
      </c>
      <c r="BO38" s="39">
        <f t="shared" ref="BO38:CO38" si="112">BO$24*BO19</f>
        <v>1187550.8182557472</v>
      </c>
      <c r="BP38" s="39">
        <f t="shared" si="112"/>
        <v>1321310.3416875554</v>
      </c>
      <c r="BQ38" s="39">
        <f t="shared" si="112"/>
        <v>1443097.4598562405</v>
      </c>
      <c r="BR38" s="39">
        <f t="shared" si="112"/>
        <v>1533997.4074555307</v>
      </c>
      <c r="BS38" s="39">
        <f t="shared" si="112"/>
        <v>1616878.9821087793</v>
      </c>
      <c r="BT38" s="39">
        <f t="shared" si="112"/>
        <v>1687837.0965886093</v>
      </c>
      <c r="BU38" s="39">
        <f t="shared" si="112"/>
        <v>1681536.5154205158</v>
      </c>
      <c r="BV38" s="39">
        <f t="shared" si="112"/>
        <v>1641725.7223604363</v>
      </c>
      <c r="BW38" s="39">
        <f t="shared" si="112"/>
        <v>1585442.0419291279</v>
      </c>
      <c r="BX38" s="39">
        <f t="shared" si="112"/>
        <v>1583915.725893867</v>
      </c>
      <c r="BY38" s="39">
        <f t="shared" si="112"/>
        <v>1597300.8626039822</v>
      </c>
      <c r="BZ38" s="39">
        <f t="shared" si="112"/>
        <v>1767200.3365052394</v>
      </c>
      <c r="CA38" s="39">
        <f t="shared" si="112"/>
        <v>2001810.2803336175</v>
      </c>
      <c r="CB38" s="39">
        <f t="shared" si="112"/>
        <v>2310890.9847850599</v>
      </c>
      <c r="CC38" s="39">
        <f t="shared" si="112"/>
        <v>1866177.0324039315</v>
      </c>
      <c r="CD38" s="39">
        <f t="shared" si="112"/>
        <v>1894801.3547034652</v>
      </c>
      <c r="CE38" s="39">
        <f t="shared" si="112"/>
        <v>1852931.7036631366</v>
      </c>
      <c r="CF38" s="39">
        <f t="shared" si="112"/>
        <v>1677011.2264590694</v>
      </c>
      <c r="CG38" s="39">
        <f t="shared" si="112"/>
        <v>1457877.9620568727</v>
      </c>
      <c r="CH38" s="39">
        <f t="shared" si="112"/>
        <v>1260147.9911326829</v>
      </c>
      <c r="CI38" s="39">
        <f t="shared" si="112"/>
        <v>1260004.9928509193</v>
      </c>
      <c r="CJ38" s="39">
        <f t="shared" si="112"/>
        <v>1318954.919564452</v>
      </c>
      <c r="CK38" s="39">
        <f t="shared" si="112"/>
        <v>1323728.1832350548</v>
      </c>
      <c r="CL38" s="39">
        <f t="shared" si="112"/>
        <v>1272751.593571275</v>
      </c>
      <c r="CM38" s="39">
        <f t="shared" si="112"/>
        <v>1196451.3030799674</v>
      </c>
      <c r="CN38" s="39">
        <f t="shared" si="112"/>
        <v>1106102.7879811318</v>
      </c>
      <c r="CO38" s="39">
        <f t="shared" si="112"/>
        <v>4198897.2671798132</v>
      </c>
      <c r="CQ38" s="39">
        <f t="shared" si="0"/>
        <v>102084269.9932036</v>
      </c>
    </row>
    <row r="39" spans="2:95" ht="18">
      <c r="B39" s="1117">
        <v>2025</v>
      </c>
      <c r="C39" s="39">
        <f t="shared" ref="C39:AH39" si="113">C$24*C20</f>
        <v>1623317.3568290337</v>
      </c>
      <c r="D39" s="39">
        <f t="shared" si="113"/>
        <v>1556029.9882138316</v>
      </c>
      <c r="E39" s="39">
        <f t="shared" si="113"/>
        <v>1381664.0288593597</v>
      </c>
      <c r="F39" s="39">
        <f t="shared" si="113"/>
        <v>1342377.5317374975</v>
      </c>
      <c r="G39" s="39">
        <f t="shared" si="113"/>
        <v>1195475.1398589006</v>
      </c>
      <c r="H39" s="39">
        <f t="shared" si="113"/>
        <v>1079255.0767766256</v>
      </c>
      <c r="I39" s="39">
        <f t="shared" si="113"/>
        <v>975130.03305804869</v>
      </c>
      <c r="J39" s="39">
        <f t="shared" si="113"/>
        <v>874606.52685227827</v>
      </c>
      <c r="K39" s="39">
        <f t="shared" si="113"/>
        <v>789615.65578206419</v>
      </c>
      <c r="L39" s="39">
        <f t="shared" si="113"/>
        <v>714103.64753487648</v>
      </c>
      <c r="M39" s="39">
        <f t="shared" si="113"/>
        <v>632567.85799876438</v>
      </c>
      <c r="N39" s="39">
        <f t="shared" si="113"/>
        <v>573328.74740854651</v>
      </c>
      <c r="O39" s="39">
        <f t="shared" si="113"/>
        <v>535219.09531027789</v>
      </c>
      <c r="P39" s="39">
        <f t="shared" si="113"/>
        <v>508303.84088899451</v>
      </c>
      <c r="Q39" s="39">
        <f t="shared" si="113"/>
        <v>479792.70159867231</v>
      </c>
      <c r="R39" s="39">
        <f t="shared" si="113"/>
        <v>459408.61945532239</v>
      </c>
      <c r="S39" s="39">
        <f t="shared" si="113"/>
        <v>454983.53128104075</v>
      </c>
      <c r="T39" s="39">
        <f t="shared" si="113"/>
        <v>466950.44828187989</v>
      </c>
      <c r="U39" s="39">
        <f t="shared" si="113"/>
        <v>467362.89561702672</v>
      </c>
      <c r="V39" s="39">
        <f t="shared" si="113"/>
        <v>487925.77578224812</v>
      </c>
      <c r="W39" s="39">
        <f t="shared" si="113"/>
        <v>520824.24222924921</v>
      </c>
      <c r="X39" s="39">
        <f t="shared" si="113"/>
        <v>548705.58062368096</v>
      </c>
      <c r="Y39" s="39">
        <f t="shared" si="113"/>
        <v>569759.14961810037</v>
      </c>
      <c r="Z39" s="39">
        <f t="shared" si="113"/>
        <v>596981.49761411827</v>
      </c>
      <c r="AA39" s="39">
        <f t="shared" si="113"/>
        <v>619795.03297724505</v>
      </c>
      <c r="AB39" s="39">
        <f t="shared" si="113"/>
        <v>645824.47719120176</v>
      </c>
      <c r="AC39" s="39">
        <f t="shared" si="113"/>
        <v>685510.59213499632</v>
      </c>
      <c r="AD39" s="39">
        <f t="shared" si="113"/>
        <v>711252.37158115918</v>
      </c>
      <c r="AE39" s="39">
        <f t="shared" si="113"/>
        <v>748095.49844061525</v>
      </c>
      <c r="AF39" s="39">
        <f t="shared" si="113"/>
        <v>765644.98948513623</v>
      </c>
      <c r="AG39" s="39">
        <f t="shared" si="113"/>
        <v>798032</v>
      </c>
      <c r="AH39" s="39">
        <f t="shared" si="113"/>
        <v>834094.32628656458</v>
      </c>
      <c r="AI39" s="39">
        <f t="shared" ref="AI39:BN39" si="114">AI$24*AI20</f>
        <v>846752.50283076172</v>
      </c>
      <c r="AJ39" s="39">
        <f t="shared" si="114"/>
        <v>876442.33813701721</v>
      </c>
      <c r="AK39" s="39">
        <f t="shared" si="114"/>
        <v>889997.70827225083</v>
      </c>
      <c r="AL39" s="39">
        <f t="shared" si="114"/>
        <v>892919.60333135107</v>
      </c>
      <c r="AM39" s="39">
        <f t="shared" si="114"/>
        <v>886253.46056711732</v>
      </c>
      <c r="AN39" s="39">
        <f t="shared" si="114"/>
        <v>891029.27586318133</v>
      </c>
      <c r="AO39" s="39">
        <f t="shared" si="114"/>
        <v>861452.65977455326</v>
      </c>
      <c r="AP39" s="39">
        <f t="shared" si="114"/>
        <v>840707.64186968049</v>
      </c>
      <c r="AQ39" s="39">
        <f t="shared" si="114"/>
        <v>814419.51826575003</v>
      </c>
      <c r="AR39" s="39">
        <f t="shared" si="114"/>
        <v>763481.92883143679</v>
      </c>
      <c r="AS39" s="39">
        <f t="shared" si="114"/>
        <v>734103.1525974035</v>
      </c>
      <c r="AT39" s="39">
        <f t="shared" si="114"/>
        <v>698736.36884543917</v>
      </c>
      <c r="AU39" s="39">
        <f t="shared" si="114"/>
        <v>671546.90758593869</v>
      </c>
      <c r="AV39" s="39">
        <f t="shared" si="114"/>
        <v>771081.00010074512</v>
      </c>
      <c r="AW39" s="39">
        <f t="shared" si="114"/>
        <v>839102.69266972505</v>
      </c>
      <c r="AX39" s="39">
        <f t="shared" si="114"/>
        <v>880790.63760684629</v>
      </c>
      <c r="AY39" s="39">
        <f t="shared" si="114"/>
        <v>968191.21802859253</v>
      </c>
      <c r="AZ39" s="39">
        <f t="shared" si="114"/>
        <v>1100630.4273670667</v>
      </c>
      <c r="BA39" s="39">
        <f t="shared" si="114"/>
        <v>1124417.6401450229</v>
      </c>
      <c r="BB39" s="39">
        <f t="shared" si="114"/>
        <v>1139050.2912860953</v>
      </c>
      <c r="BC39" s="39">
        <f t="shared" si="114"/>
        <v>1184156.66920587</v>
      </c>
      <c r="BD39" s="39">
        <f t="shared" si="114"/>
        <v>1229869.1845826351</v>
      </c>
      <c r="BE39" s="39">
        <f t="shared" si="114"/>
        <v>1276256.5587580903</v>
      </c>
      <c r="BF39" s="39">
        <f t="shared" si="114"/>
        <v>1262794.9249966133</v>
      </c>
      <c r="BG39" s="39">
        <f t="shared" si="114"/>
        <v>1309027.1666386886</v>
      </c>
      <c r="BH39" s="39">
        <f t="shared" si="114"/>
        <v>1323710.9257090297</v>
      </c>
      <c r="BI39" s="39">
        <f t="shared" si="114"/>
        <v>1350073.2309518186</v>
      </c>
      <c r="BJ39" s="39">
        <f t="shared" si="114"/>
        <v>1361766.4828801246</v>
      </c>
      <c r="BK39" s="39">
        <f t="shared" si="114"/>
        <v>1364754.4633492515</v>
      </c>
      <c r="BL39" s="39">
        <f t="shared" si="114"/>
        <v>1345559.3994462527</v>
      </c>
      <c r="BM39" s="39">
        <f t="shared" si="114"/>
        <v>1313381.6439569676</v>
      </c>
      <c r="BN39" s="39">
        <f t="shared" si="114"/>
        <v>1281492.0011288386</v>
      </c>
      <c r="BO39" s="39">
        <f t="shared" ref="BO39:CN39" si="115">BO$24*BO20</f>
        <v>1233296.4792241864</v>
      </c>
      <c r="BP39" s="39">
        <f t="shared" si="115"/>
        <v>1351377.7084979252</v>
      </c>
      <c r="BQ39" s="39">
        <f t="shared" si="115"/>
        <v>1477387.8293687385</v>
      </c>
      <c r="BR39" s="39">
        <f t="shared" si="115"/>
        <v>1591137.2590150589</v>
      </c>
      <c r="BS39" s="39">
        <f t="shared" si="115"/>
        <v>1671981.2261386022</v>
      </c>
      <c r="BT39" s="39">
        <f t="shared" si="115"/>
        <v>1745254.1636657685</v>
      </c>
      <c r="BU39" s="39">
        <f t="shared" si="115"/>
        <v>1668361.1222366067</v>
      </c>
      <c r="BV39" s="39">
        <f t="shared" si="115"/>
        <v>1660369.2739931373</v>
      </c>
      <c r="BW39" s="39">
        <f t="shared" si="115"/>
        <v>1619478.6379365723</v>
      </c>
      <c r="BX39" s="39">
        <f t="shared" si="115"/>
        <v>1562541.0638867656</v>
      </c>
      <c r="BY39" s="39">
        <f t="shared" si="115"/>
        <v>1559599.8226148186</v>
      </c>
      <c r="BZ39" s="39">
        <f t="shared" si="115"/>
        <v>1708948.907758737</v>
      </c>
      <c r="CA39" s="39">
        <f t="shared" si="115"/>
        <v>1874192.2402125921</v>
      </c>
      <c r="CB39" s="39">
        <f t="shared" si="115"/>
        <v>2105808.4697063612</v>
      </c>
      <c r="CC39" s="39">
        <f t="shared" si="115"/>
        <v>2411749.7613235638</v>
      </c>
      <c r="CD39" s="39">
        <f t="shared" si="115"/>
        <v>1932502.9027964787</v>
      </c>
      <c r="CE39" s="39">
        <f t="shared" si="115"/>
        <v>1838504.5600907861</v>
      </c>
      <c r="CF39" s="39">
        <f t="shared" si="115"/>
        <v>1789343.6308166706</v>
      </c>
      <c r="CG39" s="39">
        <f t="shared" si="115"/>
        <v>1609769.4962396356</v>
      </c>
      <c r="CH39" s="39">
        <f t="shared" si="115"/>
        <v>1388848.9021731466</v>
      </c>
      <c r="CI39" s="39">
        <f t="shared" si="115"/>
        <v>1189548.504099661</v>
      </c>
      <c r="CJ39" s="39">
        <f t="shared" si="115"/>
        <v>1305607.8853714364</v>
      </c>
      <c r="CK39" s="39">
        <f t="shared" si="115"/>
        <v>1335792.6066431564</v>
      </c>
      <c r="CL39" s="39">
        <f t="shared" si="115"/>
        <v>1311969.5711739345</v>
      </c>
      <c r="CM39" s="39">
        <f t="shared" si="115"/>
        <v>1235020.6741932007</v>
      </c>
      <c r="CN39" s="39">
        <f t="shared" si="115"/>
        <v>1137005.1648610404</v>
      </c>
      <c r="CO39" s="39">
        <f>CO$24*CO20</f>
        <v>4317604.1051262012</v>
      </c>
      <c r="CQ39" s="39">
        <f t="shared" si="0"/>
        <v>103368889.8520523</v>
      </c>
    </row>
    <row r="41" spans="2:95" ht="14.5">
      <c r="CQ41" s="1119">
        <f>(CQ39/CQ27)^(1/COUNTA(CQ28:CQ39))-1</f>
        <v>1.0024862455667805E-2</v>
      </c>
    </row>
  </sheetData>
  <hyperlinks>
    <hyperlink ref="C4" r:id="rId1" xr:uid="{B3183250-9622-4A0B-9344-A7313D575212}"/>
    <hyperlink ref="C3" r:id="rId2" xr:uid="{F6030BA8-37CE-438C-903B-4CD7AFFDC696}"/>
  </hyperlinks>
  <pageMargins left="0.7" right="0.7" top="0.75" bottom="0.75" header="0.3" footer="0.3"/>
  <pageSetup paperSize="9"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DB57-8D0F-4024-9178-8E9FFC03FC47}">
  <sheetPr>
    <pageSetUpPr fitToPage="1"/>
  </sheetPr>
  <dimension ref="A1:Y105"/>
  <sheetViews>
    <sheetView showGridLines="0" topLeftCell="A44" workbookViewId="0">
      <selection activeCell="C63" sqref="C63:C78"/>
    </sheetView>
  </sheetViews>
  <sheetFormatPr defaultColWidth="8.81640625" defaultRowHeight="12.5"/>
  <cols>
    <col min="1" max="1" width="2.1796875" style="1372" customWidth="1"/>
    <col min="2" max="2" width="11.1796875" style="1372" customWidth="1"/>
    <col min="3" max="3" width="12.453125" style="1379" customWidth="1"/>
    <col min="4" max="4" width="12.453125" style="1378" customWidth="1"/>
    <col min="5" max="6" width="11.453125" style="1377" customWidth="1"/>
    <col min="7" max="7" width="2.1796875" style="1372" customWidth="1"/>
    <col min="8" max="8" width="9.453125" style="1376" customWidth="1"/>
    <col min="9" max="9" width="12.453125" style="1375" customWidth="1"/>
    <col min="10" max="10" width="12.453125" style="1374" customWidth="1"/>
    <col min="11" max="11" width="14" style="1373" customWidth="1"/>
    <col min="12" max="16384" width="8.81640625" style="1372"/>
  </cols>
  <sheetData>
    <row r="1" spans="1:13" s="1376" customFormat="1" ht="13">
      <c r="A1" s="1418"/>
      <c r="B1" s="1425" t="s">
        <v>406</v>
      </c>
      <c r="C1" s="1424"/>
      <c r="D1" s="1423"/>
      <c r="E1" s="1422"/>
      <c r="F1" s="1422"/>
      <c r="G1" s="1418"/>
      <c r="I1" s="1375"/>
      <c r="J1" s="1374"/>
      <c r="K1" s="1373"/>
    </row>
    <row r="2" spans="1:13" s="1376" customFormat="1" ht="4" customHeight="1">
      <c r="A2" s="1418"/>
      <c r="B2" s="1425"/>
      <c r="C2" s="1424"/>
      <c r="D2" s="1423"/>
      <c r="E2" s="1422"/>
      <c r="F2" s="1422"/>
      <c r="G2" s="1418"/>
      <c r="I2" s="1375"/>
      <c r="J2" s="1374"/>
      <c r="K2" s="1373"/>
    </row>
    <row r="3" spans="1:13" ht="12.75" customHeight="1">
      <c r="A3" s="1380"/>
      <c r="B3" s="1769" t="s">
        <v>407</v>
      </c>
      <c r="C3" s="1769"/>
      <c r="D3" s="1769"/>
      <c r="E3" s="1769"/>
      <c r="F3" s="1769"/>
      <c r="G3" s="1769"/>
      <c r="H3" s="1769"/>
      <c r="I3" s="1769"/>
      <c r="J3" s="1769"/>
      <c r="K3" s="1769"/>
    </row>
    <row r="4" spans="1:13" ht="13">
      <c r="A4" s="1380"/>
      <c r="B4" s="1770" t="s">
        <v>408</v>
      </c>
      <c r="C4" s="1770"/>
      <c r="D4" s="1770"/>
      <c r="E4" s="1770"/>
      <c r="F4" s="1770"/>
      <c r="G4" s="1770"/>
      <c r="H4" s="1770"/>
      <c r="I4" s="1770"/>
      <c r="J4" s="1770"/>
      <c r="K4" s="1770"/>
    </row>
    <row r="5" spans="1:13" ht="13">
      <c r="A5" s="1380"/>
      <c r="B5" s="1778" t="s">
        <v>409</v>
      </c>
      <c r="C5" s="1779"/>
      <c r="D5" s="1779"/>
      <c r="E5" s="1779"/>
      <c r="F5" s="1780"/>
      <c r="G5" s="1421"/>
      <c r="H5" s="1771" t="s">
        <v>410</v>
      </c>
      <c r="I5" s="1772"/>
      <c r="J5" s="1772"/>
      <c r="K5" s="1773"/>
    </row>
    <row r="6" spans="1:13" s="1376" customFormat="1" ht="15.5">
      <c r="A6" s="1418"/>
      <c r="B6" s="1420"/>
      <c r="C6" s="1774" t="s">
        <v>411</v>
      </c>
      <c r="D6" s="1775"/>
      <c r="E6" s="1419" t="s">
        <v>412</v>
      </c>
      <c r="F6" s="1710"/>
      <c r="G6" s="1418"/>
      <c r="H6" s="1711"/>
      <c r="I6" s="1776" t="s">
        <v>411</v>
      </c>
      <c r="J6" s="1777"/>
      <c r="K6" s="1712" t="s">
        <v>413</v>
      </c>
    </row>
    <row r="7" spans="1:13" s="1386" customFormat="1" ht="51" customHeight="1">
      <c r="A7" s="1412"/>
      <c r="B7" s="1415" t="s">
        <v>409</v>
      </c>
      <c r="C7" s="1417" t="s">
        <v>414</v>
      </c>
      <c r="D7" s="1413" t="s">
        <v>415</v>
      </c>
      <c r="E7" s="1713" t="s">
        <v>416</v>
      </c>
      <c r="F7" s="1713" t="s">
        <v>417</v>
      </c>
      <c r="G7" s="1416"/>
      <c r="H7" s="1415" t="s">
        <v>410</v>
      </c>
      <c r="I7" s="1414" t="s">
        <v>418</v>
      </c>
      <c r="J7" s="1413" t="s">
        <v>415</v>
      </c>
      <c r="K7" s="1713" t="s">
        <v>419</v>
      </c>
    </row>
    <row r="8" spans="1:13" s="1386" customFormat="1" ht="13">
      <c r="A8" s="1412"/>
      <c r="B8" s="1411" t="s">
        <v>420</v>
      </c>
      <c r="C8" s="1409">
        <v>3.3016000000000001</v>
      </c>
      <c r="D8" s="1405"/>
      <c r="E8" s="1408">
        <v>19574</v>
      </c>
      <c r="F8" s="1410">
        <v>19589</v>
      </c>
      <c r="G8" s="1406"/>
      <c r="H8" s="1400" t="s">
        <v>421</v>
      </c>
      <c r="I8" s="1409">
        <v>3.2823000000000002</v>
      </c>
      <c r="J8" s="1405"/>
      <c r="K8" s="1408">
        <v>19169</v>
      </c>
      <c r="L8" s="1406"/>
      <c r="M8" s="1384"/>
    </row>
    <row r="9" spans="1:13" s="1386" customFormat="1" ht="13">
      <c r="A9" s="1412"/>
      <c r="B9" s="1411" t="s">
        <v>422</v>
      </c>
      <c r="C9" s="1409">
        <v>3.5065</v>
      </c>
      <c r="D9" s="1405">
        <v>6.2060818996849969</v>
      </c>
      <c r="E9" s="1408">
        <v>21162</v>
      </c>
      <c r="F9" s="1410">
        <v>21138</v>
      </c>
      <c r="G9" s="1406"/>
      <c r="H9" s="1400" t="s">
        <v>423</v>
      </c>
      <c r="I9" s="1409">
        <v>3.5101</v>
      </c>
      <c r="J9" s="1405">
        <v>6.9402553087773748</v>
      </c>
      <c r="K9" s="1408">
        <v>20844</v>
      </c>
      <c r="L9" s="1406"/>
      <c r="M9" s="1384"/>
    </row>
    <row r="10" spans="1:13" s="1386" customFormat="1" ht="13">
      <c r="A10" s="1412"/>
      <c r="B10" s="1411" t="s">
        <v>424</v>
      </c>
      <c r="C10" s="1409">
        <v>3.6680000000000001</v>
      </c>
      <c r="D10" s="1405">
        <v>4.6057322116070214</v>
      </c>
      <c r="E10" s="1408">
        <v>22509</v>
      </c>
      <c r="F10" s="1410">
        <v>22524</v>
      </c>
      <c r="G10" s="1406"/>
      <c r="H10" s="1400" t="s">
        <v>425</v>
      </c>
      <c r="I10" s="1409">
        <v>3.6507000000000001</v>
      </c>
      <c r="J10" s="1405">
        <v>4.0055838864989619</v>
      </c>
      <c r="K10" s="1408">
        <v>22104</v>
      </c>
      <c r="L10" s="1406"/>
      <c r="M10" s="1384"/>
    </row>
    <row r="11" spans="1:13" s="1386" customFormat="1" ht="13">
      <c r="A11" s="1412"/>
      <c r="B11" s="1411" t="s">
        <v>426</v>
      </c>
      <c r="C11" s="1409">
        <v>3.7570000000000001</v>
      </c>
      <c r="D11" s="1405">
        <v>2.4263904034896391</v>
      </c>
      <c r="E11" s="1408">
        <v>23335</v>
      </c>
      <c r="F11" s="1410">
        <v>23305</v>
      </c>
      <c r="G11" s="1406"/>
      <c r="H11" s="1400" t="s">
        <v>427</v>
      </c>
      <c r="I11" s="1409">
        <v>3.7839999999999998</v>
      </c>
      <c r="J11" s="1405">
        <v>3.6513545347467544</v>
      </c>
      <c r="K11" s="1408">
        <v>23220</v>
      </c>
      <c r="L11" s="1406"/>
      <c r="M11" s="1384"/>
    </row>
    <row r="12" spans="1:13" s="1386" customFormat="1" ht="13">
      <c r="A12" s="1412"/>
      <c r="B12" s="1411" t="s">
        <v>428</v>
      </c>
      <c r="C12" s="1409">
        <v>3.7765</v>
      </c>
      <c r="D12" s="1405">
        <v>0.51903114186850807</v>
      </c>
      <c r="E12" s="1408">
        <v>24873</v>
      </c>
      <c r="F12" s="1410">
        <v>24928</v>
      </c>
      <c r="G12" s="1406"/>
      <c r="H12" s="1400" t="s">
        <v>429</v>
      </c>
      <c r="I12" s="1409">
        <v>3.8113999999999999</v>
      </c>
      <c r="J12" s="1405">
        <v>0.72410147991543583</v>
      </c>
      <c r="K12" s="1408">
        <v>24388</v>
      </c>
      <c r="L12" s="1406"/>
      <c r="M12" s="1384"/>
    </row>
    <row r="13" spans="1:13" s="1386" customFormat="1" ht="13">
      <c r="A13" s="1412"/>
      <c r="B13" s="1411" t="s">
        <v>430</v>
      </c>
      <c r="C13" s="1409">
        <v>3.8519999999999999</v>
      </c>
      <c r="D13" s="1405">
        <v>1.9992056136634424</v>
      </c>
      <c r="E13" s="1408">
        <v>26639</v>
      </c>
      <c r="F13" s="1410">
        <v>26657</v>
      </c>
      <c r="G13" s="1406"/>
      <c r="H13" s="1400" t="s">
        <v>431</v>
      </c>
      <c r="I13" s="1409">
        <v>3.8512</v>
      </c>
      <c r="J13" s="1405">
        <v>1.0442357139109004</v>
      </c>
      <c r="K13" s="1408">
        <v>26201</v>
      </c>
      <c r="L13" s="1406"/>
      <c r="M13" s="1384"/>
    </row>
    <row r="14" spans="1:13" s="1386" customFormat="1" ht="13">
      <c r="A14" s="1412"/>
      <c r="B14" s="1411" t="s">
        <v>432</v>
      </c>
      <c r="C14" s="1409">
        <v>3.9933999999999998</v>
      </c>
      <c r="D14" s="1405">
        <v>3.670820353063343</v>
      </c>
      <c r="E14" s="1408">
        <v>28141</v>
      </c>
      <c r="F14" s="1410">
        <v>28169</v>
      </c>
      <c r="G14" s="1406"/>
      <c r="H14" s="1400" t="s">
        <v>433</v>
      </c>
      <c r="I14" s="1409">
        <v>3.9969999999999999</v>
      </c>
      <c r="J14" s="1405">
        <v>3.7858329871208953</v>
      </c>
      <c r="K14" s="1408">
        <v>27918</v>
      </c>
      <c r="L14" s="1406"/>
      <c r="M14" s="1384"/>
    </row>
    <row r="15" spans="1:13" s="1386" customFormat="1" ht="13">
      <c r="A15" s="1412"/>
      <c r="B15" s="1411" t="s">
        <v>434</v>
      </c>
      <c r="C15" s="1409">
        <v>4.1180000000000003</v>
      </c>
      <c r="D15" s="1405">
        <v>3.1201482446036084</v>
      </c>
      <c r="E15" s="1408">
        <v>29450</v>
      </c>
      <c r="F15" s="1410">
        <v>29468</v>
      </c>
      <c r="G15" s="1406"/>
      <c r="H15" s="1400" t="s">
        <v>435</v>
      </c>
      <c r="I15" s="1409">
        <v>4.1409000000000002</v>
      </c>
      <c r="J15" s="1405">
        <v>3.600200150112594</v>
      </c>
      <c r="K15" s="1408">
        <v>29235</v>
      </c>
      <c r="L15" s="1406"/>
      <c r="M15" s="1384"/>
    </row>
    <row r="16" spans="1:13" s="1386" customFormat="1" ht="13">
      <c r="A16" s="1412"/>
      <c r="B16" s="1411" t="s">
        <v>436</v>
      </c>
      <c r="C16" s="1409">
        <v>4.1871</v>
      </c>
      <c r="D16" s="1405">
        <v>1.6779990286546798</v>
      </c>
      <c r="E16" s="1408">
        <v>31921</v>
      </c>
      <c r="F16" s="1410">
        <v>31876</v>
      </c>
      <c r="G16" s="1406"/>
      <c r="H16" s="1400" t="s">
        <v>437</v>
      </c>
      <c r="I16" s="1409">
        <v>4.2011000000000003</v>
      </c>
      <c r="J16" s="1405">
        <v>1.4537902388369686</v>
      </c>
      <c r="K16" s="1408">
        <v>31099</v>
      </c>
      <c r="L16" s="1406"/>
      <c r="M16" s="1384"/>
    </row>
    <row r="17" spans="1:13" ht="12.75" customHeight="1">
      <c r="A17" s="1380"/>
      <c r="B17" s="1403" t="s">
        <v>438</v>
      </c>
      <c r="C17" s="1399">
        <v>4.3840000000000003</v>
      </c>
      <c r="D17" s="1405">
        <v>4.7025387499701532</v>
      </c>
      <c r="E17" s="1397">
        <v>34855</v>
      </c>
      <c r="F17" s="1407">
        <v>34924</v>
      </c>
      <c r="G17" s="1406"/>
      <c r="H17" s="1400" t="s">
        <v>439</v>
      </c>
      <c r="I17" s="1399">
        <v>4.3512000000000004</v>
      </c>
      <c r="J17" s="1398">
        <v>3.5728737711551766</v>
      </c>
      <c r="K17" s="1397">
        <v>34047</v>
      </c>
      <c r="L17" s="1406"/>
      <c r="M17" s="1384"/>
    </row>
    <row r="18" spans="1:13" ht="13">
      <c r="A18" s="1380"/>
      <c r="B18" s="1403" t="s">
        <v>440</v>
      </c>
      <c r="C18" s="1389">
        <v>4.6204999999999998</v>
      </c>
      <c r="D18" s="1405">
        <v>5.394616788321156</v>
      </c>
      <c r="E18" s="1402">
        <v>37461</v>
      </c>
      <c r="F18" s="1401">
        <v>37415</v>
      </c>
      <c r="G18" s="1406"/>
      <c r="H18" s="1400" t="s">
        <v>441</v>
      </c>
      <c r="I18" s="1399">
        <v>4.6097999999999999</v>
      </c>
      <c r="J18" s="1398">
        <v>5.9431880860452164</v>
      </c>
      <c r="K18" s="1397">
        <v>36828</v>
      </c>
      <c r="L18" s="1406"/>
      <c r="M18" s="1384"/>
    </row>
    <row r="19" spans="1:13" ht="13">
      <c r="A19" s="1380"/>
      <c r="B19" s="1403" t="s">
        <v>442</v>
      </c>
      <c r="C19" s="1389">
        <v>4.8552999999999997</v>
      </c>
      <c r="D19" s="1405">
        <v>5.0817011145979851</v>
      </c>
      <c r="E19" s="1402">
        <v>39949</v>
      </c>
      <c r="F19" s="1401">
        <v>39946</v>
      </c>
      <c r="G19" s="1406"/>
      <c r="H19" s="1400" t="s">
        <v>443</v>
      </c>
      <c r="I19" s="1399">
        <v>4.8559000000000001</v>
      </c>
      <c r="J19" s="1398">
        <v>5.3386264046162566</v>
      </c>
      <c r="K19" s="1397">
        <v>39394</v>
      </c>
      <c r="L19" s="1406"/>
      <c r="M19" s="1384"/>
    </row>
    <row r="20" spans="1:13" ht="13">
      <c r="A20" s="1380"/>
      <c r="B20" s="1403" t="s">
        <v>444</v>
      </c>
      <c r="C20" s="1389">
        <v>4.9882</v>
      </c>
      <c r="D20" s="1405">
        <v>2.7372150021625905</v>
      </c>
      <c r="E20" s="1402">
        <v>42504</v>
      </c>
      <c r="F20" s="1401">
        <v>42612</v>
      </c>
      <c r="G20" s="1406"/>
      <c r="H20" s="1400" t="s">
        <v>445</v>
      </c>
      <c r="I20" s="1399">
        <v>4.9991000000000003</v>
      </c>
      <c r="J20" s="1398">
        <v>2.9489898885891432</v>
      </c>
      <c r="K20" s="1397">
        <v>41673</v>
      </c>
      <c r="L20" s="1406"/>
      <c r="M20" s="1384"/>
    </row>
    <row r="21" spans="1:13" ht="13">
      <c r="A21" s="1380"/>
      <c r="B21" s="1403" t="s">
        <v>446</v>
      </c>
      <c r="C21" s="1389">
        <v>5.2492000000000001</v>
      </c>
      <c r="D21" s="1405">
        <v>5.2323483420873282</v>
      </c>
      <c r="E21" s="1402">
        <v>46763</v>
      </c>
      <c r="F21" s="1401">
        <v>46784</v>
      </c>
      <c r="G21" s="1406"/>
      <c r="H21" s="1400" t="s">
        <v>447</v>
      </c>
      <c r="I21" s="1399">
        <v>5.2088999999999999</v>
      </c>
      <c r="J21" s="1398">
        <v>4.1967554159748666</v>
      </c>
      <c r="K21" s="1397">
        <v>45795</v>
      </c>
      <c r="L21" s="1406"/>
      <c r="M21" s="1384"/>
    </row>
    <row r="22" spans="1:13" ht="13">
      <c r="A22" s="1380"/>
      <c r="B22" s="1403" t="s">
        <v>448</v>
      </c>
      <c r="C22" s="1389">
        <v>5.6117999999999997</v>
      </c>
      <c r="D22" s="1405">
        <v>6.9077192715080313</v>
      </c>
      <c r="E22" s="1402">
        <v>50843</v>
      </c>
      <c r="F22" s="1401">
        <v>50895</v>
      </c>
      <c r="G22" s="1406"/>
      <c r="H22" s="1400" t="s">
        <v>449</v>
      </c>
      <c r="I22" s="1399">
        <v>5.5540000000000003</v>
      </c>
      <c r="J22" s="1398">
        <v>6.6251991783294049</v>
      </c>
      <c r="K22" s="1397">
        <v>49761</v>
      </c>
      <c r="L22" s="1406"/>
      <c r="M22" s="1384"/>
    </row>
    <row r="23" spans="1:13" ht="13">
      <c r="A23" s="1380"/>
      <c r="B23" s="1403" t="s">
        <v>450</v>
      </c>
      <c r="C23" s="1389">
        <v>6.1657000000000002</v>
      </c>
      <c r="D23" s="1405">
        <v>9.870273352578506</v>
      </c>
      <c r="E23" s="1402">
        <v>57723</v>
      </c>
      <c r="F23" s="1401">
        <v>57807</v>
      </c>
      <c r="G23" s="1406"/>
      <c r="H23" s="1400" t="s">
        <v>451</v>
      </c>
      <c r="I23" s="1399">
        <v>6.0885999999999996</v>
      </c>
      <c r="J23" s="1398">
        <v>9.6254951386388043</v>
      </c>
      <c r="K23" s="1397">
        <v>56041</v>
      </c>
      <c r="L23" s="1406"/>
      <c r="M23" s="1384"/>
    </row>
    <row r="24" spans="1:13" ht="13">
      <c r="A24" s="1380"/>
      <c r="B24" s="1403" t="s">
        <v>452</v>
      </c>
      <c r="C24" s="1389">
        <v>6.6319999999999997</v>
      </c>
      <c r="D24" s="1405">
        <v>7.5628071427412857</v>
      </c>
      <c r="E24" s="1402">
        <v>64575</v>
      </c>
      <c r="F24" s="1401">
        <v>64483</v>
      </c>
      <c r="G24" s="1406"/>
      <c r="H24" s="1400" t="s">
        <v>453</v>
      </c>
      <c r="I24" s="1399">
        <v>6.5929000000000002</v>
      </c>
      <c r="J24" s="1398">
        <v>8.2826922445225613</v>
      </c>
      <c r="K24" s="1397">
        <v>62870</v>
      </c>
      <c r="L24" s="1406"/>
      <c r="M24" s="1384"/>
    </row>
    <row r="25" spans="1:13" ht="13">
      <c r="A25" s="1380"/>
      <c r="B25" s="1403" t="s">
        <v>454</v>
      </c>
      <c r="C25" s="1389">
        <v>7.1959</v>
      </c>
      <c r="D25" s="1405">
        <v>8.5027141133896311</v>
      </c>
      <c r="E25" s="1402">
        <v>73925</v>
      </c>
      <c r="F25" s="1401">
        <v>74025</v>
      </c>
      <c r="G25" s="1406"/>
      <c r="H25" s="1400" t="s">
        <v>455</v>
      </c>
      <c r="I25" s="1399">
        <v>7.0907</v>
      </c>
      <c r="J25" s="1398">
        <v>7.5505468003458223</v>
      </c>
      <c r="K25" s="1397">
        <v>70578</v>
      </c>
      <c r="L25" s="1406"/>
      <c r="M25" s="1384"/>
    </row>
    <row r="26" spans="1:13" ht="13">
      <c r="A26" s="1380"/>
      <c r="B26" s="1403" t="s">
        <v>456</v>
      </c>
      <c r="C26" s="1389">
        <v>7.8282999999999996</v>
      </c>
      <c r="D26" s="1405">
        <v>8.7883378034714159</v>
      </c>
      <c r="E26" s="1402">
        <v>82855</v>
      </c>
      <c r="F26" s="1401">
        <v>82879</v>
      </c>
      <c r="G26" s="1406"/>
      <c r="H26" s="1400" t="s">
        <v>457</v>
      </c>
      <c r="I26" s="1399">
        <v>7.7205000000000004</v>
      </c>
      <c r="J26" s="1398">
        <v>8.8820567785973221</v>
      </c>
      <c r="K26" s="1397">
        <v>81793</v>
      </c>
      <c r="L26" s="1406"/>
      <c r="M26" s="1384"/>
    </row>
    <row r="27" spans="1:13" ht="13">
      <c r="A27" s="1380"/>
      <c r="B27" s="1403" t="s">
        <v>458</v>
      </c>
      <c r="C27" s="1389">
        <v>9.4197000000000006</v>
      </c>
      <c r="D27" s="1405">
        <v>20.328807020681388</v>
      </c>
      <c r="E27" s="1402">
        <v>98182</v>
      </c>
      <c r="F27" s="1401">
        <v>98355</v>
      </c>
      <c r="G27" s="1406"/>
      <c r="H27" s="1400" t="s">
        <v>459</v>
      </c>
      <c r="I27" s="1399">
        <v>8.9687000000000001</v>
      </c>
      <c r="J27" s="1398">
        <v>16.167346674438178</v>
      </c>
      <c r="K27" s="1397">
        <v>92673</v>
      </c>
      <c r="L27" s="1406"/>
      <c r="M27" s="1384"/>
    </row>
    <row r="28" spans="1:13" ht="13">
      <c r="A28" s="1380"/>
      <c r="B28" s="1403" t="s">
        <v>460</v>
      </c>
      <c r="C28" s="1389">
        <v>11.723000000000001</v>
      </c>
      <c r="D28" s="1405">
        <v>24.45194645264711</v>
      </c>
      <c r="E28" s="1402">
        <v>120844</v>
      </c>
      <c r="F28" s="1401">
        <v>120728</v>
      </c>
      <c r="G28" s="1406"/>
      <c r="H28" s="1400" t="s">
        <v>461</v>
      </c>
      <c r="I28" s="1399">
        <v>11.3126</v>
      </c>
      <c r="J28" s="1398">
        <v>26.134222351065368</v>
      </c>
      <c r="K28" s="1397">
        <v>115093</v>
      </c>
      <c r="L28" s="1406"/>
      <c r="M28" s="1384"/>
    </row>
    <row r="29" spans="1:13" ht="13">
      <c r="A29" s="1380"/>
      <c r="B29" s="1403" t="s">
        <v>462</v>
      </c>
      <c r="C29" s="1389">
        <v>13.358599999999999</v>
      </c>
      <c r="D29" s="1405">
        <v>13.952060052887472</v>
      </c>
      <c r="E29" s="1402">
        <v>142077</v>
      </c>
      <c r="F29" s="1401">
        <v>142588</v>
      </c>
      <c r="G29" s="1406"/>
      <c r="H29" s="1400" t="s">
        <v>463</v>
      </c>
      <c r="I29" s="1399">
        <v>13.0634</v>
      </c>
      <c r="J29" s="1398">
        <v>15.476548273606422</v>
      </c>
      <c r="K29" s="1397">
        <v>136999</v>
      </c>
      <c r="L29" s="1406"/>
      <c r="M29" s="1384"/>
    </row>
    <row r="30" spans="1:13" ht="13">
      <c r="A30" s="1380"/>
      <c r="B30" s="1403" t="s">
        <v>464</v>
      </c>
      <c r="C30" s="1389">
        <v>15.1944</v>
      </c>
      <c r="D30" s="1405">
        <v>13.742458042010398</v>
      </c>
      <c r="E30" s="1402">
        <v>166100</v>
      </c>
      <c r="F30" s="1401">
        <v>165888</v>
      </c>
      <c r="G30" s="1406"/>
      <c r="H30" s="1400" t="s">
        <v>465</v>
      </c>
      <c r="I30" s="1399">
        <v>14.873900000000001</v>
      </c>
      <c r="J30" s="1398">
        <v>13.859332179983779</v>
      </c>
      <c r="K30" s="1397">
        <v>159786</v>
      </c>
      <c r="L30" s="1406"/>
      <c r="M30" s="1384"/>
    </row>
    <row r="31" spans="1:13" ht="13">
      <c r="A31" s="1380"/>
      <c r="B31" s="1403" t="s">
        <v>466</v>
      </c>
      <c r="C31" s="1389">
        <v>16.905100000000001</v>
      </c>
      <c r="D31" s="1405">
        <v>11.258753224872327</v>
      </c>
      <c r="E31" s="1402">
        <v>192358</v>
      </c>
      <c r="F31" s="1401">
        <v>192477</v>
      </c>
      <c r="G31" s="1406"/>
      <c r="H31" s="1400" t="s">
        <v>467</v>
      </c>
      <c r="I31" s="1399">
        <v>16.6296</v>
      </c>
      <c r="J31" s="1398">
        <v>11.803898103389152</v>
      </c>
      <c r="K31" s="1397">
        <v>186158</v>
      </c>
      <c r="L31" s="1406"/>
      <c r="M31" s="1384"/>
    </row>
    <row r="32" spans="1:13" ht="13">
      <c r="A32" s="1380"/>
      <c r="B32" s="1403" t="s">
        <v>468</v>
      </c>
      <c r="C32" s="1389">
        <v>19.7578</v>
      </c>
      <c r="D32" s="1405">
        <v>16.874789264778077</v>
      </c>
      <c r="E32" s="1402">
        <v>232592</v>
      </c>
      <c r="F32" s="1401">
        <v>232629</v>
      </c>
      <c r="G32" s="1406"/>
      <c r="H32" s="1400" t="s">
        <v>469</v>
      </c>
      <c r="I32" s="1399">
        <v>19.031400000000001</v>
      </c>
      <c r="J32" s="1398">
        <v>14.442921056429508</v>
      </c>
      <c r="K32" s="1397">
        <v>220981</v>
      </c>
      <c r="L32" s="1406"/>
      <c r="M32" s="1384"/>
    </row>
    <row r="33" spans="1:13" ht="13">
      <c r="A33" s="1380"/>
      <c r="B33" s="1403" t="s">
        <v>470</v>
      </c>
      <c r="C33" s="1389">
        <v>23.5291</v>
      </c>
      <c r="D33" s="1405">
        <v>19.087651459170559</v>
      </c>
      <c r="E33" s="1402">
        <v>267518</v>
      </c>
      <c r="F33" s="1401">
        <v>267803</v>
      </c>
      <c r="G33" s="1406"/>
      <c r="H33" s="1400" t="s">
        <v>471</v>
      </c>
      <c r="I33" s="1399">
        <v>22.875800000000002</v>
      </c>
      <c r="J33" s="1398">
        <v>20.200300555923366</v>
      </c>
      <c r="K33" s="1397">
        <v>259970</v>
      </c>
      <c r="L33" s="1406"/>
      <c r="M33" s="1384"/>
    </row>
    <row r="34" spans="1:13" ht="13">
      <c r="A34" s="1380"/>
      <c r="B34" s="1403" t="s">
        <v>472</v>
      </c>
      <c r="C34" s="1389">
        <v>26.008099999999999</v>
      </c>
      <c r="D34" s="1405">
        <v>10.535889600537205</v>
      </c>
      <c r="E34" s="1402">
        <v>298261</v>
      </c>
      <c r="F34" s="1401">
        <v>297708</v>
      </c>
      <c r="G34" s="1406"/>
      <c r="H34" s="1400" t="s">
        <v>473</v>
      </c>
      <c r="I34" s="1399">
        <v>25.694500000000001</v>
      </c>
      <c r="J34" s="1398">
        <v>12.321754867589329</v>
      </c>
      <c r="K34" s="1397">
        <v>290180</v>
      </c>
      <c r="L34" s="1406"/>
      <c r="M34" s="1384"/>
    </row>
    <row r="35" spans="1:13" ht="13">
      <c r="A35" s="1380"/>
      <c r="B35" s="1403" t="s">
        <v>474</v>
      </c>
      <c r="C35" s="1389">
        <v>27.925699999999999</v>
      </c>
      <c r="D35" s="1405">
        <v>7.3730876150122473</v>
      </c>
      <c r="E35" s="1402">
        <v>327449</v>
      </c>
      <c r="F35" s="1401">
        <v>327817</v>
      </c>
      <c r="G35" s="1406"/>
      <c r="H35" s="1400" t="s">
        <v>475</v>
      </c>
      <c r="I35" s="1399">
        <v>27.751000000000001</v>
      </c>
      <c r="J35" s="1398">
        <v>8.0036583704683881</v>
      </c>
      <c r="K35" s="1397">
        <v>319558</v>
      </c>
      <c r="L35" s="1406"/>
      <c r="M35" s="1384"/>
    </row>
    <row r="36" spans="1:13" ht="13">
      <c r="A36" s="1380"/>
      <c r="B36" s="1403" t="s">
        <v>476</v>
      </c>
      <c r="C36" s="1389">
        <v>29.254899999999999</v>
      </c>
      <c r="D36" s="1405">
        <v>4.7597732554600247</v>
      </c>
      <c r="E36" s="1402">
        <v>358062</v>
      </c>
      <c r="F36" s="1401">
        <v>357283</v>
      </c>
      <c r="G36" s="1406"/>
      <c r="H36" s="1400" t="s">
        <v>477</v>
      </c>
      <c r="I36" s="1399">
        <v>29.2911</v>
      </c>
      <c r="J36" s="1398">
        <v>5.5497099203632256</v>
      </c>
      <c r="K36" s="1397">
        <v>351347</v>
      </c>
      <c r="L36" s="1406"/>
      <c r="M36" s="1384"/>
    </row>
    <row r="37" spans="1:13" ht="13">
      <c r="A37" s="1380"/>
      <c r="B37" s="1403" t="s">
        <v>478</v>
      </c>
      <c r="C37" s="1389">
        <v>30.964099999999998</v>
      </c>
      <c r="D37" s="1405">
        <v>5.8424400698686343</v>
      </c>
      <c r="E37" s="1402">
        <v>385979</v>
      </c>
      <c r="F37" s="1401">
        <v>385669</v>
      </c>
      <c r="G37" s="1406"/>
      <c r="H37" s="1400" t="s">
        <v>479</v>
      </c>
      <c r="I37" s="1399">
        <v>30.8233</v>
      </c>
      <c r="J37" s="1398">
        <v>5.2309404563160804</v>
      </c>
      <c r="K37" s="1397">
        <v>377920</v>
      </c>
      <c r="L37" s="1406"/>
      <c r="M37" s="1384"/>
    </row>
    <row r="38" spans="1:13" ht="13">
      <c r="A38" s="1380"/>
      <c r="B38" s="1403" t="s">
        <v>480</v>
      </c>
      <c r="C38" s="1389">
        <v>32.649500000000003</v>
      </c>
      <c r="D38" s="1405">
        <v>5.4430776286086306</v>
      </c>
      <c r="E38" s="1402">
        <v>423724</v>
      </c>
      <c r="F38" s="1401">
        <v>423971</v>
      </c>
      <c r="G38" s="1406"/>
      <c r="H38" s="1400" t="s">
        <v>481</v>
      </c>
      <c r="I38" s="1399">
        <v>32.487699999999997</v>
      </c>
      <c r="J38" s="1398">
        <v>5.3998111818007715</v>
      </c>
      <c r="K38" s="1397">
        <v>414630</v>
      </c>
      <c r="L38" s="1406"/>
      <c r="M38" s="1384"/>
    </row>
    <row r="39" spans="1:13" ht="13">
      <c r="A39" s="1380"/>
      <c r="B39" s="1403" t="s">
        <v>482</v>
      </c>
      <c r="C39" s="1389">
        <v>33.972200000000001</v>
      </c>
      <c r="D39" s="1405">
        <v>4.0512105851544353</v>
      </c>
      <c r="E39" s="1402">
        <v>455183</v>
      </c>
      <c r="F39" s="1401">
        <v>455983</v>
      </c>
      <c r="G39" s="1406"/>
      <c r="H39" s="1400" t="s">
        <v>483</v>
      </c>
      <c r="I39" s="1399">
        <v>33.937899999999999</v>
      </c>
      <c r="J39" s="1398">
        <v>4.4638432391335874</v>
      </c>
      <c r="K39" s="1397">
        <v>446600</v>
      </c>
      <c r="L39" s="1406"/>
      <c r="M39" s="1384"/>
    </row>
    <row r="40" spans="1:13" ht="13">
      <c r="A40" s="1380"/>
      <c r="B40" s="1403" t="s">
        <v>484</v>
      </c>
      <c r="C40" s="1389">
        <v>35.950899999999997</v>
      </c>
      <c r="D40" s="1405">
        <v>5.8244682416799511</v>
      </c>
      <c r="E40" s="1402">
        <v>511512</v>
      </c>
      <c r="F40" s="1401">
        <v>511956</v>
      </c>
      <c r="G40" s="1406"/>
      <c r="H40" s="1400" t="s">
        <v>485</v>
      </c>
      <c r="I40" s="1399">
        <v>35.805199999999999</v>
      </c>
      <c r="J40" s="1398">
        <v>5.5021082624440529</v>
      </c>
      <c r="K40" s="1397">
        <v>496809</v>
      </c>
      <c r="L40" s="1406"/>
      <c r="M40" s="1384"/>
    </row>
    <row r="41" spans="1:13" ht="13">
      <c r="A41" s="1380"/>
      <c r="B41" s="1403" t="s">
        <v>486</v>
      </c>
      <c r="C41" s="1389">
        <v>38.399299999999997</v>
      </c>
      <c r="D41" s="1405">
        <v>6.8103997396449039</v>
      </c>
      <c r="E41" s="1402">
        <v>570330</v>
      </c>
      <c r="F41" s="1401">
        <v>571023</v>
      </c>
      <c r="G41" s="1406"/>
      <c r="H41" s="1400" t="s">
        <v>487</v>
      </c>
      <c r="I41" s="1399">
        <v>38.009500000000003</v>
      </c>
      <c r="J41" s="1398">
        <v>6.1563683487314789</v>
      </c>
      <c r="K41" s="1397">
        <v>555683</v>
      </c>
      <c r="L41" s="1406"/>
      <c r="M41" s="1384"/>
    </row>
    <row r="42" spans="1:13" ht="13">
      <c r="A42" s="1380"/>
      <c r="B42" s="1403" t="s">
        <v>488</v>
      </c>
      <c r="C42" s="1389">
        <v>41.498699999999999</v>
      </c>
      <c r="D42" s="1405">
        <v>8.0715013034091836</v>
      </c>
      <c r="E42" s="1402">
        <v>629559</v>
      </c>
      <c r="F42" s="1401">
        <v>629064</v>
      </c>
      <c r="G42" s="1406"/>
      <c r="H42" s="1400" t="s">
        <v>489</v>
      </c>
      <c r="I42" s="1399">
        <v>41.061799999999998</v>
      </c>
      <c r="J42" s="1398">
        <v>8.0303608308449075</v>
      </c>
      <c r="K42" s="1397">
        <v>614631</v>
      </c>
      <c r="L42" s="1406"/>
      <c r="M42" s="1384"/>
    </row>
    <row r="43" spans="1:13" ht="13">
      <c r="A43" s="1380"/>
      <c r="B43" s="1403" t="s">
        <v>490</v>
      </c>
      <c r="C43" s="1389">
        <v>44.983400000000003</v>
      </c>
      <c r="D43" s="1405">
        <v>8.3971305125220894</v>
      </c>
      <c r="E43" s="1402">
        <v>679270</v>
      </c>
      <c r="F43" s="1401">
        <v>680933</v>
      </c>
      <c r="G43" s="1406"/>
      <c r="H43" s="1400" t="s">
        <v>491</v>
      </c>
      <c r="I43" s="1399">
        <v>44.571599999999997</v>
      </c>
      <c r="J43" s="1398">
        <v>8.5476038556517207</v>
      </c>
      <c r="K43" s="1397">
        <v>670797</v>
      </c>
      <c r="L43" s="1406"/>
      <c r="M43" s="1384"/>
    </row>
    <row r="44" spans="1:13" ht="13">
      <c r="A44" s="1380"/>
      <c r="B44" s="1403" t="s">
        <v>492</v>
      </c>
      <c r="C44" s="1389">
        <v>47.6965</v>
      </c>
      <c r="D44" s="1405">
        <v>6.0313360039481161</v>
      </c>
      <c r="E44" s="1402">
        <v>714363</v>
      </c>
      <c r="F44" s="1401">
        <v>714130</v>
      </c>
      <c r="G44" s="1406"/>
      <c r="H44" s="1400" t="s">
        <v>493</v>
      </c>
      <c r="I44" s="1399">
        <v>47.566800000000001</v>
      </c>
      <c r="J44" s="1398">
        <v>6.7199741539455706</v>
      </c>
      <c r="K44" s="1397">
        <v>705884</v>
      </c>
      <c r="L44" s="1406"/>
      <c r="M44" s="1384"/>
    </row>
    <row r="45" spans="1:13" ht="13">
      <c r="A45" s="1380"/>
      <c r="B45" s="1403" t="s">
        <v>494</v>
      </c>
      <c r="C45" s="1389">
        <v>49.0122</v>
      </c>
      <c r="D45" s="1405">
        <v>2.7584833268688471</v>
      </c>
      <c r="E45" s="1402">
        <v>738807</v>
      </c>
      <c r="F45" s="1401">
        <v>739016</v>
      </c>
      <c r="G45" s="1406"/>
      <c r="H45" s="1400" t="s">
        <v>495</v>
      </c>
      <c r="I45" s="1399">
        <v>49.128999999999998</v>
      </c>
      <c r="J45" s="1398">
        <v>3.2842234499692999</v>
      </c>
      <c r="K45" s="1397">
        <v>730874</v>
      </c>
      <c r="L45" s="1406"/>
      <c r="M45" s="1384"/>
    </row>
    <row r="46" spans="1:13" ht="13">
      <c r="A46" s="1380"/>
      <c r="B46" s="1403" t="s">
        <v>496</v>
      </c>
      <c r="C46" s="1389">
        <v>50.409599999999998</v>
      </c>
      <c r="D46" s="1405">
        <v>2.8511268622914243</v>
      </c>
      <c r="E46" s="1402">
        <v>780640</v>
      </c>
      <c r="F46" s="1401">
        <v>780071</v>
      </c>
      <c r="G46" s="1406"/>
      <c r="H46" s="1400" t="s">
        <v>497</v>
      </c>
      <c r="I46" s="1399">
        <v>50.603499999999997</v>
      </c>
      <c r="J46" s="1398">
        <v>3.0012823383337723</v>
      </c>
      <c r="K46" s="1397">
        <v>769855</v>
      </c>
      <c r="L46" s="1406"/>
      <c r="M46" s="1384"/>
    </row>
    <row r="47" spans="1:13" ht="13">
      <c r="A47" s="1380"/>
      <c r="B47" s="1403" t="s">
        <v>498</v>
      </c>
      <c r="C47" s="1389">
        <v>51.243899999999996</v>
      </c>
      <c r="D47" s="1405">
        <v>1.6550418967815634</v>
      </c>
      <c r="E47" s="1402">
        <v>820882</v>
      </c>
      <c r="F47" s="1401">
        <v>819655</v>
      </c>
      <c r="G47" s="1406"/>
      <c r="H47" s="1400" t="s">
        <v>499</v>
      </c>
      <c r="I47" s="1399">
        <v>51.538600000000002</v>
      </c>
      <c r="J47" s="1398">
        <v>1.8478958965289074</v>
      </c>
      <c r="K47" s="1397">
        <v>810794</v>
      </c>
      <c r="L47" s="1406"/>
      <c r="M47" s="1384"/>
    </row>
    <row r="48" spans="1:13" ht="13">
      <c r="A48" s="1380"/>
      <c r="B48" s="1403" t="s">
        <v>500</v>
      </c>
      <c r="C48" s="1389">
        <v>52.867199999999997</v>
      </c>
      <c r="D48" s="1405">
        <v>3.1677916786193099</v>
      </c>
      <c r="E48" s="1402">
        <v>863062</v>
      </c>
      <c r="F48" s="1401">
        <v>864621</v>
      </c>
      <c r="G48" s="1406"/>
      <c r="H48" s="1400" t="s">
        <v>501</v>
      </c>
      <c r="I48" s="1399">
        <v>52.884300000000003</v>
      </c>
      <c r="J48" s="1398">
        <v>2.6110526867241268</v>
      </c>
      <c r="K48" s="1397">
        <v>851845</v>
      </c>
      <c r="L48" s="1406"/>
      <c r="M48" s="1384"/>
    </row>
    <row r="49" spans="1:18" ht="13">
      <c r="A49" s="1380"/>
      <c r="B49" s="1403" t="s">
        <v>502</v>
      </c>
      <c r="C49" s="1389">
        <v>54.661000000000001</v>
      </c>
      <c r="D49" s="1405">
        <v>3.393030082924771</v>
      </c>
      <c r="E49" s="1402">
        <v>923000</v>
      </c>
      <c r="F49" s="1401">
        <v>921309</v>
      </c>
      <c r="G49" s="1406"/>
      <c r="H49" s="1400" t="s">
        <v>503</v>
      </c>
      <c r="I49" s="1399">
        <v>55.072200000000002</v>
      </c>
      <c r="J49" s="1398">
        <v>4.137144672426408</v>
      </c>
      <c r="K49" s="1397">
        <v>909993</v>
      </c>
      <c r="L49" s="1406"/>
      <c r="M49" s="1384"/>
    </row>
    <row r="50" spans="1:18" ht="13">
      <c r="A50" s="1380"/>
      <c r="B50" s="1403" t="s">
        <v>504</v>
      </c>
      <c r="C50" s="1389">
        <v>54.655799999999999</v>
      </c>
      <c r="D50" s="1405">
        <v>-9.513181244401113E-3</v>
      </c>
      <c r="E50" s="1402">
        <v>964683</v>
      </c>
      <c r="F50" s="1401">
        <v>966614</v>
      </c>
      <c r="G50" s="1406"/>
      <c r="H50" s="1400" t="s">
        <v>505</v>
      </c>
      <c r="I50" s="1399">
        <v>54.9938</v>
      </c>
      <c r="J50" s="1398">
        <v>-0.14235857655950193</v>
      </c>
      <c r="K50" s="1397">
        <v>953405</v>
      </c>
      <c r="L50" s="1406"/>
      <c r="M50" s="1384"/>
    </row>
    <row r="51" spans="1:18" ht="13">
      <c r="A51" s="1380"/>
      <c r="B51" s="1403" t="s">
        <v>506</v>
      </c>
      <c r="C51" s="1389">
        <v>55.410400000000003</v>
      </c>
      <c r="D51" s="1405">
        <v>1.3806402980104646</v>
      </c>
      <c r="E51" s="1402">
        <v>1010045</v>
      </c>
      <c r="F51" s="1401">
        <v>1008446</v>
      </c>
      <c r="G51" s="1406"/>
      <c r="H51" s="1400" t="s">
        <v>507</v>
      </c>
      <c r="I51" s="1399">
        <v>55.699100000000001</v>
      </c>
      <c r="J51" s="1398">
        <v>1.282508210016404</v>
      </c>
      <c r="K51" s="1397">
        <v>998501</v>
      </c>
      <c r="L51" s="1406"/>
      <c r="M51" s="1384"/>
    </row>
    <row r="52" spans="1:18" ht="13">
      <c r="A52" s="1380"/>
      <c r="B52" s="1403" t="s">
        <v>508</v>
      </c>
      <c r="C52" s="1389">
        <v>56.141800000000003</v>
      </c>
      <c r="D52" s="1405">
        <v>1.3199688145185753</v>
      </c>
      <c r="E52" s="1402">
        <v>1058018</v>
      </c>
      <c r="F52" s="1401">
        <v>1059650</v>
      </c>
      <c r="G52" s="1406"/>
      <c r="H52" s="1400" t="s">
        <v>509</v>
      </c>
      <c r="I52" s="1399">
        <v>56.468400000000003</v>
      </c>
      <c r="J52" s="1398">
        <v>1.3811713295187915</v>
      </c>
      <c r="K52" s="1397">
        <v>1043248</v>
      </c>
      <c r="L52" s="1406"/>
      <c r="M52" s="1384"/>
    </row>
    <row r="53" spans="1:18" ht="13">
      <c r="A53" s="1380"/>
      <c r="B53" s="1403" t="s">
        <v>510</v>
      </c>
      <c r="C53" s="1389">
        <v>56.694600000000001</v>
      </c>
      <c r="D53" s="1405">
        <v>0.9846495837326158</v>
      </c>
      <c r="E53" s="1402">
        <v>1114688</v>
      </c>
      <c r="F53" s="1401">
        <v>1111336</v>
      </c>
      <c r="G53" s="1406"/>
      <c r="H53" s="1400" t="s">
        <v>511</v>
      </c>
      <c r="I53" s="1399">
        <v>57.103200000000001</v>
      </c>
      <c r="J53" s="1398">
        <v>1.1241685615317565</v>
      </c>
      <c r="K53" s="1397">
        <v>1100752</v>
      </c>
      <c r="L53" s="1406"/>
      <c r="M53" s="1384"/>
    </row>
    <row r="54" spans="1:18" ht="13">
      <c r="A54" s="1380"/>
      <c r="B54" s="1403" t="s">
        <v>512</v>
      </c>
      <c r="C54" s="1389">
        <v>57.682600000000001</v>
      </c>
      <c r="D54" s="1405">
        <v>1.7426703777784824</v>
      </c>
      <c r="E54" s="1402">
        <v>1152363</v>
      </c>
      <c r="F54" s="1401">
        <v>1155732</v>
      </c>
      <c r="G54" s="1406"/>
      <c r="H54" s="1400" t="s">
        <v>513</v>
      </c>
      <c r="I54" s="1399">
        <v>57.965899999999998</v>
      </c>
      <c r="J54" s="1398">
        <v>1.5107734767928884</v>
      </c>
      <c r="K54" s="1397">
        <v>1146135</v>
      </c>
      <c r="L54" s="1406"/>
      <c r="M54" s="1384"/>
    </row>
    <row r="55" spans="1:18" ht="13">
      <c r="A55" s="1380"/>
      <c r="B55" s="1403" t="s">
        <v>514</v>
      </c>
      <c r="C55" s="1389">
        <v>58.9756</v>
      </c>
      <c r="D55" s="1405">
        <v>2.241577182720611</v>
      </c>
      <c r="E55" s="1402">
        <v>1208863</v>
      </c>
      <c r="F55" s="1401">
        <v>1206438</v>
      </c>
      <c r="G55" s="1406"/>
      <c r="H55" s="1400" t="s">
        <v>515</v>
      </c>
      <c r="I55" s="1399">
        <v>59.191699999999997</v>
      </c>
      <c r="J55" s="1398">
        <v>2.1146915686636447</v>
      </c>
      <c r="K55" s="1397">
        <v>1191439</v>
      </c>
      <c r="L55" s="1406"/>
      <c r="M55" s="1384"/>
    </row>
    <row r="56" spans="1:18" ht="15" customHeight="1">
      <c r="A56" s="1380"/>
      <c r="B56" s="1403" t="s">
        <v>516</v>
      </c>
      <c r="C56" s="1389">
        <v>60.309800000000003</v>
      </c>
      <c r="D56" s="1405">
        <v>2.2622915239522832</v>
      </c>
      <c r="E56" s="1402">
        <v>1272602</v>
      </c>
      <c r="F56" s="1401">
        <v>1273627</v>
      </c>
      <c r="G56" s="1406"/>
      <c r="H56" s="1400" t="s">
        <v>517</v>
      </c>
      <c r="I56" s="1399">
        <v>60.604500000000002</v>
      </c>
      <c r="J56" s="1398">
        <v>2.3868211252591229</v>
      </c>
      <c r="K56" s="1397">
        <v>1258334</v>
      </c>
      <c r="L56" s="1406"/>
      <c r="M56" s="1384"/>
    </row>
    <row r="57" spans="1:18" ht="15" customHeight="1">
      <c r="A57" s="1380"/>
      <c r="B57" s="1403" t="s">
        <v>518</v>
      </c>
      <c r="C57" s="1389">
        <v>62.115400000000001</v>
      </c>
      <c r="D57" s="1405">
        <v>2.9938749589618907</v>
      </c>
      <c r="E57" s="1402">
        <v>1342153</v>
      </c>
      <c r="F57" s="1401">
        <v>1341113</v>
      </c>
      <c r="G57" s="1406"/>
      <c r="H57" s="1400" t="s">
        <v>519</v>
      </c>
      <c r="I57" s="1399">
        <v>62.173099999999998</v>
      </c>
      <c r="J57" s="1398">
        <v>2.5882566476086701</v>
      </c>
      <c r="K57" s="1397">
        <v>1322637</v>
      </c>
      <c r="L57" s="1406"/>
      <c r="M57" s="1384"/>
    </row>
    <row r="58" spans="1:18" ht="15" customHeight="1">
      <c r="A58" s="1380"/>
      <c r="B58" s="1403" t="s">
        <v>520</v>
      </c>
      <c r="C58" s="1389">
        <v>63.811700000000002</v>
      </c>
      <c r="D58" s="1405">
        <v>2.7308847725362804</v>
      </c>
      <c r="E58" s="1402">
        <v>1418417</v>
      </c>
      <c r="F58" s="1401">
        <v>1418708</v>
      </c>
      <c r="G58" s="1406"/>
      <c r="H58" s="1400" t="s">
        <v>521</v>
      </c>
      <c r="I58" s="1399">
        <v>64.0017</v>
      </c>
      <c r="J58" s="1398">
        <v>2.9411433562103251</v>
      </c>
      <c r="K58" s="1397">
        <v>1398749</v>
      </c>
      <c r="L58" s="1406"/>
      <c r="M58" s="1384"/>
      <c r="R58" s="1377"/>
    </row>
    <row r="59" spans="1:18" ht="15" customHeight="1">
      <c r="A59" s="1380"/>
      <c r="B59" s="1403" t="s">
        <v>522</v>
      </c>
      <c r="C59" s="1389">
        <v>65.528300000000002</v>
      </c>
      <c r="D59" s="1405">
        <v>2.690102285317582</v>
      </c>
      <c r="E59" s="1402">
        <v>1486254</v>
      </c>
      <c r="F59" s="1401">
        <v>1487783</v>
      </c>
      <c r="G59" s="1406"/>
      <c r="H59" s="1400" t="s">
        <v>523</v>
      </c>
      <c r="I59" s="1399">
        <v>65.790999999999997</v>
      </c>
      <c r="J59" s="1398">
        <v>2.7957069890330994</v>
      </c>
      <c r="K59" s="1397">
        <v>1472038</v>
      </c>
      <c r="L59" s="1406"/>
      <c r="M59" s="1384"/>
      <c r="O59" s="1372" t="s">
        <v>524</v>
      </c>
      <c r="R59" s="1377"/>
    </row>
    <row r="60" spans="1:18" ht="15" customHeight="1">
      <c r="A60" s="1380"/>
      <c r="B60" s="1403" t="s">
        <v>525</v>
      </c>
      <c r="C60" s="1389">
        <v>67.117099999999994</v>
      </c>
      <c r="D60" s="1405">
        <v>2.4246012791419767</v>
      </c>
      <c r="E60" s="1402">
        <v>1565823</v>
      </c>
      <c r="F60" s="1401">
        <v>1565479</v>
      </c>
      <c r="G60" s="1406"/>
      <c r="H60" s="1400" t="s">
        <v>526</v>
      </c>
      <c r="I60" s="1399">
        <v>67.268600000000006</v>
      </c>
      <c r="J60" s="1398">
        <v>2.2458998951224478</v>
      </c>
      <c r="K60" s="1397">
        <v>1544637</v>
      </c>
      <c r="L60" s="1406"/>
      <c r="M60" s="1384"/>
      <c r="R60" s="1377"/>
    </row>
    <row r="61" spans="1:18" ht="15" customHeight="1">
      <c r="A61" s="1380"/>
      <c r="B61" s="1403" t="s">
        <v>324</v>
      </c>
      <c r="C61" s="1389">
        <v>69.544399999999996</v>
      </c>
      <c r="D61" s="1405">
        <v>3.6165150162924244</v>
      </c>
      <c r="E61" s="1402">
        <v>1582979</v>
      </c>
      <c r="F61" s="1401">
        <v>1582674</v>
      </c>
      <c r="G61" s="1406"/>
      <c r="H61" s="1400" t="s">
        <v>527</v>
      </c>
      <c r="I61" s="1399">
        <v>69.592399999999998</v>
      </c>
      <c r="J61" s="1398">
        <v>3.454509236107175</v>
      </c>
      <c r="K61" s="1397">
        <v>1593600</v>
      </c>
      <c r="L61" s="1406"/>
      <c r="M61" s="1384"/>
      <c r="R61" s="1377"/>
    </row>
    <row r="62" spans="1:18" ht="15" customHeight="1">
      <c r="A62" s="1380"/>
      <c r="B62" s="1403" t="s">
        <v>325</v>
      </c>
      <c r="C62" s="1389">
        <v>70.480500000000006</v>
      </c>
      <c r="D62" s="1405">
        <v>1.3460465544314286</v>
      </c>
      <c r="E62" s="1402">
        <v>1557029</v>
      </c>
      <c r="F62" s="1401">
        <v>1558104</v>
      </c>
      <c r="G62" s="1406"/>
      <c r="H62" s="1400" t="s">
        <v>528</v>
      </c>
      <c r="I62" s="1399">
        <v>70.897800000000004</v>
      </c>
      <c r="J62" s="1398">
        <v>1.8757795391450875</v>
      </c>
      <c r="K62" s="1397">
        <v>1548802</v>
      </c>
      <c r="M62" s="1384"/>
      <c r="R62" s="1377"/>
    </row>
    <row r="63" spans="1:18" ht="15" customHeight="1">
      <c r="A63" s="1380"/>
      <c r="B63" s="1403" t="s">
        <v>188</v>
      </c>
      <c r="C63" s="1389">
        <v>71.814700000000002</v>
      </c>
      <c r="D63" s="1405">
        <v>1.8930058668709722</v>
      </c>
      <c r="E63" s="1402">
        <v>1627823</v>
      </c>
      <c r="F63" s="1401">
        <v>1627183</v>
      </c>
      <c r="G63" s="1406"/>
      <c r="H63" s="1400" t="s">
        <v>529</v>
      </c>
      <c r="I63" s="1399">
        <v>72.022800000000004</v>
      </c>
      <c r="J63" s="1398">
        <v>1.5867911275103035</v>
      </c>
      <c r="K63" s="1397">
        <v>1608553</v>
      </c>
      <c r="M63" s="1384"/>
      <c r="R63" s="1377"/>
    </row>
    <row r="64" spans="1:18" ht="15" customHeight="1">
      <c r="A64" s="1380"/>
      <c r="B64" s="1403" t="s">
        <v>189</v>
      </c>
      <c r="C64" s="1389">
        <v>73.084400000000002</v>
      </c>
      <c r="D64" s="1405">
        <v>1.768022424378296</v>
      </c>
      <c r="E64" s="1402">
        <v>1673243</v>
      </c>
      <c r="F64" s="1401">
        <v>1672324</v>
      </c>
      <c r="G64" s="1406"/>
      <c r="H64" s="1400">
        <v>2011</v>
      </c>
      <c r="I64" s="1399">
        <v>73.605400000000003</v>
      </c>
      <c r="J64" s="1398">
        <v>2.1973597249759789</v>
      </c>
      <c r="K64" s="1397">
        <v>1662590</v>
      </c>
      <c r="M64" s="1384"/>
      <c r="R64" s="1377"/>
    </row>
    <row r="65" spans="1:25" ht="15" customHeight="1">
      <c r="A65" s="1380"/>
      <c r="B65" s="1403" t="s">
        <v>190</v>
      </c>
      <c r="C65" s="1389">
        <v>74.433499999999995</v>
      </c>
      <c r="D65" s="1405">
        <v>1.8459479724811216</v>
      </c>
      <c r="E65" s="1402">
        <v>1725339</v>
      </c>
      <c r="F65" s="1401">
        <v>1727458</v>
      </c>
      <c r="G65" s="1406"/>
      <c r="H65" s="1400">
        <v>2012</v>
      </c>
      <c r="I65" s="1399">
        <v>74.740099999999998</v>
      </c>
      <c r="J65" s="1398">
        <v>1.5415988500843623</v>
      </c>
      <c r="K65" s="1397">
        <v>1713715</v>
      </c>
      <c r="M65" s="1384"/>
      <c r="R65" s="1377"/>
    </row>
    <row r="66" spans="1:25" ht="15" customHeight="1">
      <c r="A66" s="1380"/>
      <c r="B66" s="1403" t="s">
        <v>191</v>
      </c>
      <c r="C66" s="1389">
        <v>75.8566</v>
      </c>
      <c r="D66" s="1405">
        <v>1.9119079446754554</v>
      </c>
      <c r="E66" s="1402">
        <v>1803854</v>
      </c>
      <c r="F66" s="1401">
        <v>1800761</v>
      </c>
      <c r="G66" s="1406"/>
      <c r="H66" s="1400">
        <v>2013</v>
      </c>
      <c r="I66" s="1399">
        <v>76.3155</v>
      </c>
      <c r="J66" s="1398">
        <v>2.1078376935540653</v>
      </c>
      <c r="K66" s="1397">
        <v>1781361</v>
      </c>
      <c r="M66" s="1384"/>
      <c r="R66" s="1377"/>
    </row>
    <row r="67" spans="1:25" ht="15" customHeight="1">
      <c r="A67" s="1380"/>
      <c r="B67" s="1403" t="s">
        <v>192</v>
      </c>
      <c r="C67" s="1389">
        <v>76.783500000000004</v>
      </c>
      <c r="D67" s="1405">
        <v>1.2219108159342804</v>
      </c>
      <c r="E67" s="1402">
        <v>1875402</v>
      </c>
      <c r="F67" s="1401">
        <v>1879511</v>
      </c>
      <c r="G67" s="1406"/>
      <c r="H67" s="1400">
        <v>2014</v>
      </c>
      <c r="I67" s="1399">
        <v>77.321700000000007</v>
      </c>
      <c r="J67" s="1398">
        <v>1.3184739666253997</v>
      </c>
      <c r="K67" s="1397">
        <v>1862514</v>
      </c>
      <c r="M67" s="1384"/>
      <c r="R67" s="1377"/>
      <c r="Y67" s="1404"/>
    </row>
    <row r="68" spans="1:25" ht="15" customHeight="1">
      <c r="A68" s="1380"/>
      <c r="B68" s="1403" t="s">
        <v>193</v>
      </c>
      <c r="C68" s="1389">
        <v>77.334699999999998</v>
      </c>
      <c r="D68" s="1405">
        <v>0.71786256161804862</v>
      </c>
      <c r="E68" s="1402">
        <v>1932100</v>
      </c>
      <c r="F68" s="1401">
        <v>1931454</v>
      </c>
      <c r="H68" s="1400">
        <v>2015</v>
      </c>
      <c r="I68" s="1399">
        <v>77.832599999999999</v>
      </c>
      <c r="J68" s="1398">
        <v>0.66074594842067924</v>
      </c>
      <c r="K68" s="1397">
        <v>1916451</v>
      </c>
      <c r="M68" s="1384"/>
      <c r="R68" s="1377"/>
      <c r="Y68" s="1404"/>
    </row>
    <row r="69" spans="1:25" ht="15" customHeight="1">
      <c r="A69" s="1380"/>
      <c r="B69" s="1403" t="s">
        <v>165</v>
      </c>
      <c r="C69" s="1389">
        <v>79.081299999999999</v>
      </c>
      <c r="D69" s="1398">
        <v>2.2584945697080365</v>
      </c>
      <c r="E69" s="1402">
        <v>2013606</v>
      </c>
      <c r="F69" s="1401">
        <v>2015776</v>
      </c>
      <c r="H69" s="1400">
        <v>2016</v>
      </c>
      <c r="I69" s="1399">
        <v>79.358900000000006</v>
      </c>
      <c r="J69" s="1398">
        <v>1.9610034869707631</v>
      </c>
      <c r="K69" s="1397">
        <v>1991645</v>
      </c>
      <c r="M69" s="1384"/>
      <c r="R69" s="1377"/>
      <c r="Y69" s="1404"/>
    </row>
    <row r="70" spans="1:25" ht="15" customHeight="1">
      <c r="A70" s="1380"/>
      <c r="B70" s="1403" t="s">
        <v>167</v>
      </c>
      <c r="C70" s="1389">
        <v>80.325400000000002</v>
      </c>
      <c r="D70" s="1398">
        <v>1.5731911336814179</v>
      </c>
      <c r="E70" s="1402">
        <v>2098809</v>
      </c>
      <c r="F70" s="1401">
        <v>2099799</v>
      </c>
      <c r="H70" s="1400">
        <v>2017</v>
      </c>
      <c r="I70" s="1399">
        <v>80.832499999999996</v>
      </c>
      <c r="J70" s="1398">
        <v>1.8568805767216916</v>
      </c>
      <c r="K70" s="1397">
        <v>2082482</v>
      </c>
      <c r="M70" s="1384"/>
      <c r="R70" s="1377"/>
      <c r="Y70" s="1404"/>
    </row>
    <row r="71" spans="1:25" ht="15" customHeight="1">
      <c r="A71" s="1380"/>
      <c r="B71" s="1403" t="s">
        <v>168</v>
      </c>
      <c r="C71" s="1389">
        <v>82.017099999999999</v>
      </c>
      <c r="D71" s="1398">
        <v>2.1060586066175797</v>
      </c>
      <c r="E71" s="1402">
        <v>2173666</v>
      </c>
      <c r="F71" s="1401">
        <v>2170233</v>
      </c>
      <c r="H71" s="1400">
        <v>2018</v>
      </c>
      <c r="I71" s="1399">
        <v>82.385800000000003</v>
      </c>
      <c r="J71" s="1398">
        <v>1.9216280580212259</v>
      </c>
      <c r="K71" s="1397">
        <v>2152304</v>
      </c>
      <c r="M71" s="1384"/>
      <c r="R71" s="1377"/>
      <c r="Y71" s="1404"/>
    </row>
    <row r="72" spans="1:25" ht="15" customHeight="1">
      <c r="A72" s="1380"/>
      <c r="B72" s="1403" t="s">
        <v>169</v>
      </c>
      <c r="C72" s="1389">
        <v>83.960499999999996</v>
      </c>
      <c r="D72" s="1398">
        <v>2.3695058713365835</v>
      </c>
      <c r="E72" s="1402">
        <v>2241804</v>
      </c>
      <c r="F72" s="1401">
        <v>2240752</v>
      </c>
      <c r="H72" s="1400">
        <v>2019</v>
      </c>
      <c r="I72" s="1399">
        <v>84.141999999999996</v>
      </c>
      <c r="J72" s="1398">
        <v>2.1316780318938369</v>
      </c>
      <c r="K72" s="1397">
        <v>2233921</v>
      </c>
      <c r="M72" s="1384"/>
      <c r="R72" s="1377"/>
      <c r="Y72" s="1404"/>
    </row>
    <row r="73" spans="1:25" ht="15" customHeight="1">
      <c r="A73" s="1380"/>
      <c r="B73" s="1403" t="s">
        <v>170</v>
      </c>
      <c r="C73" s="1389">
        <v>88.465500000000006</v>
      </c>
      <c r="D73" s="1398">
        <v>5.3656183562508675</v>
      </c>
      <c r="E73" s="1402">
        <v>2087400</v>
      </c>
      <c r="F73" s="1401">
        <v>2085587</v>
      </c>
      <c r="H73" s="1400">
        <v>2020</v>
      </c>
      <c r="I73" s="1399">
        <v>88.513599999999997</v>
      </c>
      <c r="J73" s="1398">
        <v>5.1955028404364061</v>
      </c>
      <c r="K73" s="1397">
        <v>2103486</v>
      </c>
      <c r="R73" s="1377"/>
      <c r="Y73" s="1404"/>
    </row>
    <row r="74" spans="1:25" ht="15" customHeight="1">
      <c r="A74" s="1380"/>
      <c r="B74" s="1403" t="s">
        <v>171</v>
      </c>
      <c r="C74" s="1389">
        <v>87.948599999999999</v>
      </c>
      <c r="D74" s="1398">
        <v>-0.58429557285044087</v>
      </c>
      <c r="E74" s="1402">
        <v>2356883</v>
      </c>
      <c r="F74" s="1401">
        <v>2357754</v>
      </c>
      <c r="H74" s="1400">
        <v>2021</v>
      </c>
      <c r="I74" s="1399">
        <v>88.388300000000001</v>
      </c>
      <c r="J74" s="1398">
        <v>-0.14156016702517552</v>
      </c>
      <c r="K74" s="1397">
        <v>2285400</v>
      </c>
      <c r="R74" s="1377"/>
      <c r="Y74" s="1404"/>
    </row>
    <row r="75" spans="1:25" ht="15" customHeight="1">
      <c r="A75" s="1380"/>
      <c r="B75" s="1403" t="s">
        <v>172</v>
      </c>
      <c r="C75" s="1389">
        <v>94.217500000000001</v>
      </c>
      <c r="D75" s="1398">
        <v>7.1279133493881677</v>
      </c>
      <c r="E75" s="1402">
        <v>2587760</v>
      </c>
      <c r="F75" s="1401">
        <v>2584021</v>
      </c>
      <c r="H75" s="1400">
        <v>2022</v>
      </c>
      <c r="I75" s="1399">
        <v>93.191000000000003</v>
      </c>
      <c r="J75" s="1398">
        <v>5.4336377099684023</v>
      </c>
      <c r="K75" s="1397">
        <v>2526428</v>
      </c>
      <c r="R75" s="1377"/>
    </row>
    <row r="76" spans="1:25" ht="15" customHeight="1">
      <c r="A76" s="1380"/>
      <c r="B76" s="1403" t="s">
        <v>173</v>
      </c>
      <c r="C76" s="1389">
        <v>100</v>
      </c>
      <c r="D76" s="1398">
        <v>6.1373948576432173</v>
      </c>
      <c r="E76" s="1402">
        <v>2749226</v>
      </c>
      <c r="F76" s="1401">
        <v>2747617</v>
      </c>
      <c r="H76" s="1400">
        <v>2023</v>
      </c>
      <c r="I76" s="1399">
        <v>100</v>
      </c>
      <c r="J76" s="1398">
        <v>7.306499554678024</v>
      </c>
      <c r="K76" s="1397">
        <v>2720029</v>
      </c>
      <c r="R76" s="1377"/>
    </row>
    <row r="77" spans="1:25" ht="15" customHeight="1">
      <c r="A77" s="1380"/>
      <c r="B77" s="1403" t="s">
        <v>326</v>
      </c>
      <c r="C77" s="1399">
        <f>C76*(1+(D77/100))</f>
        <v>100.80384499127271</v>
      </c>
      <c r="D77" s="1398">
        <v>0.80384499127270637</v>
      </c>
      <c r="E77" s="1402">
        <v>2785614</v>
      </c>
      <c r="F77" s="1401">
        <v>2784209</v>
      </c>
      <c r="H77" s="1400" t="s">
        <v>530</v>
      </c>
      <c r="I77" s="1399" t="s">
        <v>531</v>
      </c>
      <c r="J77" s="1398">
        <v>1.5246000261783577</v>
      </c>
      <c r="K77" s="1397">
        <v>2766360</v>
      </c>
      <c r="R77" s="1377"/>
    </row>
    <row r="78" spans="1:25" ht="15" customHeight="1">
      <c r="A78" s="1380"/>
      <c r="B78" s="1403" t="s">
        <v>327</v>
      </c>
      <c r="C78" s="1399">
        <f>C77*(1+(D78/100))</f>
        <v>102.16285310604569</v>
      </c>
      <c r="D78" s="1398">
        <v>1.3481709104356421</v>
      </c>
      <c r="E78" s="1402">
        <v>2875062</v>
      </c>
      <c r="F78" s="1401">
        <v>2876148</v>
      </c>
      <c r="H78" s="1400" t="s">
        <v>532</v>
      </c>
      <c r="I78" s="1399" t="s">
        <v>531</v>
      </c>
      <c r="J78" s="1398">
        <v>1.1774056317883197</v>
      </c>
      <c r="K78" s="1397">
        <v>2850872</v>
      </c>
    </row>
    <row r="79" spans="1:25" ht="15" customHeight="1">
      <c r="A79" s="1380"/>
      <c r="B79" s="1403" t="s">
        <v>329</v>
      </c>
      <c r="C79" s="1399" t="s">
        <v>531</v>
      </c>
      <c r="D79" s="1398">
        <v>1.7435225739804494</v>
      </c>
      <c r="E79" s="1402">
        <v>2984832</v>
      </c>
      <c r="F79" s="1401">
        <v>2984381</v>
      </c>
      <c r="H79" s="1400" t="s">
        <v>533</v>
      </c>
      <c r="I79" s="1399" t="s">
        <v>531</v>
      </c>
      <c r="J79" s="1398">
        <v>1.674981131484965</v>
      </c>
      <c r="K79" s="1397">
        <v>2956987</v>
      </c>
    </row>
    <row r="80" spans="1:25" ht="15" customHeight="1">
      <c r="A80" s="1380"/>
      <c r="B80" s="1403" t="s">
        <v>331</v>
      </c>
      <c r="C80" s="1399" t="s">
        <v>531</v>
      </c>
      <c r="D80" s="1398">
        <v>1.8729080096689721</v>
      </c>
      <c r="E80" s="1402">
        <v>3094490</v>
      </c>
      <c r="F80" s="1401">
        <v>3094490</v>
      </c>
      <c r="H80" s="1400" t="s">
        <v>534</v>
      </c>
      <c r="I80" s="1399" t="s">
        <v>531</v>
      </c>
      <c r="J80" s="1398">
        <v>1.8522397736624008</v>
      </c>
      <c r="K80" s="1397">
        <v>3066787</v>
      </c>
    </row>
    <row r="81" spans="1:16" ht="15" customHeight="1">
      <c r="A81" s="1380"/>
      <c r="B81" s="1396" t="s">
        <v>333</v>
      </c>
      <c r="C81" s="1393" t="s">
        <v>531</v>
      </c>
      <c r="D81" s="1392">
        <v>1.932743780769397</v>
      </c>
      <c r="E81" s="1395">
        <v>3207476</v>
      </c>
      <c r="F81" s="1395">
        <v>3207476</v>
      </c>
      <c r="H81" s="1394" t="s">
        <v>535</v>
      </c>
      <c r="I81" s="1393" t="s">
        <v>531</v>
      </c>
      <c r="J81" s="1392">
        <v>1.9230702596242377</v>
      </c>
      <c r="K81" s="1391">
        <v>3178873</v>
      </c>
    </row>
    <row r="82" spans="1:16" ht="13">
      <c r="A82" s="1380"/>
      <c r="B82" s="1390" t="s">
        <v>536</v>
      </c>
      <c r="C82" s="1389"/>
      <c r="D82" s="1388"/>
      <c r="E82" s="1387"/>
      <c r="F82" s="1387"/>
      <c r="G82" s="1380"/>
    </row>
    <row r="83" spans="1:16" ht="12.75" customHeight="1">
      <c r="A83" s="1380"/>
      <c r="B83" s="1382" t="s">
        <v>537</v>
      </c>
      <c r="C83" s="1766" t="s">
        <v>538</v>
      </c>
      <c r="D83" s="1766"/>
      <c r="E83" s="1766"/>
      <c r="F83" s="1766"/>
      <c r="G83" s="1766"/>
      <c r="H83" s="1766"/>
      <c r="I83" s="1766"/>
      <c r="J83" s="1766"/>
      <c r="K83" s="1766"/>
    </row>
    <row r="84" spans="1:16" ht="26.15" customHeight="1">
      <c r="A84" s="1380"/>
      <c r="B84" s="1382"/>
      <c r="C84" s="1765" t="s">
        <v>539</v>
      </c>
      <c r="D84" s="1766"/>
      <c r="E84" s="1766"/>
      <c r="F84" s="1766"/>
      <c r="G84" s="1766"/>
      <c r="H84" s="1766"/>
      <c r="I84" s="1766"/>
      <c r="J84" s="1766"/>
      <c r="K84" s="1766"/>
    </row>
    <row r="85" spans="1:16" ht="12.75" customHeight="1">
      <c r="A85" s="1380"/>
      <c r="B85" s="1382"/>
      <c r="C85" s="1766" t="s">
        <v>540</v>
      </c>
      <c r="D85" s="1766"/>
      <c r="E85" s="1766"/>
      <c r="F85" s="1766"/>
      <c r="G85" s="1766"/>
      <c r="H85" s="1766"/>
      <c r="I85" s="1766"/>
      <c r="J85" s="1766"/>
      <c r="K85" s="1766"/>
    </row>
    <row r="86" spans="1:16" ht="26.15" customHeight="1">
      <c r="A86" s="1380"/>
      <c r="B86" s="1382"/>
      <c r="C86" s="1765" t="s">
        <v>539</v>
      </c>
      <c r="D86" s="1766"/>
      <c r="E86" s="1766"/>
      <c r="F86" s="1766"/>
      <c r="G86" s="1766"/>
      <c r="H86" s="1766"/>
      <c r="I86" s="1766"/>
      <c r="J86" s="1766"/>
      <c r="K86" s="1766"/>
    </row>
    <row r="87" spans="1:16" ht="25.5" customHeight="1">
      <c r="A87" s="1380"/>
      <c r="B87" s="1382"/>
      <c r="C87" s="1768" t="s">
        <v>541</v>
      </c>
      <c r="D87" s="1768"/>
      <c r="E87" s="1768"/>
      <c r="F87" s="1768"/>
      <c r="G87" s="1768"/>
      <c r="H87" s="1768"/>
      <c r="I87" s="1768"/>
      <c r="J87" s="1768"/>
      <c r="K87" s="1768"/>
    </row>
    <row r="88" spans="1:16" ht="15" customHeight="1">
      <c r="A88" s="1380"/>
      <c r="B88" s="1382"/>
      <c r="C88" s="1765" t="s">
        <v>542</v>
      </c>
      <c r="D88" s="1766"/>
      <c r="E88" s="1766"/>
      <c r="F88" s="1766"/>
      <c r="G88" s="1766"/>
      <c r="H88" s="1766"/>
      <c r="I88" s="1766"/>
      <c r="J88" s="1766"/>
      <c r="K88" s="1766"/>
      <c r="M88" s="1381"/>
      <c r="N88" s="1381"/>
      <c r="P88" s="1381"/>
    </row>
    <row r="89" spans="1:16" ht="12.65" customHeight="1">
      <c r="A89" s="1380"/>
      <c r="B89" s="1382" t="s">
        <v>543</v>
      </c>
      <c r="C89" s="1766" t="s">
        <v>544</v>
      </c>
      <c r="D89" s="1766"/>
      <c r="E89" s="1766"/>
      <c r="F89" s="1766"/>
      <c r="G89" s="1766"/>
      <c r="H89" s="1766"/>
      <c r="I89" s="1766"/>
      <c r="J89" s="1766"/>
      <c r="K89" s="1766"/>
      <c r="M89" s="1381"/>
      <c r="N89" s="1381"/>
      <c r="P89" s="1381"/>
    </row>
    <row r="90" spans="1:16" ht="26.15" customHeight="1">
      <c r="A90" s="1380"/>
      <c r="B90" s="1382"/>
      <c r="C90" s="1765" t="s">
        <v>539</v>
      </c>
      <c r="D90" s="1766"/>
      <c r="E90" s="1766"/>
      <c r="F90" s="1766"/>
      <c r="G90" s="1766"/>
      <c r="H90" s="1766"/>
      <c r="I90" s="1766"/>
      <c r="J90" s="1766"/>
      <c r="K90" s="1766"/>
    </row>
    <row r="91" spans="1:16" ht="12.75" customHeight="1">
      <c r="A91" s="1380"/>
      <c r="B91" s="1382"/>
      <c r="C91" s="1766" t="s">
        <v>545</v>
      </c>
      <c r="D91" s="1766"/>
      <c r="E91" s="1766"/>
      <c r="F91" s="1766"/>
      <c r="G91" s="1766"/>
      <c r="H91" s="1766"/>
      <c r="I91" s="1766"/>
      <c r="J91" s="1766"/>
      <c r="K91" s="1766"/>
      <c r="M91" s="1381"/>
      <c r="N91" s="1381"/>
      <c r="P91" s="1381"/>
    </row>
    <row r="92" spans="1:16" ht="26.15" customHeight="1">
      <c r="A92" s="1380"/>
      <c r="B92" s="1382"/>
      <c r="C92" s="1765" t="s">
        <v>539</v>
      </c>
      <c r="D92" s="1766"/>
      <c r="E92" s="1766"/>
      <c r="F92" s="1766"/>
      <c r="G92" s="1766"/>
      <c r="H92" s="1766"/>
      <c r="I92" s="1766"/>
      <c r="J92" s="1766"/>
      <c r="K92" s="1766"/>
    </row>
    <row r="93" spans="1:16" ht="25.5" customHeight="1">
      <c r="A93" s="1380"/>
      <c r="B93" s="1382"/>
      <c r="C93" s="1768" t="s">
        <v>541</v>
      </c>
      <c r="D93" s="1768"/>
      <c r="E93" s="1768"/>
      <c r="F93" s="1768"/>
      <c r="G93" s="1768"/>
      <c r="H93" s="1768"/>
      <c r="I93" s="1768"/>
      <c r="J93" s="1768"/>
      <c r="K93" s="1768"/>
    </row>
    <row r="94" spans="1:16" ht="15" customHeight="1">
      <c r="A94" s="1380"/>
      <c r="B94" s="1382"/>
      <c r="C94" s="1765" t="s">
        <v>542</v>
      </c>
      <c r="D94" s="1766"/>
      <c r="E94" s="1766"/>
      <c r="F94" s="1766"/>
      <c r="G94" s="1766"/>
      <c r="H94" s="1766"/>
      <c r="I94" s="1766"/>
      <c r="J94" s="1766"/>
      <c r="K94" s="1766"/>
      <c r="M94" s="1381"/>
      <c r="N94" s="1381"/>
      <c r="P94" s="1381"/>
    </row>
    <row r="95" spans="1:16" ht="13">
      <c r="A95" s="1380"/>
      <c r="B95" s="1382" t="s">
        <v>546</v>
      </c>
      <c r="C95" s="1381"/>
      <c r="D95" s="1385"/>
      <c r="E95" s="1384"/>
      <c r="F95" s="1384"/>
      <c r="G95" s="1386"/>
      <c r="H95" s="1386"/>
      <c r="I95" s="1381"/>
      <c r="J95" s="1385"/>
      <c r="K95" s="1384"/>
    </row>
    <row r="96" spans="1:16" ht="27.75" customHeight="1">
      <c r="B96" s="1383" t="s">
        <v>547</v>
      </c>
      <c r="C96" s="1767" t="s">
        <v>548</v>
      </c>
      <c r="D96" s="1767"/>
      <c r="E96" s="1767"/>
      <c r="F96" s="1767"/>
      <c r="G96" s="1767"/>
      <c r="H96" s="1767"/>
      <c r="I96" s="1767"/>
      <c r="J96" s="1767"/>
      <c r="K96" s="1767"/>
      <c r="M96" s="1381"/>
      <c r="N96" s="1381"/>
      <c r="P96" s="1381"/>
    </row>
    <row r="97" spans="1:16" ht="14.5">
      <c r="B97" s="1383" t="s">
        <v>549</v>
      </c>
      <c r="C97" s="1766" t="s">
        <v>550</v>
      </c>
      <c r="D97" s="1766"/>
      <c r="E97" s="1766"/>
      <c r="F97" s="1766"/>
      <c r="G97" s="1766"/>
      <c r="H97" s="1766"/>
      <c r="I97" s="1766"/>
      <c r="J97" s="1766"/>
      <c r="K97" s="1766"/>
      <c r="M97" s="1381"/>
      <c r="N97" s="1381"/>
      <c r="P97" s="1381"/>
    </row>
    <row r="98" spans="1:16" ht="27.65" customHeight="1">
      <c r="B98" s="1383" t="s">
        <v>551</v>
      </c>
      <c r="C98" s="1766" t="s">
        <v>552</v>
      </c>
      <c r="D98" s="1766"/>
      <c r="E98" s="1766"/>
      <c r="F98" s="1766"/>
      <c r="G98" s="1766"/>
      <c r="H98" s="1766"/>
      <c r="I98" s="1766"/>
      <c r="J98" s="1766"/>
      <c r="K98" s="1766"/>
      <c r="M98" s="1381"/>
      <c r="N98" s="1381"/>
      <c r="P98" s="1381"/>
    </row>
    <row r="99" spans="1:16" ht="28" customHeight="1">
      <c r="B99" s="1383" t="s">
        <v>553</v>
      </c>
      <c r="C99" s="1766" t="s">
        <v>554</v>
      </c>
      <c r="D99" s="1766"/>
      <c r="E99" s="1766"/>
      <c r="F99" s="1766"/>
      <c r="G99" s="1766"/>
      <c r="H99" s="1766"/>
      <c r="I99" s="1766"/>
      <c r="J99" s="1766"/>
      <c r="K99" s="1766"/>
      <c r="M99" s="1381"/>
      <c r="N99" s="1381"/>
      <c r="P99" s="1381"/>
    </row>
    <row r="100" spans="1:16" ht="13.4" customHeight="1">
      <c r="B100" s="1383" t="s">
        <v>555</v>
      </c>
      <c r="C100" s="1766" t="s">
        <v>556</v>
      </c>
      <c r="D100" s="1766"/>
      <c r="E100" s="1766"/>
      <c r="F100" s="1766"/>
      <c r="G100" s="1766"/>
      <c r="H100" s="1766"/>
      <c r="I100" s="1766"/>
      <c r="J100" s="1766"/>
      <c r="K100" s="1766"/>
      <c r="M100" s="1381"/>
      <c r="N100" s="1381"/>
      <c r="P100" s="1381"/>
    </row>
    <row r="101" spans="1:16" ht="15" customHeight="1">
      <c r="A101" s="1380"/>
      <c r="B101" s="1382"/>
      <c r="C101" s="1765" t="s">
        <v>557</v>
      </c>
      <c r="D101" s="1766"/>
      <c r="E101" s="1766"/>
      <c r="F101" s="1766"/>
      <c r="G101" s="1766"/>
      <c r="H101" s="1766"/>
      <c r="I101" s="1766"/>
      <c r="J101" s="1766"/>
      <c r="K101" s="1766"/>
      <c r="M101" s="1381"/>
      <c r="N101" s="1381"/>
      <c r="P101" s="1381"/>
    </row>
    <row r="102" spans="1:16" ht="14.5">
      <c r="B102" s="1383" t="s">
        <v>558</v>
      </c>
      <c r="C102" s="1766" t="s">
        <v>559</v>
      </c>
      <c r="D102" s="1766"/>
      <c r="E102" s="1766"/>
      <c r="F102" s="1766"/>
      <c r="G102" s="1766"/>
      <c r="H102" s="1766"/>
      <c r="I102" s="1766"/>
      <c r="J102" s="1766"/>
      <c r="K102" s="1766"/>
      <c r="M102" s="1381"/>
      <c r="N102" s="1381"/>
      <c r="P102" s="1381"/>
    </row>
    <row r="103" spans="1:16" ht="15" customHeight="1">
      <c r="A103" s="1380"/>
      <c r="B103" s="1382"/>
      <c r="C103" s="1765" t="s">
        <v>560</v>
      </c>
      <c r="D103" s="1766"/>
      <c r="E103" s="1766"/>
      <c r="F103" s="1766"/>
      <c r="G103" s="1766"/>
      <c r="H103" s="1766"/>
      <c r="I103" s="1766"/>
      <c r="J103" s="1766"/>
      <c r="K103" s="1766"/>
      <c r="M103" s="1381"/>
      <c r="N103" s="1381"/>
      <c r="P103" s="1381"/>
    </row>
    <row r="105" spans="1:16" ht="13">
      <c r="A105" s="1380"/>
    </row>
  </sheetData>
  <mergeCells count="26">
    <mergeCell ref="B3:K3"/>
    <mergeCell ref="B4:K4"/>
    <mergeCell ref="C83:K83"/>
    <mergeCell ref="H5:K5"/>
    <mergeCell ref="C6:D6"/>
    <mergeCell ref="I6:J6"/>
    <mergeCell ref="B5:F5"/>
    <mergeCell ref="C84:K84"/>
    <mergeCell ref="C87:K87"/>
    <mergeCell ref="C100:K100"/>
    <mergeCell ref="C99:K99"/>
    <mergeCell ref="C97:K97"/>
    <mergeCell ref="C88:K88"/>
    <mergeCell ref="C94:K94"/>
    <mergeCell ref="C92:K92"/>
    <mergeCell ref="C93:K93"/>
    <mergeCell ref="C103:K103"/>
    <mergeCell ref="C102:K102"/>
    <mergeCell ref="C85:K85"/>
    <mergeCell ref="C86:K86"/>
    <mergeCell ref="C90:K90"/>
    <mergeCell ref="C91:K91"/>
    <mergeCell ref="C89:K89"/>
    <mergeCell ref="C98:K98"/>
    <mergeCell ref="C96:K96"/>
    <mergeCell ref="C101:K101"/>
  </mergeCells>
  <hyperlinks>
    <hyperlink ref="C103" r:id="rId1" xr:uid="{16FC988B-497F-4416-AE07-8E793412DD69}"/>
    <hyperlink ref="C101" r:id="rId2" xr:uid="{05C7E574-1434-46FD-AF11-4E97C00C3189}"/>
    <hyperlink ref="C88:K88" r:id="rId3" display="https://obr.uk/efo/economic-and-fiscal-outlook-march-2024/" xr:uid="{EC59DD2F-CD1E-4EDF-8B7E-30618FF7D071}"/>
    <hyperlink ref="C94:K94" r:id="rId4" display="https://obr.uk/efo/economic-and-fiscal-outlook-march-2024/" xr:uid="{6029D7BE-494D-49ED-9B9E-006499CA47B5}"/>
    <hyperlink ref="C84:K84" r:id="rId5" display="https://www.ons.gov.uk/file?uri=/economy/grossdomesticproductgdp/datasets/uksecondestimateofgdpdatatables/quarter2aprtojune2024quarterlynationalaccounts/quarterlynationalaccountsdatatables.xlsx" xr:uid="{46D5B8A1-9B3C-4C56-9267-31D5490C45F5}"/>
    <hyperlink ref="C86:K86" r:id="rId6" display="https://www.ons.gov.uk/file?uri=/economy/grossdomesticproductgdp/datasets/uksecondestimateofgdpdatatables/quarter2aprtojune2024quarterlynationalaccounts/quarterlynationalaccountsdatatables.xlsx" xr:uid="{B641AE94-1A5A-43C5-A48B-BD9E2C149ACD}"/>
    <hyperlink ref="C90:K90" r:id="rId7" display="https://www.ons.gov.uk/file?uri=/economy/grossdomesticproductgdp/datasets/uksecondestimateofgdpdatatables/quarter2aprtojune2024quarterlynationalaccounts/quarterlynationalaccountsdatatables.xlsx" xr:uid="{2996F3C2-4376-4417-98AF-E9F0A9E360FA}"/>
    <hyperlink ref="C92:K92" r:id="rId8" display="https://www.ons.gov.uk/file?uri=/economy/grossdomesticproductgdp/datasets/uksecondestimateofgdpdatatables/quarter2aprtojune2024quarterlynationalaccounts/quarterlynationalaccountsdatatables.xlsx" xr:uid="{F7A3A47C-BB6D-48CB-B31C-6C54C1469BEA}"/>
  </hyperlinks>
  <pageMargins left="1.55" right="0.75" top="0.45" bottom="0.5" header="0.3" footer="0.23"/>
  <pageSetup paperSize="9" orientation="portrait" horizontalDpi="300" verticalDpi="300" r:id="rId9"/>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66317-582F-424D-B20A-55965496B94D}">
  <dimension ref="A1:AD105"/>
  <sheetViews>
    <sheetView topLeftCell="A45" workbookViewId="0">
      <selection activeCell="C75" sqref="C75"/>
    </sheetView>
  </sheetViews>
  <sheetFormatPr defaultColWidth="9.1796875" defaultRowHeight="14.5"/>
  <cols>
    <col min="1" max="2" width="9.1796875" style="39"/>
    <col min="3" max="3" width="13.54296875" style="39" customWidth="1"/>
    <col min="4" max="4" width="12.54296875" style="39" bestFit="1" customWidth="1"/>
    <col min="5" max="6" width="9.54296875" style="39" bestFit="1" customWidth="1"/>
    <col min="7" max="7" width="9.1796875" style="39"/>
    <col min="8" max="8" width="9.453125" style="39" bestFit="1" customWidth="1"/>
    <col min="9" max="9" width="9.54296875" style="39" bestFit="1" customWidth="1"/>
    <col min="10" max="10" width="12.54296875" style="39" bestFit="1" customWidth="1"/>
    <col min="11" max="11" width="9.54296875" style="39" bestFit="1" customWidth="1"/>
    <col min="12" max="16384" width="9.1796875" style="39"/>
  </cols>
  <sheetData>
    <row r="1" spans="1:13">
      <c r="A1" s="1158"/>
      <c r="B1" s="1159" t="s">
        <v>406</v>
      </c>
      <c r="C1" s="1218"/>
      <c r="D1" s="1160"/>
      <c r="E1" s="1161"/>
      <c r="F1" s="1161"/>
      <c r="G1" s="1158"/>
      <c r="H1" s="1219"/>
      <c r="I1" s="1220"/>
      <c r="J1" s="1221"/>
      <c r="K1" s="1222"/>
      <c r="L1" s="1219"/>
      <c r="M1" s="1219"/>
    </row>
    <row r="2" spans="1:13">
      <c r="A2" s="1158"/>
      <c r="B2" s="1159"/>
      <c r="C2" s="1218"/>
      <c r="D2" s="1160"/>
      <c r="E2" s="1161"/>
      <c r="F2" s="1161"/>
      <c r="G2" s="1158"/>
      <c r="H2" s="1219"/>
      <c r="I2" s="1220"/>
      <c r="J2" s="1221"/>
      <c r="K2" s="1222"/>
      <c r="L2" s="1219"/>
      <c r="M2" s="1219"/>
    </row>
    <row r="3" spans="1:13" ht="14.9" customHeight="1">
      <c r="A3" s="1162"/>
      <c r="B3" s="1783" t="s">
        <v>561</v>
      </c>
      <c r="C3" s="1783"/>
      <c r="D3" s="1783"/>
      <c r="E3" s="1783"/>
      <c r="F3" s="1783"/>
      <c r="G3" s="1783"/>
      <c r="H3" s="1783"/>
      <c r="I3" s="1783"/>
      <c r="J3" s="1783"/>
      <c r="K3" s="1783"/>
      <c r="L3" s="1223"/>
      <c r="M3" s="1223"/>
    </row>
    <row r="4" spans="1:13">
      <c r="A4" s="1162"/>
      <c r="B4" s="1784" t="s">
        <v>408</v>
      </c>
      <c r="C4" s="1784"/>
      <c r="D4" s="1784"/>
      <c r="E4" s="1784"/>
      <c r="F4" s="1784"/>
      <c r="G4" s="1784"/>
      <c r="H4" s="1784"/>
      <c r="I4" s="1784"/>
      <c r="J4" s="1784"/>
      <c r="K4" s="1784"/>
      <c r="L4" s="1223"/>
      <c r="M4" s="1223"/>
    </row>
    <row r="5" spans="1:13" ht="14.9" customHeight="1">
      <c r="A5" s="1162"/>
      <c r="B5" s="1792" t="s">
        <v>409</v>
      </c>
      <c r="C5" s="1793"/>
      <c r="D5" s="1793"/>
      <c r="E5" s="1793"/>
      <c r="F5" s="1794"/>
      <c r="G5" s="1163"/>
      <c r="H5" s="1785" t="s">
        <v>410</v>
      </c>
      <c r="I5" s="1786"/>
      <c r="J5" s="1786"/>
      <c r="K5" s="1787"/>
      <c r="L5" s="1223"/>
      <c r="M5" s="1223"/>
    </row>
    <row r="6" spans="1:13" ht="16.5" customHeight="1">
      <c r="A6" s="1158"/>
      <c r="B6" s="1164"/>
      <c r="C6" s="1788" t="s">
        <v>411</v>
      </c>
      <c r="D6" s="1789"/>
      <c r="E6" s="1165" t="s">
        <v>412</v>
      </c>
      <c r="F6" s="1714"/>
      <c r="G6" s="1158"/>
      <c r="H6" s="1715"/>
      <c r="I6" s="1790" t="s">
        <v>411</v>
      </c>
      <c r="J6" s="1791"/>
      <c r="K6" s="1716" t="s">
        <v>413</v>
      </c>
      <c r="L6" s="1219"/>
      <c r="M6" s="1219"/>
    </row>
    <row r="7" spans="1:13" ht="65">
      <c r="A7" s="1166"/>
      <c r="B7" s="1167" t="s">
        <v>409</v>
      </c>
      <c r="C7" s="1168" t="s">
        <v>562</v>
      </c>
      <c r="D7" s="1169" t="s">
        <v>415</v>
      </c>
      <c r="E7" s="1717" t="s">
        <v>416</v>
      </c>
      <c r="F7" s="1717" t="s">
        <v>417</v>
      </c>
      <c r="G7" s="1170"/>
      <c r="H7" s="1167" t="s">
        <v>410</v>
      </c>
      <c r="I7" s="1171" t="s">
        <v>418</v>
      </c>
      <c r="J7" s="1169" t="s">
        <v>415</v>
      </c>
      <c r="K7" s="1717" t="s">
        <v>419</v>
      </c>
      <c r="L7" s="1224"/>
      <c r="M7" s="1224"/>
    </row>
    <row r="8" spans="1:13">
      <c r="A8" s="1166"/>
      <c r="B8" s="1172" t="s">
        <v>420</v>
      </c>
      <c r="C8" s="1173">
        <v>3.5224000000000002</v>
      </c>
      <c r="D8" s="1174"/>
      <c r="E8" s="1175">
        <v>19574</v>
      </c>
      <c r="F8" s="1176">
        <v>19589</v>
      </c>
      <c r="G8" s="1177"/>
      <c r="H8" s="1178" t="s">
        <v>421</v>
      </c>
      <c r="I8" s="1173">
        <v>3.2984</v>
      </c>
      <c r="J8" s="1174"/>
      <c r="K8" s="1175">
        <v>19169</v>
      </c>
      <c r="L8" s="1177"/>
      <c r="M8" s="1225"/>
    </row>
    <row r="9" spans="1:13">
      <c r="A9" s="1166"/>
      <c r="B9" s="1172" t="s">
        <v>422</v>
      </c>
      <c r="C9" s="1173">
        <v>3.7410000000000001</v>
      </c>
      <c r="D9" s="1174">
        <v>6.2059959118782624</v>
      </c>
      <c r="E9" s="1175">
        <v>21162</v>
      </c>
      <c r="F9" s="1176">
        <v>21138</v>
      </c>
      <c r="G9" s="1177"/>
      <c r="H9" s="1178" t="s">
        <v>423</v>
      </c>
      <c r="I9" s="1173">
        <v>3.5272000000000001</v>
      </c>
      <c r="J9" s="1174">
        <v>6.9366965801600813</v>
      </c>
      <c r="K9" s="1175">
        <v>20844</v>
      </c>
      <c r="L9" s="1177"/>
      <c r="M9" s="1225"/>
    </row>
    <row r="10" spans="1:13">
      <c r="A10" s="1166"/>
      <c r="B10" s="1172" t="s">
        <v>424</v>
      </c>
      <c r="C10" s="1173">
        <v>3.9134000000000002</v>
      </c>
      <c r="D10" s="1174">
        <v>4.6083934776797673</v>
      </c>
      <c r="E10" s="1175">
        <v>22509</v>
      </c>
      <c r="F10" s="1176">
        <v>22524</v>
      </c>
      <c r="G10" s="1177"/>
      <c r="H10" s="1178" t="s">
        <v>425</v>
      </c>
      <c r="I10" s="1173">
        <v>3.6684999999999999</v>
      </c>
      <c r="J10" s="1174">
        <v>4.0060104332048017</v>
      </c>
      <c r="K10" s="1175">
        <v>22104</v>
      </c>
      <c r="L10" s="1177"/>
      <c r="M10" s="1225"/>
    </row>
    <row r="11" spans="1:13">
      <c r="A11" s="1166"/>
      <c r="B11" s="1172" t="s">
        <v>426</v>
      </c>
      <c r="C11" s="1173">
        <v>4.0084</v>
      </c>
      <c r="D11" s="1174">
        <v>2.4275566003986242</v>
      </c>
      <c r="E11" s="1175">
        <v>23335</v>
      </c>
      <c r="F11" s="1176">
        <v>23305</v>
      </c>
      <c r="G11" s="1177"/>
      <c r="H11" s="1178" t="s">
        <v>427</v>
      </c>
      <c r="I11" s="1173">
        <v>3.8025000000000002</v>
      </c>
      <c r="J11" s="1174">
        <v>3.6527190949979653</v>
      </c>
      <c r="K11" s="1175">
        <v>23220</v>
      </c>
      <c r="L11" s="1177"/>
      <c r="M11" s="1225"/>
    </row>
    <row r="12" spans="1:13">
      <c r="A12" s="1166"/>
      <c r="B12" s="1172" t="s">
        <v>428</v>
      </c>
      <c r="C12" s="1173">
        <v>4.0292000000000003</v>
      </c>
      <c r="D12" s="1174">
        <v>0.51891028839438114</v>
      </c>
      <c r="E12" s="1175">
        <v>24873</v>
      </c>
      <c r="F12" s="1176">
        <v>24928</v>
      </c>
      <c r="G12" s="1177"/>
      <c r="H12" s="1178" t="s">
        <v>429</v>
      </c>
      <c r="I12" s="1173">
        <v>3.83</v>
      </c>
      <c r="J12" s="1174">
        <v>0.72320841551610404</v>
      </c>
      <c r="K12" s="1175">
        <v>24388</v>
      </c>
      <c r="L12" s="1177"/>
      <c r="M12" s="1225"/>
    </row>
    <row r="13" spans="1:13">
      <c r="A13" s="1166"/>
      <c r="B13" s="1172" t="s">
        <v>430</v>
      </c>
      <c r="C13" s="1173">
        <v>4.1097999999999999</v>
      </c>
      <c r="D13" s="1174">
        <v>2.0003971011615098</v>
      </c>
      <c r="E13" s="1175">
        <v>26639</v>
      </c>
      <c r="F13" s="1176">
        <v>26657</v>
      </c>
      <c r="G13" s="1177"/>
      <c r="H13" s="1178" t="s">
        <v>431</v>
      </c>
      <c r="I13" s="1173">
        <v>3.8698999999999999</v>
      </c>
      <c r="J13" s="1174">
        <v>1.0417754569190556</v>
      </c>
      <c r="K13" s="1175">
        <v>26201</v>
      </c>
      <c r="L13" s="1177"/>
      <c r="M13" s="1225"/>
    </row>
    <row r="14" spans="1:13">
      <c r="A14" s="1166"/>
      <c r="B14" s="1172" t="s">
        <v>432</v>
      </c>
      <c r="C14" s="1173">
        <v>4.2607999999999997</v>
      </c>
      <c r="D14" s="1174">
        <v>3.67414472723733</v>
      </c>
      <c r="E14" s="1175">
        <v>28141</v>
      </c>
      <c r="F14" s="1176">
        <v>28169</v>
      </c>
      <c r="G14" s="1177"/>
      <c r="H14" s="1178" t="s">
        <v>433</v>
      </c>
      <c r="I14" s="1173">
        <v>4.0167000000000002</v>
      </c>
      <c r="J14" s="1174">
        <v>3.7933796738933894</v>
      </c>
      <c r="K14" s="1175">
        <v>27918</v>
      </c>
      <c r="L14" s="1177"/>
      <c r="M14" s="1225"/>
    </row>
    <row r="15" spans="1:13">
      <c r="A15" s="1166"/>
      <c r="B15" s="1172" t="s">
        <v>434</v>
      </c>
      <c r="C15" s="1173">
        <v>4.3936000000000002</v>
      </c>
      <c r="D15" s="1174">
        <v>3.1167855801727486</v>
      </c>
      <c r="E15" s="1175">
        <v>29450</v>
      </c>
      <c r="F15" s="1176">
        <v>29468</v>
      </c>
      <c r="G15" s="1177"/>
      <c r="H15" s="1178" t="s">
        <v>435</v>
      </c>
      <c r="I15" s="1173">
        <v>4.1612</v>
      </c>
      <c r="J15" s="1174">
        <v>3.5974805188338648</v>
      </c>
      <c r="K15" s="1175">
        <v>29235</v>
      </c>
      <c r="L15" s="1177"/>
      <c r="M15" s="1225"/>
    </row>
    <row r="16" spans="1:13">
      <c r="A16" s="1166"/>
      <c r="B16" s="1172" t="s">
        <v>436</v>
      </c>
      <c r="C16" s="1173">
        <v>4.4673999999999996</v>
      </c>
      <c r="D16" s="1174">
        <v>1.6797159504734027</v>
      </c>
      <c r="E16" s="1175">
        <v>31921</v>
      </c>
      <c r="F16" s="1176">
        <v>31876</v>
      </c>
      <c r="G16" s="1177"/>
      <c r="H16" s="1178" t="s">
        <v>437</v>
      </c>
      <c r="I16" s="1173">
        <v>4.2218</v>
      </c>
      <c r="J16" s="1174">
        <v>1.4563106796116503</v>
      </c>
      <c r="K16" s="1175">
        <v>31099</v>
      </c>
      <c r="L16" s="1177"/>
      <c r="M16" s="1225"/>
    </row>
    <row r="17" spans="1:13">
      <c r="A17" s="1162"/>
      <c r="B17" s="1179" t="s">
        <v>438</v>
      </c>
      <c r="C17" s="1180">
        <v>4.6779000000000002</v>
      </c>
      <c r="D17" s="1174">
        <v>4.7119129695124817</v>
      </c>
      <c r="E17" s="1181">
        <v>34855</v>
      </c>
      <c r="F17" s="1182">
        <v>34924</v>
      </c>
      <c r="G17" s="1177"/>
      <c r="H17" s="1178" t="s">
        <v>439</v>
      </c>
      <c r="I17" s="1180">
        <v>4.3727999999999998</v>
      </c>
      <c r="J17" s="1183">
        <v>3.576673456819361</v>
      </c>
      <c r="K17" s="1181">
        <v>34047</v>
      </c>
      <c r="L17" s="1177"/>
      <c r="M17" s="1225"/>
    </row>
    <row r="18" spans="1:13">
      <c r="A18" s="1162"/>
      <c r="B18" s="1179" t="s">
        <v>440</v>
      </c>
      <c r="C18" s="1184">
        <v>4.9297000000000004</v>
      </c>
      <c r="D18" s="1174">
        <v>5.3827572201201441</v>
      </c>
      <c r="E18" s="1185">
        <v>37461</v>
      </c>
      <c r="F18" s="1186">
        <v>37415</v>
      </c>
      <c r="G18" s="1177"/>
      <c r="H18" s="1178" t="s">
        <v>441</v>
      </c>
      <c r="I18" s="1180">
        <v>4.6326999999999998</v>
      </c>
      <c r="J18" s="1183">
        <v>5.9435601902671067</v>
      </c>
      <c r="K18" s="1181">
        <v>36828</v>
      </c>
      <c r="L18" s="1177"/>
      <c r="M18" s="1225"/>
    </row>
    <row r="19" spans="1:13">
      <c r="A19" s="1162"/>
      <c r="B19" s="1179" t="s">
        <v>442</v>
      </c>
      <c r="C19" s="1184">
        <v>5.1803999999999997</v>
      </c>
      <c r="D19" s="1174">
        <v>5.0855021603748547</v>
      </c>
      <c r="E19" s="1185">
        <v>39949</v>
      </c>
      <c r="F19" s="1186">
        <v>39946</v>
      </c>
      <c r="G19" s="1177"/>
      <c r="H19" s="1178" t="s">
        <v>443</v>
      </c>
      <c r="I19" s="1180">
        <v>4.8799000000000001</v>
      </c>
      <c r="J19" s="1183">
        <v>5.3359811772832328</v>
      </c>
      <c r="K19" s="1181">
        <v>39394</v>
      </c>
      <c r="L19" s="1177"/>
      <c r="M19" s="1225"/>
    </row>
    <row r="20" spans="1:13">
      <c r="A20" s="1162"/>
      <c r="B20" s="1179" t="s">
        <v>444</v>
      </c>
      <c r="C20" s="1184">
        <v>5.3220999999999998</v>
      </c>
      <c r="D20" s="1174">
        <v>2.7353100146706848</v>
      </c>
      <c r="E20" s="1185">
        <v>42504</v>
      </c>
      <c r="F20" s="1186">
        <v>42612</v>
      </c>
      <c r="G20" s="1177"/>
      <c r="H20" s="1178" t="s">
        <v>445</v>
      </c>
      <c r="I20" s="1180">
        <v>5.0236999999999998</v>
      </c>
      <c r="J20" s="1183">
        <v>2.9467816963462306</v>
      </c>
      <c r="K20" s="1181">
        <v>41673</v>
      </c>
      <c r="L20" s="1177"/>
      <c r="M20" s="1225"/>
    </row>
    <row r="21" spans="1:13">
      <c r="A21" s="1162"/>
      <c r="B21" s="1179" t="s">
        <v>446</v>
      </c>
      <c r="C21" s="1184">
        <v>5.6006</v>
      </c>
      <c r="D21" s="1174">
        <v>5.2328967888615434</v>
      </c>
      <c r="E21" s="1185">
        <v>46763</v>
      </c>
      <c r="F21" s="1186">
        <v>46784</v>
      </c>
      <c r="G21" s="1177"/>
      <c r="H21" s="1178" t="s">
        <v>447</v>
      </c>
      <c r="I21" s="1180">
        <v>5.2344999999999997</v>
      </c>
      <c r="J21" s="1183">
        <v>4.1961104365308417</v>
      </c>
      <c r="K21" s="1181">
        <v>45795</v>
      </c>
      <c r="L21" s="1177"/>
      <c r="M21" s="1225"/>
    </row>
    <row r="22" spans="1:13">
      <c r="A22" s="1162"/>
      <c r="B22" s="1179" t="s">
        <v>448</v>
      </c>
      <c r="C22" s="1184">
        <v>5.9874999999999998</v>
      </c>
      <c r="D22" s="1174">
        <v>6.9081884083848122</v>
      </c>
      <c r="E22" s="1185">
        <v>50843</v>
      </c>
      <c r="F22" s="1186">
        <v>50895</v>
      </c>
      <c r="G22" s="1177"/>
      <c r="H22" s="1178" t="s">
        <v>449</v>
      </c>
      <c r="I22" s="1180">
        <v>5.5814000000000004</v>
      </c>
      <c r="J22" s="1183">
        <v>6.6271850224472377</v>
      </c>
      <c r="K22" s="1181">
        <v>49761</v>
      </c>
      <c r="L22" s="1177"/>
      <c r="M22" s="1225"/>
    </row>
    <row r="23" spans="1:13">
      <c r="A23" s="1162"/>
      <c r="B23" s="1179" t="s">
        <v>450</v>
      </c>
      <c r="C23" s="1184">
        <v>6.5785</v>
      </c>
      <c r="D23" s="1174">
        <v>9.8705636743215077</v>
      </c>
      <c r="E23" s="1185">
        <v>57723</v>
      </c>
      <c r="F23" s="1186">
        <v>57807</v>
      </c>
      <c r="G23" s="1177"/>
      <c r="H23" s="1178" t="s">
        <v>451</v>
      </c>
      <c r="I23" s="1180">
        <v>6.1186999999999996</v>
      </c>
      <c r="J23" s="1183">
        <v>9.6266169778191699</v>
      </c>
      <c r="K23" s="1181">
        <v>56041</v>
      </c>
      <c r="L23" s="1177"/>
      <c r="M23" s="1225"/>
    </row>
    <row r="24" spans="1:13">
      <c r="A24" s="1162"/>
      <c r="B24" s="1179" t="s">
        <v>452</v>
      </c>
      <c r="C24" s="1184">
        <v>7.0759999999999996</v>
      </c>
      <c r="D24" s="1174">
        <v>7.5625142509690599</v>
      </c>
      <c r="E24" s="1185">
        <v>64575</v>
      </c>
      <c r="F24" s="1186">
        <v>64483</v>
      </c>
      <c r="G24" s="1177"/>
      <c r="H24" s="1178" t="s">
        <v>453</v>
      </c>
      <c r="I24" s="1180">
        <v>6.6254</v>
      </c>
      <c r="J24" s="1183">
        <v>8.2811708369424952</v>
      </c>
      <c r="K24" s="1181">
        <v>62870</v>
      </c>
      <c r="L24" s="1177"/>
      <c r="M24" s="1225"/>
    </row>
    <row r="25" spans="1:13">
      <c r="A25" s="1162"/>
      <c r="B25" s="1179" t="s">
        <v>454</v>
      </c>
      <c r="C25" s="1184">
        <v>7.6778000000000004</v>
      </c>
      <c r="D25" s="1174">
        <v>8.5048049745619103</v>
      </c>
      <c r="E25" s="1185">
        <v>73925</v>
      </c>
      <c r="F25" s="1186">
        <v>74025</v>
      </c>
      <c r="G25" s="1177"/>
      <c r="H25" s="1178" t="s">
        <v>455</v>
      </c>
      <c r="I25" s="1180">
        <v>7.1257000000000001</v>
      </c>
      <c r="J25" s="1183">
        <v>7.5512421891508463</v>
      </c>
      <c r="K25" s="1181">
        <v>70578</v>
      </c>
      <c r="L25" s="1177"/>
      <c r="M25" s="1225"/>
    </row>
    <row r="26" spans="1:13">
      <c r="A26" s="1162"/>
      <c r="B26" s="1179" t="s">
        <v>456</v>
      </c>
      <c r="C26" s="1184">
        <v>8.3521999999999998</v>
      </c>
      <c r="D26" s="1174">
        <v>8.7837661830211697</v>
      </c>
      <c r="E26" s="1185">
        <v>82855</v>
      </c>
      <c r="F26" s="1186">
        <v>82879</v>
      </c>
      <c r="G26" s="1177"/>
      <c r="H26" s="1178" t="s">
        <v>457</v>
      </c>
      <c r="I26" s="1180">
        <v>7.7584</v>
      </c>
      <c r="J26" s="1183">
        <v>8.879127664650488</v>
      </c>
      <c r="K26" s="1181">
        <v>81793</v>
      </c>
      <c r="L26" s="1177"/>
      <c r="M26" s="1225"/>
    </row>
    <row r="27" spans="1:13">
      <c r="A27" s="1162"/>
      <c r="B27" s="1179" t="s">
        <v>458</v>
      </c>
      <c r="C27" s="1184">
        <v>10.049799999999999</v>
      </c>
      <c r="D27" s="1174">
        <v>20.325183783913214</v>
      </c>
      <c r="E27" s="1185">
        <v>98182</v>
      </c>
      <c r="F27" s="1186">
        <v>98355</v>
      </c>
      <c r="G27" s="1177"/>
      <c r="H27" s="1178" t="s">
        <v>459</v>
      </c>
      <c r="I27" s="1180">
        <v>9.0124999999999993</v>
      </c>
      <c r="J27" s="1183">
        <v>16.164415343369757</v>
      </c>
      <c r="K27" s="1181">
        <v>92673</v>
      </c>
      <c r="L27" s="1177"/>
      <c r="M27" s="1225"/>
    </row>
    <row r="28" spans="1:13">
      <c r="A28" s="1162"/>
      <c r="B28" s="1179" t="s">
        <v>460</v>
      </c>
      <c r="C28" s="1184">
        <v>12.5077</v>
      </c>
      <c r="D28" s="1174">
        <v>24.457203128420471</v>
      </c>
      <c r="E28" s="1185">
        <v>120844</v>
      </c>
      <c r="F28" s="1186">
        <v>120728</v>
      </c>
      <c r="G28" s="1177"/>
      <c r="H28" s="1178" t="s">
        <v>461</v>
      </c>
      <c r="I28" s="1180">
        <v>11.368</v>
      </c>
      <c r="J28" s="1183">
        <v>26.135922330097099</v>
      </c>
      <c r="K28" s="1181">
        <v>115093</v>
      </c>
      <c r="L28" s="1177"/>
      <c r="M28" s="1225"/>
    </row>
    <row r="29" spans="1:13">
      <c r="A29" s="1162"/>
      <c r="B29" s="1179" t="s">
        <v>462</v>
      </c>
      <c r="C29" s="1184">
        <v>14.2524</v>
      </c>
      <c r="D29" s="1174">
        <v>13.949007411434556</v>
      </c>
      <c r="E29" s="1185">
        <v>142077</v>
      </c>
      <c r="F29" s="1186">
        <v>142588</v>
      </c>
      <c r="G29" s="1177"/>
      <c r="H29" s="1178" t="s">
        <v>463</v>
      </c>
      <c r="I29" s="1180">
        <v>13.1272</v>
      </c>
      <c r="J29" s="1183">
        <v>15.475017593244193</v>
      </c>
      <c r="K29" s="1181">
        <v>136999</v>
      </c>
      <c r="L29" s="1177"/>
      <c r="M29" s="1225"/>
    </row>
    <row r="30" spans="1:13">
      <c r="A30" s="1162"/>
      <c r="B30" s="1179" t="s">
        <v>464</v>
      </c>
      <c r="C30" s="1184">
        <v>16.210599999999999</v>
      </c>
      <c r="D30" s="1174">
        <v>13.739440374954393</v>
      </c>
      <c r="E30" s="1185">
        <v>166100</v>
      </c>
      <c r="F30" s="1186">
        <v>165888</v>
      </c>
      <c r="G30" s="1177"/>
      <c r="H30" s="1178" t="s">
        <v>465</v>
      </c>
      <c r="I30" s="1180">
        <v>14.946300000000001</v>
      </c>
      <c r="J30" s="1183">
        <v>13.857486745078926</v>
      </c>
      <c r="K30" s="1181">
        <v>159786</v>
      </c>
      <c r="L30" s="1177"/>
      <c r="M30" s="1225"/>
    </row>
    <row r="31" spans="1:13">
      <c r="A31" s="1162"/>
      <c r="B31" s="1179" t="s">
        <v>466</v>
      </c>
      <c r="C31" s="1184">
        <v>18.035799999999998</v>
      </c>
      <c r="D31" s="1174">
        <v>11.259299470716684</v>
      </c>
      <c r="E31" s="1185">
        <v>192358</v>
      </c>
      <c r="F31" s="1186">
        <v>192477</v>
      </c>
      <c r="G31" s="1177"/>
      <c r="H31" s="1178" t="s">
        <v>467</v>
      </c>
      <c r="I31" s="1180">
        <v>16.7105</v>
      </c>
      <c r="J31" s="1183">
        <v>11.803590186199921</v>
      </c>
      <c r="K31" s="1181">
        <v>186158</v>
      </c>
      <c r="L31" s="1177"/>
      <c r="M31" s="1225"/>
    </row>
    <row r="32" spans="1:13">
      <c r="A32" s="1162"/>
      <c r="B32" s="1179" t="s">
        <v>468</v>
      </c>
      <c r="C32" s="1184">
        <v>21.0793</v>
      </c>
      <c r="D32" s="1174">
        <v>16.874771288215669</v>
      </c>
      <c r="E32" s="1185">
        <v>232592</v>
      </c>
      <c r="F32" s="1186">
        <v>232629</v>
      </c>
      <c r="G32" s="1177"/>
      <c r="H32" s="1178" t="s">
        <v>469</v>
      </c>
      <c r="I32" s="1180">
        <v>19.123899999999999</v>
      </c>
      <c r="J32" s="1183">
        <v>14.442416444750302</v>
      </c>
      <c r="K32" s="1181">
        <v>220981</v>
      </c>
      <c r="L32" s="1177"/>
      <c r="M32" s="1225"/>
    </row>
    <row r="33" spans="1:13">
      <c r="A33" s="1162"/>
      <c r="B33" s="1179" t="s">
        <v>470</v>
      </c>
      <c r="C33" s="1184">
        <v>25.102900000000002</v>
      </c>
      <c r="D33" s="1174">
        <v>19.08792037686262</v>
      </c>
      <c r="E33" s="1185">
        <v>267518</v>
      </c>
      <c r="F33" s="1186">
        <v>267802</v>
      </c>
      <c r="G33" s="1177"/>
      <c r="H33" s="1178" t="s">
        <v>471</v>
      </c>
      <c r="I33" s="1180">
        <v>22.987200000000001</v>
      </c>
      <c r="J33" s="1183">
        <v>20.201423349839743</v>
      </c>
      <c r="K33" s="1181">
        <v>259970</v>
      </c>
      <c r="L33" s="1177"/>
      <c r="M33" s="1225"/>
    </row>
    <row r="34" spans="1:13">
      <c r="A34" s="1162"/>
      <c r="B34" s="1179" t="s">
        <v>472</v>
      </c>
      <c r="C34" s="1184">
        <v>27.747699999999998</v>
      </c>
      <c r="D34" s="1174">
        <v>10.535834505176677</v>
      </c>
      <c r="E34" s="1185">
        <v>298261</v>
      </c>
      <c r="F34" s="1186">
        <v>297709</v>
      </c>
      <c r="G34" s="1177"/>
      <c r="H34" s="1178" t="s">
        <v>473</v>
      </c>
      <c r="I34" s="1180">
        <v>25.819500000000001</v>
      </c>
      <c r="J34" s="1183">
        <v>12.321204844435163</v>
      </c>
      <c r="K34" s="1181">
        <v>290180</v>
      </c>
      <c r="L34" s="1177"/>
      <c r="M34" s="1225"/>
    </row>
    <row r="35" spans="1:13">
      <c r="A35" s="1162"/>
      <c r="B35" s="1179" t="s">
        <v>474</v>
      </c>
      <c r="C35" s="1184">
        <v>29.793500000000002</v>
      </c>
      <c r="D35" s="1174">
        <v>7.3728633364206893</v>
      </c>
      <c r="E35" s="1185">
        <v>327449</v>
      </c>
      <c r="F35" s="1186">
        <v>327817</v>
      </c>
      <c r="G35" s="1177"/>
      <c r="H35" s="1178" t="s">
        <v>475</v>
      </c>
      <c r="I35" s="1180">
        <v>27.886099999999999</v>
      </c>
      <c r="J35" s="1183">
        <v>8.0040279633610147</v>
      </c>
      <c r="K35" s="1181">
        <v>319558</v>
      </c>
      <c r="L35" s="1177"/>
      <c r="M35" s="1225"/>
    </row>
    <row r="36" spans="1:13">
      <c r="A36" s="1162"/>
      <c r="B36" s="1179" t="s">
        <v>476</v>
      </c>
      <c r="C36" s="1184">
        <v>31.212</v>
      </c>
      <c r="D36" s="1174">
        <v>4.7611056102841154</v>
      </c>
      <c r="E36" s="1185">
        <v>358062</v>
      </c>
      <c r="F36" s="1186">
        <v>357283</v>
      </c>
      <c r="G36" s="1177"/>
      <c r="H36" s="1178" t="s">
        <v>477</v>
      </c>
      <c r="I36" s="1180">
        <v>29.433700000000002</v>
      </c>
      <c r="J36" s="1183">
        <v>5.5497183184454002</v>
      </c>
      <c r="K36" s="1181">
        <v>351347</v>
      </c>
      <c r="L36" s="1177"/>
      <c r="M36" s="1225"/>
    </row>
    <row r="37" spans="1:13">
      <c r="A37" s="1162"/>
      <c r="B37" s="1179" t="s">
        <v>478</v>
      </c>
      <c r="C37" s="1184">
        <v>33.035400000000003</v>
      </c>
      <c r="D37" s="1174">
        <v>5.8419838523644856</v>
      </c>
      <c r="E37" s="1185">
        <v>385979</v>
      </c>
      <c r="F37" s="1186">
        <v>385669</v>
      </c>
      <c r="G37" s="1177"/>
      <c r="H37" s="1178" t="s">
        <v>479</v>
      </c>
      <c r="I37" s="1180">
        <v>30.973400000000002</v>
      </c>
      <c r="J37" s="1183">
        <v>5.2310786615342266</v>
      </c>
      <c r="K37" s="1181">
        <v>377920</v>
      </c>
      <c r="L37" s="1177"/>
      <c r="M37" s="1225"/>
    </row>
    <row r="38" spans="1:13">
      <c r="A38" s="1162"/>
      <c r="B38" s="1179" t="s">
        <v>480</v>
      </c>
      <c r="C38" s="1184">
        <v>34.832700000000003</v>
      </c>
      <c r="D38" s="1174">
        <v>5.440527434206941</v>
      </c>
      <c r="E38" s="1185">
        <v>423724</v>
      </c>
      <c r="F38" s="1186">
        <v>423971</v>
      </c>
      <c r="G38" s="1177"/>
      <c r="H38" s="1178" t="s">
        <v>481</v>
      </c>
      <c r="I38" s="1180">
        <v>32.645699999999998</v>
      </c>
      <c r="J38" s="1183">
        <v>5.3991489471611001</v>
      </c>
      <c r="K38" s="1181">
        <v>414630</v>
      </c>
      <c r="L38" s="1177"/>
      <c r="M38" s="1225"/>
    </row>
    <row r="39" spans="1:13">
      <c r="A39" s="1162"/>
      <c r="B39" s="1179" t="s">
        <v>482</v>
      </c>
      <c r="C39" s="1184">
        <v>36.244300000000003</v>
      </c>
      <c r="D39" s="1174">
        <v>4.0525138734579862</v>
      </c>
      <c r="E39" s="1185">
        <v>455183</v>
      </c>
      <c r="F39" s="1186">
        <v>455983</v>
      </c>
      <c r="G39" s="1177"/>
      <c r="H39" s="1178" t="s">
        <v>483</v>
      </c>
      <c r="I39" s="1180">
        <v>34.102800000000002</v>
      </c>
      <c r="J39" s="1183">
        <v>4.4633749620930292</v>
      </c>
      <c r="K39" s="1181">
        <v>446600</v>
      </c>
      <c r="L39" s="1177"/>
      <c r="M39" s="1225"/>
    </row>
    <row r="40" spans="1:13">
      <c r="A40" s="1162"/>
      <c r="B40" s="1179" t="s">
        <v>484</v>
      </c>
      <c r="C40" s="1184">
        <v>38.355699999999999</v>
      </c>
      <c r="D40" s="1174">
        <v>5.8254677287187118</v>
      </c>
      <c r="E40" s="1185">
        <v>511512</v>
      </c>
      <c r="F40" s="1186">
        <v>511956</v>
      </c>
      <c r="G40" s="1177"/>
      <c r="H40" s="1178" t="s">
        <v>485</v>
      </c>
      <c r="I40" s="1180">
        <v>35.979399999999998</v>
      </c>
      <c r="J40" s="1183">
        <v>5.5027739657740602</v>
      </c>
      <c r="K40" s="1181">
        <v>496809</v>
      </c>
      <c r="L40" s="1177"/>
      <c r="M40" s="1225"/>
    </row>
    <row r="41" spans="1:13">
      <c r="A41" s="1162"/>
      <c r="B41" s="1179" t="s">
        <v>486</v>
      </c>
      <c r="C41" s="1184">
        <v>40.967300000000002</v>
      </c>
      <c r="D41" s="1174">
        <v>6.8088967219996066</v>
      </c>
      <c r="E41" s="1185">
        <v>570330</v>
      </c>
      <c r="F41" s="1186">
        <v>571023</v>
      </c>
      <c r="G41" s="1177"/>
      <c r="H41" s="1178" t="s">
        <v>487</v>
      </c>
      <c r="I41" s="1180">
        <v>38.194200000000002</v>
      </c>
      <c r="J41" s="1183">
        <v>6.1557446761202357</v>
      </c>
      <c r="K41" s="1181">
        <v>555683</v>
      </c>
      <c r="L41" s="1177"/>
      <c r="M41" s="1225"/>
    </row>
    <row r="42" spans="1:13">
      <c r="A42" s="1162"/>
      <c r="B42" s="1179" t="s">
        <v>488</v>
      </c>
      <c r="C42" s="1184">
        <v>44.273800000000001</v>
      </c>
      <c r="D42" s="1174">
        <v>8.0710713178559477</v>
      </c>
      <c r="E42" s="1185">
        <v>629559</v>
      </c>
      <c r="F42" s="1186">
        <v>629064</v>
      </c>
      <c r="G42" s="1177"/>
      <c r="H42" s="1178" t="s">
        <v>489</v>
      </c>
      <c r="I42" s="1180">
        <v>41.261200000000002</v>
      </c>
      <c r="J42" s="1183">
        <v>8.0300150284598182</v>
      </c>
      <c r="K42" s="1181">
        <v>614631</v>
      </c>
      <c r="L42" s="1177"/>
      <c r="M42" s="1225"/>
    </row>
    <row r="43" spans="1:13">
      <c r="A43" s="1162"/>
      <c r="B43" s="1179" t="s">
        <v>490</v>
      </c>
      <c r="C43" s="1184">
        <v>47.991799999999998</v>
      </c>
      <c r="D43" s="1174">
        <v>8.3977431347659248</v>
      </c>
      <c r="E43" s="1185">
        <v>679270</v>
      </c>
      <c r="F43" s="1186">
        <v>680933</v>
      </c>
      <c r="G43" s="1177"/>
      <c r="H43" s="1178" t="s">
        <v>491</v>
      </c>
      <c r="I43" s="1180">
        <v>44.788200000000003</v>
      </c>
      <c r="J43" s="1183">
        <v>8.5479821236415834</v>
      </c>
      <c r="K43" s="1181">
        <v>670797</v>
      </c>
      <c r="L43" s="1177"/>
      <c r="M43" s="1225"/>
    </row>
    <row r="44" spans="1:13">
      <c r="A44" s="1162"/>
      <c r="B44" s="1179" t="s">
        <v>492</v>
      </c>
      <c r="C44" s="1184">
        <v>50.886200000000002</v>
      </c>
      <c r="D44" s="1174">
        <v>6.0310303010097659</v>
      </c>
      <c r="E44" s="1185">
        <v>714363</v>
      </c>
      <c r="F44" s="1186">
        <v>714130</v>
      </c>
      <c r="G44" s="1177"/>
      <c r="H44" s="1178" t="s">
        <v>493</v>
      </c>
      <c r="I44" s="1180">
        <v>47.797899999999998</v>
      </c>
      <c r="J44" s="1183">
        <v>6.7198503177176017</v>
      </c>
      <c r="K44" s="1181">
        <v>705884</v>
      </c>
      <c r="L44" s="1177"/>
      <c r="M44" s="1225"/>
    </row>
    <row r="45" spans="1:13">
      <c r="A45" s="1162"/>
      <c r="B45" s="1179" t="s">
        <v>494</v>
      </c>
      <c r="C45" s="1184">
        <v>52.290199999999999</v>
      </c>
      <c r="D45" s="1174">
        <v>2.7590977514532353</v>
      </c>
      <c r="E45" s="1185">
        <v>738807</v>
      </c>
      <c r="F45" s="1186">
        <v>739015</v>
      </c>
      <c r="G45" s="1177"/>
      <c r="H45" s="1178" t="s">
        <v>495</v>
      </c>
      <c r="I45" s="1180">
        <v>49.367699999999999</v>
      </c>
      <c r="J45" s="1183">
        <v>3.2842447053113224</v>
      </c>
      <c r="K45" s="1181">
        <v>730874</v>
      </c>
      <c r="L45" s="1177"/>
      <c r="M45" s="1225"/>
    </row>
    <row r="46" spans="1:13">
      <c r="A46" s="1162"/>
      <c r="B46" s="1179" t="s">
        <v>496</v>
      </c>
      <c r="C46" s="1184">
        <v>53.780999999999999</v>
      </c>
      <c r="D46" s="1174">
        <v>2.8510122355623042</v>
      </c>
      <c r="E46" s="1185">
        <v>780640</v>
      </c>
      <c r="F46" s="1186">
        <v>780073</v>
      </c>
      <c r="G46" s="1177"/>
      <c r="H46" s="1178" t="s">
        <v>497</v>
      </c>
      <c r="I46" s="1180">
        <v>50.849400000000003</v>
      </c>
      <c r="J46" s="1183">
        <v>3.0013551370633098</v>
      </c>
      <c r="K46" s="1181">
        <v>769855</v>
      </c>
      <c r="L46" s="1177"/>
      <c r="M46" s="1225"/>
    </row>
    <row r="47" spans="1:13">
      <c r="A47" s="1162"/>
      <c r="B47" s="1179" t="s">
        <v>498</v>
      </c>
      <c r="C47" s="1184">
        <v>54.670099999999998</v>
      </c>
      <c r="D47" s="1174">
        <v>1.6531860694297227</v>
      </c>
      <c r="E47" s="1185">
        <v>820882</v>
      </c>
      <c r="F47" s="1186">
        <v>819654</v>
      </c>
      <c r="G47" s="1177"/>
      <c r="H47" s="1178" t="s">
        <v>499</v>
      </c>
      <c r="I47" s="1180">
        <v>51.788800000000002</v>
      </c>
      <c r="J47" s="1183">
        <v>1.8474160953718215</v>
      </c>
      <c r="K47" s="1181">
        <v>810794</v>
      </c>
      <c r="L47" s="1177"/>
      <c r="M47" s="1225"/>
    </row>
    <row r="48" spans="1:13">
      <c r="A48" s="1162"/>
      <c r="B48" s="1179" t="s">
        <v>500</v>
      </c>
      <c r="C48" s="1184">
        <v>56.405099999999997</v>
      </c>
      <c r="D48" s="1174">
        <v>3.1735811714264277</v>
      </c>
      <c r="E48" s="1185">
        <v>863062</v>
      </c>
      <c r="F48" s="1186">
        <v>864621</v>
      </c>
      <c r="G48" s="1177"/>
      <c r="H48" s="1178" t="s">
        <v>501</v>
      </c>
      <c r="I48" s="1180">
        <v>53.141199999999998</v>
      </c>
      <c r="J48" s="1183">
        <v>2.6113754325259433</v>
      </c>
      <c r="K48" s="1181">
        <v>851845</v>
      </c>
      <c r="L48" s="1177"/>
      <c r="M48" s="1225"/>
    </row>
    <row r="49" spans="1:18">
      <c r="A49" s="1162"/>
      <c r="B49" s="1179" t="s">
        <v>502</v>
      </c>
      <c r="C49" s="1184">
        <v>58.314500000000002</v>
      </c>
      <c r="D49" s="1174">
        <v>3.3851548884764058</v>
      </c>
      <c r="E49" s="1185">
        <v>922997</v>
      </c>
      <c r="F49" s="1186">
        <v>921289</v>
      </c>
      <c r="G49" s="1177"/>
      <c r="H49" s="1178" t="s">
        <v>503</v>
      </c>
      <c r="I49" s="1180">
        <v>55.339599999999997</v>
      </c>
      <c r="J49" s="1183">
        <v>4.1369031937555034</v>
      </c>
      <c r="K49" s="1181">
        <v>909993</v>
      </c>
      <c r="L49" s="1177"/>
      <c r="M49" s="1225"/>
      <c r="N49" s="1223"/>
      <c r="O49" s="1223"/>
      <c r="P49" s="1223"/>
      <c r="Q49" s="1223"/>
      <c r="R49" s="1223"/>
    </row>
    <row r="50" spans="1:18">
      <c r="A50" s="1162"/>
      <c r="B50" s="1179" t="s">
        <v>504</v>
      </c>
      <c r="C50" s="1184">
        <v>58.304600000000001</v>
      </c>
      <c r="D50" s="1174">
        <v>-1.6976909687988057E-2</v>
      </c>
      <c r="E50" s="1185">
        <v>964687</v>
      </c>
      <c r="F50" s="1186">
        <v>966520</v>
      </c>
      <c r="G50" s="1177"/>
      <c r="H50" s="1178" t="s">
        <v>505</v>
      </c>
      <c r="I50" s="1180">
        <v>55.260599999999997</v>
      </c>
      <c r="J50" s="1183">
        <v>-0.14275491691302544</v>
      </c>
      <c r="K50" s="1181">
        <v>953405</v>
      </c>
      <c r="L50" s="1177"/>
      <c r="M50" s="1225"/>
      <c r="N50" s="1223"/>
      <c r="O50" s="1223"/>
      <c r="P50" s="1223"/>
      <c r="Q50" s="1223"/>
      <c r="R50" s="1223"/>
    </row>
    <row r="51" spans="1:18">
      <c r="A51" s="1162"/>
      <c r="B51" s="1179" t="s">
        <v>506</v>
      </c>
      <c r="C51" s="1184">
        <v>59.101500000000001</v>
      </c>
      <c r="D51" s="1174">
        <v>1.3667875261986202</v>
      </c>
      <c r="E51" s="1185">
        <v>1010042</v>
      </c>
      <c r="F51" s="1186">
        <v>1008430</v>
      </c>
      <c r="G51" s="1177"/>
      <c r="H51" s="1178" t="s">
        <v>507</v>
      </c>
      <c r="I51" s="1180">
        <v>55.963000000000001</v>
      </c>
      <c r="J51" s="1183">
        <v>1.2710683561163005</v>
      </c>
      <c r="K51" s="1181">
        <v>998501</v>
      </c>
      <c r="L51" s="1177"/>
      <c r="M51" s="1225"/>
      <c r="N51" s="1223"/>
      <c r="O51" s="1223"/>
      <c r="P51" s="1223"/>
      <c r="Q51" s="1223"/>
      <c r="R51" s="1223"/>
    </row>
    <row r="52" spans="1:18">
      <c r="A52" s="1162"/>
      <c r="B52" s="1179" t="s">
        <v>508</v>
      </c>
      <c r="C52" s="1184">
        <v>59.89</v>
      </c>
      <c r="D52" s="1174">
        <v>1.3341454954611964</v>
      </c>
      <c r="E52" s="1185">
        <v>1058069</v>
      </c>
      <c r="F52" s="1186">
        <v>1059608</v>
      </c>
      <c r="G52" s="1177"/>
      <c r="H52" s="1178" t="s">
        <v>509</v>
      </c>
      <c r="I52" s="1180">
        <v>56.731099999999998</v>
      </c>
      <c r="J52" s="1183">
        <v>1.3725139824526864</v>
      </c>
      <c r="K52" s="1181">
        <v>1043248</v>
      </c>
      <c r="L52" s="1177"/>
      <c r="M52" s="1225"/>
      <c r="N52" s="1223"/>
      <c r="O52" s="1223"/>
      <c r="P52" s="1223"/>
      <c r="Q52" s="1223"/>
      <c r="R52" s="1223"/>
    </row>
    <row r="53" spans="1:18">
      <c r="A53" s="1162"/>
      <c r="B53" s="1179" t="s">
        <v>510</v>
      </c>
      <c r="C53" s="1184">
        <v>60.501100000000001</v>
      </c>
      <c r="D53" s="1174">
        <v>1.0203706795792293</v>
      </c>
      <c r="E53" s="1185">
        <v>1114639</v>
      </c>
      <c r="F53" s="1186">
        <v>1111547</v>
      </c>
      <c r="G53" s="1177"/>
      <c r="H53" s="1178" t="s">
        <v>511</v>
      </c>
      <c r="I53" s="1180">
        <v>57.381999999999998</v>
      </c>
      <c r="J53" s="1183">
        <v>1.1473424629524194</v>
      </c>
      <c r="K53" s="1181">
        <v>1100752</v>
      </c>
      <c r="L53" s="1177"/>
      <c r="M53" s="1225"/>
      <c r="N53" s="1223"/>
      <c r="O53" s="1223"/>
      <c r="P53" s="1223"/>
      <c r="Q53" s="1223"/>
      <c r="R53" s="1223"/>
    </row>
    <row r="54" spans="1:18">
      <c r="A54" s="1162"/>
      <c r="B54" s="1179" t="s">
        <v>512</v>
      </c>
      <c r="C54" s="1184">
        <v>61.527999999999999</v>
      </c>
      <c r="D54" s="1174">
        <v>1.6973245114551598</v>
      </c>
      <c r="E54" s="1185">
        <v>1152363</v>
      </c>
      <c r="F54" s="1186">
        <v>1155639</v>
      </c>
      <c r="G54" s="1177"/>
      <c r="H54" s="1178" t="s">
        <v>513</v>
      </c>
      <c r="I54" s="1180">
        <v>58.245600000000003</v>
      </c>
      <c r="J54" s="1183">
        <v>1.5050015684361042</v>
      </c>
      <c r="K54" s="1181">
        <v>1146135</v>
      </c>
      <c r="L54" s="1177"/>
      <c r="M54" s="1225"/>
      <c r="N54" s="1223"/>
      <c r="O54" s="1223"/>
      <c r="P54" s="1223"/>
      <c r="Q54" s="1223"/>
      <c r="R54" s="1223"/>
    </row>
    <row r="55" spans="1:18">
      <c r="A55" s="1162"/>
      <c r="B55" s="1179" t="s">
        <v>514</v>
      </c>
      <c r="C55" s="1184">
        <v>62.926200000000001</v>
      </c>
      <c r="D55" s="1174">
        <v>2.2724613184241367</v>
      </c>
      <c r="E55" s="1185">
        <v>1208864</v>
      </c>
      <c r="F55" s="1186">
        <v>1206462</v>
      </c>
      <c r="G55" s="1177"/>
      <c r="H55" s="1178" t="s">
        <v>515</v>
      </c>
      <c r="I55" s="1180">
        <v>59.479500000000002</v>
      </c>
      <c r="J55" s="1183">
        <v>2.1184432815525951</v>
      </c>
      <c r="K55" s="1181">
        <v>1191439</v>
      </c>
      <c r="L55" s="1177"/>
      <c r="M55" s="1225"/>
      <c r="N55" s="1223"/>
      <c r="O55" s="1223"/>
      <c r="P55" s="1223"/>
      <c r="Q55" s="1223"/>
      <c r="R55" s="1223"/>
    </row>
    <row r="56" spans="1:18">
      <c r="A56" s="1162"/>
      <c r="B56" s="1179" t="s">
        <v>516</v>
      </c>
      <c r="C56" s="1184">
        <v>64.356800000000007</v>
      </c>
      <c r="D56" s="1174">
        <v>2.2734568430955711</v>
      </c>
      <c r="E56" s="1185">
        <v>1272601</v>
      </c>
      <c r="F56" s="1186">
        <v>1273669</v>
      </c>
      <c r="G56" s="1177"/>
      <c r="H56" s="1178" t="s">
        <v>517</v>
      </c>
      <c r="I56" s="1180">
        <v>60.9026</v>
      </c>
      <c r="J56" s="1183">
        <v>2.3925890432838171</v>
      </c>
      <c r="K56" s="1181">
        <v>1258334</v>
      </c>
      <c r="L56" s="1177"/>
      <c r="M56" s="1225"/>
      <c r="N56" s="1223"/>
      <c r="O56" s="1223"/>
      <c r="P56" s="1223"/>
      <c r="Q56" s="1223"/>
      <c r="R56" s="1223"/>
    </row>
    <row r="57" spans="1:18">
      <c r="A57" s="1162"/>
      <c r="B57" s="1179" t="s">
        <v>518</v>
      </c>
      <c r="C57" s="1184">
        <v>66.289299999999997</v>
      </c>
      <c r="D57" s="1174">
        <v>3.0027906918926828</v>
      </c>
      <c r="E57" s="1185">
        <v>1342153</v>
      </c>
      <c r="F57" s="1186">
        <v>1341238</v>
      </c>
      <c r="G57" s="1177"/>
      <c r="H57" s="1178" t="s">
        <v>519</v>
      </c>
      <c r="I57" s="1180">
        <v>62.497799999999998</v>
      </c>
      <c r="J57" s="1183">
        <v>2.6192642021851258</v>
      </c>
      <c r="K57" s="1181">
        <v>1322637</v>
      </c>
      <c r="L57" s="1177"/>
      <c r="M57" s="1225"/>
      <c r="N57" s="1223"/>
      <c r="O57" s="1223"/>
      <c r="P57" s="1223"/>
      <c r="Q57" s="1223"/>
      <c r="R57" s="1223"/>
    </row>
    <row r="58" spans="1:18">
      <c r="A58" s="1162"/>
      <c r="B58" s="1179" t="s">
        <v>520</v>
      </c>
      <c r="C58" s="1184">
        <v>68.103499999999997</v>
      </c>
      <c r="D58" s="1174">
        <v>2.7367916089021902</v>
      </c>
      <c r="E58" s="1185">
        <v>1418417</v>
      </c>
      <c r="F58" s="1186">
        <v>1418626</v>
      </c>
      <c r="G58" s="1177"/>
      <c r="H58" s="1178" t="s">
        <v>521</v>
      </c>
      <c r="I58" s="1180">
        <v>64.332499999999996</v>
      </c>
      <c r="J58" s="1183">
        <v>2.9356233339413516</v>
      </c>
      <c r="K58" s="1181">
        <v>1398749</v>
      </c>
      <c r="L58" s="1177"/>
      <c r="M58" s="1225"/>
      <c r="N58" s="1223"/>
      <c r="O58" s="1223"/>
      <c r="P58" s="1223"/>
      <c r="Q58" s="1223"/>
      <c r="R58" s="1226"/>
    </row>
    <row r="59" spans="1:18">
      <c r="A59" s="1162"/>
      <c r="B59" s="1179" t="s">
        <v>522</v>
      </c>
      <c r="C59" s="1184">
        <v>69.924700000000001</v>
      </c>
      <c r="D59" s="1174">
        <v>2.6741650575961655</v>
      </c>
      <c r="E59" s="1185">
        <v>1486255</v>
      </c>
      <c r="F59" s="1186">
        <v>1487819</v>
      </c>
      <c r="G59" s="1177"/>
      <c r="H59" s="1178" t="s">
        <v>523</v>
      </c>
      <c r="I59" s="1180">
        <v>66.127300000000005</v>
      </c>
      <c r="J59" s="1183">
        <v>2.7898806979365163</v>
      </c>
      <c r="K59" s="1181">
        <v>1472038</v>
      </c>
      <c r="L59" s="1177"/>
      <c r="M59" s="1225"/>
      <c r="N59" s="1223"/>
      <c r="O59" s="1223" t="s">
        <v>524</v>
      </c>
      <c r="P59" s="1223"/>
      <c r="Q59" s="1223"/>
      <c r="R59" s="1226"/>
    </row>
    <row r="60" spans="1:18">
      <c r="A60" s="1162"/>
      <c r="B60" s="1179" t="s">
        <v>525</v>
      </c>
      <c r="C60" s="1184">
        <v>71.616399999999999</v>
      </c>
      <c r="D60" s="1174">
        <v>2.4193167793354813</v>
      </c>
      <c r="E60" s="1185">
        <v>1565822</v>
      </c>
      <c r="F60" s="1186">
        <v>1565136</v>
      </c>
      <c r="G60" s="1177"/>
      <c r="H60" s="1178" t="s">
        <v>526</v>
      </c>
      <c r="I60" s="1180">
        <v>67.615499999999997</v>
      </c>
      <c r="J60" s="1183">
        <v>2.2505077328123058</v>
      </c>
      <c r="K60" s="1181">
        <v>1544637</v>
      </c>
      <c r="L60" s="1177"/>
      <c r="M60" s="1225"/>
      <c r="N60" s="1223"/>
      <c r="O60" s="1223"/>
      <c r="P60" s="1223"/>
      <c r="Q60" s="1223"/>
      <c r="R60" s="1226"/>
    </row>
    <row r="61" spans="1:18">
      <c r="A61" s="1162"/>
      <c r="B61" s="1179" t="s">
        <v>324</v>
      </c>
      <c r="C61" s="1184">
        <v>74.195300000000003</v>
      </c>
      <c r="D61" s="1174">
        <v>3.6009908345016011</v>
      </c>
      <c r="E61" s="1185">
        <v>1582979</v>
      </c>
      <c r="F61" s="1186">
        <v>1582791</v>
      </c>
      <c r="G61" s="1177"/>
      <c r="H61" s="1178" t="s">
        <v>527</v>
      </c>
      <c r="I61" s="1180">
        <v>69.934799999999996</v>
      </c>
      <c r="J61" s="1183">
        <v>3.4301306653060295</v>
      </c>
      <c r="K61" s="1181">
        <v>1593600</v>
      </c>
      <c r="L61" s="1177"/>
      <c r="M61" s="1225"/>
      <c r="N61" s="1223"/>
      <c r="O61" s="1223" t="s">
        <v>524</v>
      </c>
      <c r="P61" s="1223"/>
      <c r="Q61" s="1223"/>
      <c r="R61" s="1226"/>
    </row>
    <row r="62" spans="1:18">
      <c r="A62" s="1162"/>
      <c r="B62" s="1179" t="s">
        <v>325</v>
      </c>
      <c r="C62" s="1184">
        <v>75.199299999999994</v>
      </c>
      <c r="D62" s="1174">
        <v>1.3531854443610183</v>
      </c>
      <c r="E62" s="1185">
        <v>1557028</v>
      </c>
      <c r="F62" s="1186">
        <v>1558176</v>
      </c>
      <c r="G62" s="1177"/>
      <c r="H62" s="1178" t="s">
        <v>528</v>
      </c>
      <c r="I62" s="1180">
        <v>71.242699999999999</v>
      </c>
      <c r="J62" s="1183">
        <v>1.8701705016672725</v>
      </c>
      <c r="K62" s="1181">
        <v>1548802</v>
      </c>
      <c r="L62" s="1223"/>
      <c r="M62" s="1225"/>
      <c r="N62" s="1223"/>
      <c r="O62" s="1223"/>
      <c r="P62" s="1223"/>
      <c r="Q62" s="1223"/>
      <c r="R62" s="1226"/>
    </row>
    <row r="63" spans="1:18">
      <c r="A63" s="1162"/>
      <c r="B63" s="1179" t="s">
        <v>188</v>
      </c>
      <c r="C63" s="1184">
        <v>76.616600000000005</v>
      </c>
      <c r="D63" s="1174">
        <v>1.884724990791153</v>
      </c>
      <c r="E63" s="1185">
        <v>1627823</v>
      </c>
      <c r="F63" s="1186">
        <v>1627172</v>
      </c>
      <c r="G63" s="1177"/>
      <c r="H63" s="1178" t="s">
        <v>529</v>
      </c>
      <c r="I63" s="1180">
        <v>72.369299999999996</v>
      </c>
      <c r="J63" s="1183">
        <v>1.5813550019861633</v>
      </c>
      <c r="K63" s="1181">
        <v>1608553</v>
      </c>
      <c r="L63" s="1223"/>
      <c r="M63" s="1225"/>
      <c r="N63" s="1223"/>
      <c r="O63" s="1223" t="s">
        <v>524</v>
      </c>
      <c r="P63" s="1223"/>
      <c r="Q63" s="1223"/>
      <c r="R63" s="1226"/>
    </row>
    <row r="64" spans="1:18">
      <c r="A64" s="1162"/>
      <c r="B64" s="1179" t="s">
        <v>189</v>
      </c>
      <c r="C64" s="1184">
        <v>77.966899999999995</v>
      </c>
      <c r="D64" s="1174">
        <v>1.7624118010979211</v>
      </c>
      <c r="E64" s="1185">
        <v>1673244</v>
      </c>
      <c r="F64" s="1186">
        <v>1672562</v>
      </c>
      <c r="G64" s="1177"/>
      <c r="H64" s="1164">
        <v>2011</v>
      </c>
      <c r="I64" s="1180">
        <v>73.954599999999999</v>
      </c>
      <c r="J64" s="1183">
        <v>2.1905697581709425</v>
      </c>
      <c r="K64" s="1181">
        <v>1662590</v>
      </c>
      <c r="L64" s="1223"/>
      <c r="M64" s="1225"/>
      <c r="N64" s="1223"/>
      <c r="O64" s="1223"/>
      <c r="P64" s="1223"/>
      <c r="Q64" s="1223"/>
      <c r="R64" s="1226"/>
    </row>
    <row r="65" spans="1:30">
      <c r="A65" s="1162"/>
      <c r="B65" s="1179" t="s">
        <v>190</v>
      </c>
      <c r="C65" s="1184">
        <v>79.397900000000007</v>
      </c>
      <c r="D65" s="1174">
        <v>1.8353942506371443</v>
      </c>
      <c r="E65" s="1185">
        <v>1725339</v>
      </c>
      <c r="F65" s="1186">
        <v>1727114</v>
      </c>
      <c r="G65" s="1177"/>
      <c r="H65" s="1164">
        <v>2012</v>
      </c>
      <c r="I65" s="1180">
        <v>75.091899999999995</v>
      </c>
      <c r="J65" s="1183">
        <v>1.5378353746758096</v>
      </c>
      <c r="K65" s="1181">
        <v>1713715</v>
      </c>
      <c r="L65" s="1223"/>
      <c r="M65" s="1225"/>
      <c r="N65" s="1223"/>
      <c r="O65" s="1223" t="s">
        <v>524</v>
      </c>
      <c r="P65" s="1223"/>
      <c r="Q65" s="1223"/>
      <c r="R65" s="1226"/>
      <c r="S65" s="1223"/>
      <c r="T65" s="1223"/>
      <c r="U65" s="1223"/>
      <c r="V65" s="1223"/>
      <c r="W65" s="1223"/>
      <c r="X65" s="1223"/>
      <c r="Y65" s="1223"/>
      <c r="Z65" s="1223"/>
      <c r="AA65" s="1223"/>
      <c r="AB65" s="1223"/>
      <c r="AC65" s="1223"/>
      <c r="AD65" s="1223"/>
    </row>
    <row r="66" spans="1:30">
      <c r="A66" s="1162"/>
      <c r="B66" s="1179" t="s">
        <v>191</v>
      </c>
      <c r="C66" s="1184">
        <v>80.924599999999998</v>
      </c>
      <c r="D66" s="1174">
        <v>1.922846825923596</v>
      </c>
      <c r="E66" s="1185">
        <v>1803853</v>
      </c>
      <c r="F66" s="1186">
        <v>1801250</v>
      </c>
      <c r="G66" s="1177"/>
      <c r="H66" s="1164">
        <v>2013</v>
      </c>
      <c r="I66" s="1180">
        <v>76.680300000000003</v>
      </c>
      <c r="J66" s="1183">
        <v>2.1152747500063351</v>
      </c>
      <c r="K66" s="1181">
        <v>1781361</v>
      </c>
      <c r="L66" s="1223"/>
      <c r="M66" s="1225"/>
      <c r="N66" s="1223"/>
      <c r="O66" s="1223"/>
      <c r="P66" s="1223"/>
      <c r="Q66" s="1223"/>
      <c r="R66" s="1226"/>
      <c r="S66" s="1223"/>
      <c r="T66" s="1223"/>
      <c r="U66" s="1223"/>
      <c r="V66" s="1223"/>
      <c r="W66" s="1223"/>
      <c r="X66" s="1223"/>
      <c r="Y66" s="1223"/>
      <c r="Z66" s="1223"/>
      <c r="AA66" s="1223"/>
      <c r="AB66" s="1223"/>
      <c r="AC66" s="1223"/>
      <c r="AD66" s="1223"/>
    </row>
    <row r="67" spans="1:30">
      <c r="A67" s="1223"/>
      <c r="B67" s="1223" t="s">
        <v>192</v>
      </c>
      <c r="C67" s="1223">
        <v>81.909000000000006</v>
      </c>
      <c r="D67" s="1223">
        <v>1.2164409833351144</v>
      </c>
      <c r="E67" s="1223">
        <v>1875404</v>
      </c>
      <c r="F67" s="1223">
        <v>1879260</v>
      </c>
      <c r="G67" s="1223"/>
      <c r="H67" s="1223">
        <v>2014</v>
      </c>
      <c r="I67" s="1223">
        <v>77.690700000000007</v>
      </c>
      <c r="J67" s="1223">
        <v>1.3176787258265867</v>
      </c>
      <c r="K67" s="1223">
        <v>1862514</v>
      </c>
      <c r="L67" s="1223"/>
      <c r="M67" s="1223"/>
      <c r="N67" s="1223"/>
      <c r="O67" s="1223" t="s">
        <v>524</v>
      </c>
      <c r="P67" s="1223"/>
      <c r="Q67" s="1223"/>
      <c r="R67" s="1223"/>
      <c r="S67" s="1223"/>
      <c r="T67" s="1223"/>
      <c r="U67" s="1223"/>
      <c r="V67" s="1223"/>
      <c r="W67" s="1223"/>
      <c r="X67" s="1223"/>
      <c r="Y67" s="1223"/>
      <c r="Z67" s="1223"/>
      <c r="AA67" s="1223"/>
      <c r="AB67" s="1223"/>
      <c r="AC67" s="1223"/>
      <c r="AD67" s="1223"/>
    </row>
    <row r="68" spans="1:30">
      <c r="A68" s="1223"/>
      <c r="B68" s="1223" t="s">
        <v>193</v>
      </c>
      <c r="C68" s="1223">
        <v>82.4983</v>
      </c>
      <c r="D68" s="1223">
        <v>0.71945695833180034</v>
      </c>
      <c r="E68" s="1223">
        <v>1932100</v>
      </c>
      <c r="F68" s="1223">
        <v>1931443</v>
      </c>
      <c r="G68" s="1223"/>
      <c r="H68" s="1223">
        <v>2015</v>
      </c>
      <c r="I68" s="1223">
        <v>78.205799999999996</v>
      </c>
      <c r="J68" s="1223">
        <v>0.66301371978884172</v>
      </c>
      <c r="K68" s="1223">
        <v>1916451</v>
      </c>
      <c r="L68" s="1223"/>
      <c r="M68" s="1223"/>
      <c r="N68" s="1223"/>
      <c r="O68" s="1223"/>
      <c r="P68" s="1223"/>
      <c r="Q68" s="1223"/>
      <c r="R68" s="1223"/>
      <c r="S68" s="1223"/>
      <c r="T68" s="1223"/>
      <c r="U68" s="1223"/>
      <c r="V68" s="1223"/>
      <c r="W68" s="1223"/>
      <c r="X68" s="1223"/>
      <c r="Y68" s="1223"/>
      <c r="Z68" s="1223"/>
      <c r="AA68" s="1223"/>
      <c r="AB68" s="1223"/>
      <c r="AC68" s="1223"/>
      <c r="AD68" s="1223"/>
    </row>
    <row r="69" spans="1:30">
      <c r="A69" s="1223"/>
      <c r="B69" s="1223" t="s">
        <v>165</v>
      </c>
      <c r="C69" s="1223">
        <v>84.374799999999993</v>
      </c>
      <c r="D69" s="1223">
        <v>2.2745923249327475</v>
      </c>
      <c r="E69" s="1223">
        <v>2013605</v>
      </c>
      <c r="F69" s="1223">
        <v>2015841</v>
      </c>
      <c r="G69" s="1223"/>
      <c r="H69" s="1223">
        <v>2016</v>
      </c>
      <c r="I69" s="1223">
        <v>79.740099999999998</v>
      </c>
      <c r="J69" s="1223">
        <v>1.9618749504512478</v>
      </c>
      <c r="K69" s="1223">
        <v>1991645</v>
      </c>
      <c r="L69" s="1223"/>
      <c r="M69" s="1223"/>
      <c r="N69" s="1223"/>
      <c r="O69" s="1223" t="s">
        <v>524</v>
      </c>
      <c r="P69" s="1223"/>
      <c r="Q69" s="1223"/>
      <c r="R69" s="1223"/>
      <c r="S69" s="1223"/>
      <c r="T69" s="1223"/>
      <c r="U69" s="1223"/>
      <c r="V69" s="1223"/>
      <c r="W69" s="1223"/>
      <c r="X69" s="1223"/>
      <c r="Y69" s="1223"/>
      <c r="Z69" s="1223"/>
      <c r="AA69" s="1223"/>
      <c r="AB69" s="1223"/>
      <c r="AC69" s="1223"/>
      <c r="AD69" s="1223"/>
    </row>
    <row r="70" spans="1:30">
      <c r="A70" s="1223"/>
      <c r="B70" s="1223" t="s">
        <v>167</v>
      </c>
      <c r="C70" s="1223">
        <v>85.696100000000001</v>
      </c>
      <c r="D70" s="1223">
        <v>1.5659888971588769</v>
      </c>
      <c r="E70" s="1223">
        <v>2098808</v>
      </c>
      <c r="F70" s="1223">
        <v>2099822</v>
      </c>
      <c r="G70" s="1223"/>
      <c r="H70" s="1223">
        <v>2017</v>
      </c>
      <c r="I70" s="1223">
        <v>81.221800000000002</v>
      </c>
      <c r="J70" s="1223">
        <v>1.8581617028320803</v>
      </c>
      <c r="K70" s="1223">
        <v>2082482</v>
      </c>
      <c r="L70" s="1223"/>
      <c r="M70" s="1223"/>
      <c r="N70" s="1223"/>
      <c r="O70" s="1223"/>
      <c r="P70" s="1223"/>
      <c r="Q70" s="1223"/>
      <c r="R70" s="1223"/>
      <c r="S70" s="1223"/>
      <c r="T70" s="1223"/>
      <c r="U70" s="1223"/>
      <c r="V70" s="1223"/>
      <c r="W70" s="1223"/>
      <c r="X70" s="1223"/>
      <c r="Y70" s="1223"/>
      <c r="Z70" s="1223"/>
      <c r="AA70" s="1223"/>
      <c r="AB70" s="1223"/>
      <c r="AC70" s="1223"/>
      <c r="AD70" s="1223"/>
    </row>
    <row r="71" spans="1:30">
      <c r="A71" s="1223"/>
      <c r="B71" s="1223" t="s">
        <v>168</v>
      </c>
      <c r="C71" s="1223">
        <v>87.503799999999998</v>
      </c>
      <c r="D71" s="1223">
        <v>2.1094308842526055</v>
      </c>
      <c r="E71" s="1223">
        <v>2173677</v>
      </c>
      <c r="F71" s="1223">
        <v>2170432</v>
      </c>
      <c r="G71" s="1223"/>
      <c r="H71" s="1223">
        <v>2018</v>
      </c>
      <c r="I71" s="1223">
        <v>82.783699999999996</v>
      </c>
      <c r="J71" s="1223">
        <v>1.9230058925066844</v>
      </c>
      <c r="K71" s="1223">
        <v>2152304</v>
      </c>
      <c r="L71" s="1223"/>
      <c r="M71" s="1223"/>
      <c r="N71" s="1223"/>
      <c r="O71" s="1223" t="s">
        <v>524</v>
      </c>
      <c r="P71" s="1223"/>
      <c r="Q71" s="1223"/>
      <c r="R71" s="1223"/>
      <c r="S71" s="1223"/>
      <c r="T71" s="1223"/>
      <c r="U71" s="1223"/>
      <c r="V71" s="1223"/>
      <c r="W71" s="1223"/>
      <c r="X71" s="1223"/>
      <c r="Y71" s="1223"/>
      <c r="Z71" s="1223"/>
      <c r="AA71" s="1223"/>
      <c r="AB71" s="1223"/>
      <c r="AC71" s="1223"/>
      <c r="AD71" s="1223"/>
    </row>
    <row r="72" spans="1:30">
      <c r="A72" s="1223"/>
      <c r="B72" s="1223" t="s">
        <v>169</v>
      </c>
      <c r="C72" s="1223">
        <v>89.569699999999997</v>
      </c>
      <c r="D72" s="1223">
        <v>2.360926039783414</v>
      </c>
      <c r="E72" s="1223">
        <v>2244509</v>
      </c>
      <c r="F72" s="1223">
        <v>2240706</v>
      </c>
      <c r="G72" s="1223"/>
      <c r="H72" s="1223">
        <v>2019</v>
      </c>
      <c r="I72" s="1223">
        <v>84.534099999999995</v>
      </c>
      <c r="J72" s="1223">
        <v>2.1144259075156087</v>
      </c>
      <c r="K72" s="1223">
        <v>2233921</v>
      </c>
      <c r="L72" s="1223"/>
      <c r="M72" s="1223"/>
      <c r="N72" s="1223"/>
      <c r="O72" s="1223"/>
      <c r="P72" s="1223"/>
      <c r="Q72" s="1223"/>
      <c r="R72" s="1223"/>
      <c r="S72" s="1223"/>
      <c r="T72" s="1223"/>
      <c r="U72" s="1223"/>
      <c r="V72" s="1223"/>
      <c r="W72" s="1223"/>
      <c r="X72" s="1223"/>
      <c r="Y72" s="1223"/>
      <c r="Z72" s="1223"/>
      <c r="AA72" s="1223"/>
      <c r="AB72" s="1223"/>
      <c r="AC72" s="1223"/>
      <c r="AD72" s="1223"/>
    </row>
    <row r="73" spans="1:30">
      <c r="A73" s="1223"/>
      <c r="B73" s="1223" t="s">
        <v>170</v>
      </c>
      <c r="C73" s="1223">
        <v>94.447299999999998</v>
      </c>
      <c r="D73" s="1223">
        <v>5.4455915337441132</v>
      </c>
      <c r="E73" s="1223">
        <v>2085084</v>
      </c>
      <c r="F73" s="1223">
        <v>2086121</v>
      </c>
      <c r="G73" s="1223"/>
      <c r="H73" s="1223">
        <v>2020</v>
      </c>
      <c r="I73" s="1223">
        <v>89.017200000000003</v>
      </c>
      <c r="J73" s="1223">
        <v>5.3033036372304281</v>
      </c>
      <c r="K73" s="1223">
        <v>2104288</v>
      </c>
      <c r="L73" s="1223"/>
      <c r="M73" s="1223"/>
      <c r="N73" s="1223"/>
      <c r="O73" s="1223" t="s">
        <v>524</v>
      </c>
      <c r="P73" s="1223"/>
      <c r="Q73" s="1223"/>
      <c r="R73" s="1223"/>
      <c r="S73" s="1223"/>
      <c r="T73" s="1223"/>
      <c r="U73" s="1223"/>
      <c r="V73" s="1223"/>
      <c r="W73" s="1223"/>
      <c r="X73" s="1223"/>
      <c r="Y73" s="1223"/>
      <c r="Z73" s="1223"/>
      <c r="AA73" s="1223"/>
      <c r="AB73" s="1223"/>
      <c r="AC73" s="1223"/>
      <c r="AD73" s="1223"/>
    </row>
    <row r="74" spans="1:30">
      <c r="A74" s="1223"/>
      <c r="B74" s="1223" t="s">
        <v>171</v>
      </c>
      <c r="C74" s="1223">
        <v>93.673500000000004</v>
      </c>
      <c r="D74" s="1223">
        <v>-0.8192928754977582</v>
      </c>
      <c r="E74" s="1223">
        <v>2361920</v>
      </c>
      <c r="F74" s="1223">
        <v>2354396</v>
      </c>
      <c r="G74" s="1223"/>
      <c r="H74" s="1223">
        <v>2021</v>
      </c>
      <c r="I74" s="1223">
        <v>88.733199999999997</v>
      </c>
      <c r="J74" s="1223">
        <v>-0.31903946653007059</v>
      </c>
      <c r="K74" s="1223">
        <v>2284079</v>
      </c>
      <c r="L74" s="1223"/>
      <c r="M74" s="1223"/>
      <c r="N74" s="1223"/>
      <c r="O74" s="1223"/>
      <c r="P74" s="1223"/>
      <c r="Q74" s="1223"/>
      <c r="R74" s="1223"/>
      <c r="S74" s="1223"/>
      <c r="T74" s="1223"/>
      <c r="U74" s="1223"/>
      <c r="V74" s="1223"/>
      <c r="W74" s="1223"/>
      <c r="X74" s="1223"/>
      <c r="Y74" s="1223"/>
      <c r="Z74" s="1223"/>
      <c r="AA74" s="1223"/>
      <c r="AB74" s="1223"/>
      <c r="AC74" s="1223"/>
      <c r="AD74" s="1223"/>
    </row>
    <row r="75" spans="1:30">
      <c r="A75" s="1223"/>
      <c r="B75" s="1223" t="s">
        <v>172</v>
      </c>
      <c r="C75" s="1223">
        <v>100</v>
      </c>
      <c r="D75" s="1223">
        <v>6.7537777493100988</v>
      </c>
      <c r="E75" s="1223">
        <v>2553880</v>
      </c>
      <c r="F75" s="1223">
        <v>2556206</v>
      </c>
      <c r="G75" s="1223"/>
      <c r="H75" s="1223">
        <v>2022</v>
      </c>
      <c r="I75" s="1223">
        <v>93.292699999999996</v>
      </c>
      <c r="J75" s="1223">
        <v>5.1384374732343705</v>
      </c>
      <c r="K75" s="1223">
        <v>2505981</v>
      </c>
      <c r="L75" s="1223"/>
      <c r="M75" s="1223"/>
      <c r="N75" s="1223"/>
      <c r="O75" s="1223" t="s">
        <v>524</v>
      </c>
      <c r="P75" s="1223"/>
      <c r="Q75" s="1223"/>
      <c r="R75" s="1223"/>
      <c r="S75" s="1223"/>
      <c r="T75" s="1223"/>
      <c r="U75" s="1223"/>
      <c r="V75" s="1223"/>
      <c r="W75" s="1223"/>
      <c r="X75" s="1223"/>
      <c r="Y75" s="1223"/>
      <c r="Z75" s="1223"/>
      <c r="AA75" s="1223"/>
      <c r="AB75" s="1223"/>
      <c r="AC75" s="1223"/>
      <c r="AD75" s="1223"/>
    </row>
    <row r="76" spans="1:30" ht="16">
      <c r="A76" s="1223"/>
      <c r="B76" s="1223" t="s">
        <v>563</v>
      </c>
      <c r="C76" s="1223">
        <f>C75*(1+(D76/100))</f>
        <v>106.54439095141102</v>
      </c>
      <c r="D76" s="1223">
        <v>6.5443909514110166</v>
      </c>
      <c r="E76" s="1223">
        <v>2731495</v>
      </c>
      <c r="F76" s="1223">
        <v>2730642</v>
      </c>
      <c r="G76" s="1223"/>
      <c r="H76" s="1223">
        <v>2023</v>
      </c>
      <c r="I76" s="1223">
        <v>100</v>
      </c>
      <c r="J76" s="1223">
        <v>7.1895228672768656</v>
      </c>
      <c r="K76" s="1223">
        <v>2689974</v>
      </c>
      <c r="L76" s="1223"/>
      <c r="M76" s="1223"/>
      <c r="N76" s="1223"/>
      <c r="O76" s="1223"/>
      <c r="P76" s="1223"/>
      <c r="Q76" s="1223"/>
      <c r="R76" s="1223"/>
      <c r="S76" s="1223"/>
      <c r="T76" s="1223"/>
      <c r="U76" s="1223"/>
      <c r="V76" s="1223"/>
      <c r="W76" s="1223"/>
      <c r="X76" s="1223"/>
      <c r="Y76" s="1223"/>
      <c r="Z76" s="1223"/>
      <c r="AA76" s="1223"/>
      <c r="AB76" s="1223"/>
      <c r="AC76" s="1223"/>
      <c r="AD76" s="1223"/>
    </row>
    <row r="77" spans="1:30" ht="16">
      <c r="A77" s="1223"/>
      <c r="B77" s="1223" t="s">
        <v>326</v>
      </c>
      <c r="C77" s="1223">
        <f t="shared" ref="C77:C81" si="0">C76*(1+(D77/100))</f>
        <v>107.40084270155594</v>
      </c>
      <c r="D77" s="1223">
        <v>0.80384499127270637</v>
      </c>
      <c r="E77" s="1223">
        <v>2785614</v>
      </c>
      <c r="F77" s="1223">
        <v>2784209</v>
      </c>
      <c r="G77" s="1223"/>
      <c r="H77" s="1227" t="s">
        <v>530</v>
      </c>
      <c r="I77" s="1223" t="s">
        <v>531</v>
      </c>
      <c r="J77" s="1223">
        <v>1.5246000261783577</v>
      </c>
      <c r="K77" s="1223">
        <v>2766360</v>
      </c>
      <c r="L77" s="1223"/>
      <c r="M77" s="1223"/>
      <c r="N77" s="1223"/>
      <c r="O77" s="1223" t="s">
        <v>524</v>
      </c>
      <c r="P77" s="1223"/>
      <c r="Q77" s="1223"/>
      <c r="R77" s="1223"/>
      <c r="S77" s="1223"/>
      <c r="T77" s="1223"/>
      <c r="U77" s="1223"/>
      <c r="V77" s="1223"/>
      <c r="W77" s="1223"/>
      <c r="X77" s="1223"/>
      <c r="Y77" s="1223"/>
      <c r="Z77" s="1223"/>
      <c r="AA77" s="1223"/>
      <c r="AB77" s="1223"/>
      <c r="AC77" s="1223"/>
      <c r="AD77" s="1223"/>
    </row>
    <row r="78" spans="1:30" ht="16">
      <c r="A78" s="1223"/>
      <c r="B78" s="1223" t="s">
        <v>327</v>
      </c>
      <c r="C78" s="1223">
        <f t="shared" si="0"/>
        <v>108.84878962042106</v>
      </c>
      <c r="D78" s="1223">
        <v>1.3481709104356421</v>
      </c>
      <c r="E78" s="1223">
        <v>2875062</v>
      </c>
      <c r="F78" s="1223">
        <v>2876148</v>
      </c>
      <c r="G78" s="1223"/>
      <c r="H78" s="1227" t="s">
        <v>532</v>
      </c>
      <c r="I78" s="1223" t="s">
        <v>531</v>
      </c>
      <c r="J78" s="1223">
        <v>1.1774056317883197</v>
      </c>
      <c r="K78" s="1223">
        <v>2850872</v>
      </c>
      <c r="L78" s="1223"/>
      <c r="M78" s="1223"/>
      <c r="N78" s="1223"/>
      <c r="O78" s="1223"/>
      <c r="P78" s="1223"/>
      <c r="Q78" s="1223"/>
      <c r="R78" s="1223"/>
      <c r="S78" s="1223"/>
      <c r="T78" s="1223"/>
      <c r="U78" s="1223"/>
      <c r="V78" s="1223"/>
      <c r="W78" s="1223"/>
      <c r="X78" s="1223"/>
      <c r="Y78" s="1223"/>
      <c r="Z78" s="1223"/>
      <c r="AA78" s="1223"/>
      <c r="AB78" s="1223"/>
      <c r="AC78" s="1223"/>
      <c r="AD78" s="1223"/>
    </row>
    <row r="79" spans="1:30" ht="16">
      <c r="A79" s="1223"/>
      <c r="B79" s="1223" t="s">
        <v>329</v>
      </c>
      <c r="C79" s="1223">
        <f t="shared" si="0"/>
        <v>110.74659283895758</v>
      </c>
      <c r="D79" s="1223">
        <v>1.7435225739804494</v>
      </c>
      <c r="E79" s="1223">
        <v>2984832</v>
      </c>
      <c r="F79" s="1223">
        <v>2984381</v>
      </c>
      <c r="G79" s="1223"/>
      <c r="H79" s="1227" t="s">
        <v>533</v>
      </c>
      <c r="I79" s="1223" t="s">
        <v>531</v>
      </c>
      <c r="J79" s="1223">
        <v>1.674981131484965</v>
      </c>
      <c r="K79" s="1223">
        <v>2956987</v>
      </c>
      <c r="L79" s="1223"/>
      <c r="M79" s="1223"/>
      <c r="N79" s="1223"/>
      <c r="O79" s="1223" t="s">
        <v>524</v>
      </c>
      <c r="P79" s="1223"/>
      <c r="Q79" s="1223"/>
      <c r="R79" s="1223"/>
      <c r="S79" s="1223"/>
      <c r="T79" s="1223"/>
      <c r="U79" s="1223"/>
      <c r="V79" s="1223"/>
      <c r="W79" s="1223"/>
      <c r="X79" s="1223"/>
      <c r="Y79" s="1223"/>
      <c r="Z79" s="1223"/>
      <c r="AA79" s="1223"/>
      <c r="AB79" s="1223"/>
      <c r="AC79" s="1223"/>
      <c r="AD79" s="1223"/>
    </row>
    <row r="80" spans="1:30" ht="16">
      <c r="A80" s="1223"/>
      <c r="B80" s="1223" t="s">
        <v>331</v>
      </c>
      <c r="C80" s="1223">
        <f t="shared" si="0"/>
        <v>112.8207746466739</v>
      </c>
      <c r="D80" s="1223">
        <v>1.8729080096689721</v>
      </c>
      <c r="E80" s="1223">
        <v>3094490</v>
      </c>
      <c r="F80" s="1223">
        <v>3094490</v>
      </c>
      <c r="G80" s="1223"/>
      <c r="H80" s="1227" t="s">
        <v>534</v>
      </c>
      <c r="I80" s="1223" t="s">
        <v>531</v>
      </c>
      <c r="J80" s="1223">
        <v>1.8522397736624008</v>
      </c>
      <c r="K80" s="1223">
        <v>3066787</v>
      </c>
      <c r="L80" s="1223"/>
      <c r="M80" s="1223"/>
      <c r="N80" s="1223"/>
      <c r="O80" s="1223"/>
      <c r="P80" s="1223"/>
      <c r="Q80" s="1223"/>
      <c r="R80" s="1223"/>
      <c r="S80" s="1223"/>
      <c r="T80" s="1223"/>
      <c r="U80" s="1223"/>
      <c r="V80" s="1223"/>
      <c r="W80" s="1223"/>
      <c r="X80" s="1223"/>
      <c r="Y80" s="1223"/>
      <c r="Z80" s="1223"/>
      <c r="AA80" s="1223"/>
      <c r="AB80" s="1223"/>
      <c r="AC80" s="1223"/>
      <c r="AD80" s="1223"/>
    </row>
    <row r="81" spans="1:30" ht="16">
      <c r="A81" s="1223"/>
      <c r="B81" s="1187" t="s">
        <v>333</v>
      </c>
      <c r="C81" s="1180">
        <f t="shared" si="0"/>
        <v>115.00131115207334</v>
      </c>
      <c r="D81" s="1189">
        <v>1.932743780769397</v>
      </c>
      <c r="E81" s="1190">
        <v>3207476</v>
      </c>
      <c r="F81" s="1190">
        <v>3207476</v>
      </c>
      <c r="G81" s="1223"/>
      <c r="H81" s="1191" t="s">
        <v>535</v>
      </c>
      <c r="I81" s="1188" t="s">
        <v>531</v>
      </c>
      <c r="J81" s="1189">
        <v>1.9230702596242377</v>
      </c>
      <c r="K81" s="1192">
        <v>3178873</v>
      </c>
      <c r="L81" s="1223"/>
      <c r="M81" s="1223"/>
      <c r="N81" s="1223"/>
      <c r="O81" s="1223" t="s">
        <v>524</v>
      </c>
      <c r="P81" s="1223"/>
      <c r="Q81" s="1223"/>
      <c r="R81" s="1223"/>
      <c r="S81" s="1223"/>
      <c r="T81" s="1223"/>
      <c r="U81" s="1223"/>
      <c r="V81" s="1223"/>
      <c r="W81" s="1223"/>
      <c r="X81" s="1223"/>
      <c r="Y81" s="1223"/>
      <c r="Z81" s="1223"/>
      <c r="AA81" s="1223"/>
      <c r="AB81" s="1223"/>
      <c r="AC81" s="1223"/>
      <c r="AD81" s="1223"/>
    </row>
    <row r="82" spans="1:30" ht="14.9" customHeight="1">
      <c r="A82" s="1162"/>
      <c r="B82" s="1193" t="s">
        <v>536</v>
      </c>
      <c r="C82" s="1184"/>
      <c r="D82" s="1194"/>
      <c r="E82" s="1195"/>
      <c r="F82" s="1195"/>
      <c r="G82" s="1162"/>
      <c r="H82" s="1223"/>
      <c r="I82" s="1223"/>
      <c r="J82" s="1223"/>
      <c r="K82" s="1223"/>
      <c r="L82" s="1223"/>
      <c r="M82" s="1225"/>
      <c r="N82" s="1223"/>
      <c r="O82" s="1223"/>
      <c r="P82" s="1223"/>
      <c r="Q82" s="1223"/>
      <c r="R82" s="1226"/>
      <c r="S82" s="1223"/>
      <c r="T82" s="1223"/>
      <c r="U82" s="1223"/>
      <c r="V82" s="1223"/>
      <c r="W82" s="1223"/>
      <c r="X82" s="1223"/>
      <c r="Y82" s="1223"/>
      <c r="Z82" s="1223"/>
      <c r="AA82" s="1223"/>
      <c r="AB82" s="1223"/>
      <c r="AC82" s="1223"/>
      <c r="AD82" s="1223"/>
    </row>
    <row r="83" spans="1:30" ht="14.9" customHeight="1">
      <c r="A83" s="1162"/>
      <c r="B83" s="1196" t="s">
        <v>537</v>
      </c>
      <c r="C83" s="1782" t="s">
        <v>564</v>
      </c>
      <c r="D83" s="1782"/>
      <c r="E83" s="1782"/>
      <c r="F83" s="1782"/>
      <c r="G83" s="1782"/>
      <c r="H83" s="1782"/>
      <c r="I83" s="1782"/>
      <c r="J83" s="1782"/>
      <c r="K83" s="1782"/>
      <c r="L83" s="1223"/>
      <c r="M83" s="1223"/>
      <c r="N83" s="1223"/>
      <c r="O83" s="1223"/>
      <c r="P83" s="1223"/>
      <c r="Q83" s="1223"/>
      <c r="R83" s="1223"/>
      <c r="S83" s="1223"/>
      <c r="T83" s="1223"/>
      <c r="U83" s="1223"/>
      <c r="V83" s="1223"/>
      <c r="W83" s="1223"/>
      <c r="X83" s="1223"/>
      <c r="Y83" s="1223"/>
      <c r="Z83" s="1223"/>
      <c r="AA83" s="1223"/>
      <c r="AB83" s="1223"/>
      <c r="AC83" s="1223"/>
      <c r="AD83" s="1223"/>
    </row>
    <row r="84" spans="1:30" ht="14.9" customHeight="1">
      <c r="A84" s="1162"/>
      <c r="B84" s="1196"/>
      <c r="C84" s="1781" t="s">
        <v>565</v>
      </c>
      <c r="D84" s="1782"/>
      <c r="E84" s="1782"/>
      <c r="F84" s="1782"/>
      <c r="G84" s="1782"/>
      <c r="H84" s="1782"/>
      <c r="I84" s="1782"/>
      <c r="J84" s="1782"/>
      <c r="K84" s="1782"/>
      <c r="L84" s="1223"/>
      <c r="M84" s="1223"/>
      <c r="N84" s="1223"/>
      <c r="O84" s="1223"/>
      <c r="P84" s="1223"/>
      <c r="Q84" s="1223"/>
      <c r="R84" s="1223"/>
      <c r="S84" s="1223"/>
      <c r="T84" s="1223"/>
      <c r="U84" s="1223"/>
      <c r="V84" s="1223"/>
      <c r="W84" s="1223"/>
      <c r="X84" s="1223"/>
      <c r="Y84" s="1223"/>
      <c r="Z84" s="1223"/>
      <c r="AA84" s="1223"/>
      <c r="AB84" s="1223"/>
      <c r="AC84" s="1223"/>
      <c r="AD84" s="1223"/>
    </row>
    <row r="85" spans="1:30" ht="14.9" customHeight="1">
      <c r="A85" s="1162"/>
      <c r="B85" s="1196"/>
      <c r="C85" s="1782" t="s">
        <v>540</v>
      </c>
      <c r="D85" s="1782"/>
      <c r="E85" s="1782"/>
      <c r="F85" s="1782"/>
      <c r="G85" s="1782"/>
      <c r="H85" s="1782"/>
      <c r="I85" s="1782"/>
      <c r="J85" s="1782"/>
      <c r="K85" s="1782"/>
      <c r="L85" s="1223"/>
      <c r="M85" s="1223"/>
      <c r="N85" s="1223"/>
      <c r="O85" s="1223"/>
      <c r="P85" s="1223"/>
      <c r="Q85" s="1223"/>
      <c r="R85" s="1223"/>
      <c r="S85" s="1223"/>
      <c r="T85" s="1223"/>
      <c r="U85" s="1223"/>
      <c r="V85" s="1223"/>
      <c r="W85" s="1223"/>
      <c r="X85" s="1223"/>
      <c r="Y85" s="1223"/>
      <c r="Z85" s="1223"/>
      <c r="AA85" s="1223"/>
      <c r="AB85" s="1223"/>
      <c r="AC85" s="1223"/>
      <c r="AD85" s="1223"/>
    </row>
    <row r="86" spans="1:30" ht="14.9" customHeight="1">
      <c r="A86" s="1162"/>
      <c r="B86" s="1196"/>
      <c r="C86" s="1781" t="s">
        <v>565</v>
      </c>
      <c r="D86" s="1782"/>
      <c r="E86" s="1782"/>
      <c r="F86" s="1782"/>
      <c r="G86" s="1782"/>
      <c r="H86" s="1782"/>
      <c r="I86" s="1782"/>
      <c r="J86" s="1782"/>
      <c r="K86" s="1782"/>
      <c r="L86" s="1223"/>
      <c r="M86" s="1223"/>
      <c r="N86" s="1223"/>
      <c r="O86" s="1223"/>
      <c r="P86" s="1223"/>
      <c r="Q86" s="1223"/>
      <c r="R86" s="1223"/>
      <c r="S86" s="1223"/>
      <c r="T86" s="1223"/>
      <c r="U86" s="1223"/>
      <c r="V86" s="1223"/>
      <c r="W86" s="1223"/>
      <c r="X86" s="1223"/>
      <c r="Y86" s="1223"/>
      <c r="Z86" s="1223"/>
      <c r="AA86" s="1223"/>
      <c r="AB86" s="1223"/>
      <c r="AC86" s="1223"/>
      <c r="AD86" s="1223"/>
    </row>
    <row r="87" spans="1:30" ht="14.9" customHeight="1">
      <c r="A87" s="1162"/>
      <c r="B87" s="1196"/>
      <c r="C87" s="1796" t="s">
        <v>566</v>
      </c>
      <c r="D87" s="1796"/>
      <c r="E87" s="1796"/>
      <c r="F87" s="1796"/>
      <c r="G87" s="1796"/>
      <c r="H87" s="1796"/>
      <c r="I87" s="1796"/>
      <c r="J87" s="1796"/>
      <c r="K87" s="1796"/>
      <c r="L87" s="1223"/>
      <c r="M87" s="1223"/>
      <c r="N87" s="1223"/>
      <c r="O87" s="1223"/>
      <c r="P87" s="1223"/>
      <c r="Q87" s="1223"/>
      <c r="R87" s="1223"/>
      <c r="S87" s="1223"/>
      <c r="T87" s="1223"/>
      <c r="U87" s="1223"/>
      <c r="V87" s="1223"/>
      <c r="W87" s="1223"/>
      <c r="X87" s="1223"/>
      <c r="Y87" s="1223"/>
      <c r="Z87" s="1223"/>
      <c r="AA87" s="1223"/>
      <c r="AB87" s="1223"/>
      <c r="AC87" s="1223"/>
      <c r="AD87" s="1223"/>
    </row>
    <row r="88" spans="1:30" ht="14.9" customHeight="1">
      <c r="A88" s="1162"/>
      <c r="B88" s="1196"/>
      <c r="C88" s="1781" t="s">
        <v>542</v>
      </c>
      <c r="D88" s="1782"/>
      <c r="E88" s="1782"/>
      <c r="F88" s="1782"/>
      <c r="G88" s="1782"/>
      <c r="H88" s="1782"/>
      <c r="I88" s="1782"/>
      <c r="J88" s="1782"/>
      <c r="K88" s="1782"/>
      <c r="L88" s="1223"/>
      <c r="M88" s="1228"/>
      <c r="N88" s="1228"/>
      <c r="O88" s="1223"/>
      <c r="P88" s="1228"/>
      <c r="Q88" s="1223"/>
      <c r="R88" s="1223"/>
      <c r="S88" s="1223"/>
      <c r="T88" s="1223"/>
      <c r="U88" s="1223"/>
      <c r="V88" s="1223"/>
      <c r="W88" s="1223"/>
      <c r="X88" s="1223"/>
      <c r="Y88" s="1223"/>
      <c r="Z88" s="1223"/>
      <c r="AA88" s="1223"/>
      <c r="AB88" s="1223"/>
      <c r="AC88" s="1223"/>
      <c r="AD88" s="1223"/>
    </row>
    <row r="89" spans="1:30" ht="14.9" customHeight="1">
      <c r="A89" s="1162"/>
      <c r="B89" s="1196" t="s">
        <v>543</v>
      </c>
      <c r="C89" s="1782" t="s">
        <v>567</v>
      </c>
      <c r="D89" s="1782"/>
      <c r="E89" s="1782"/>
      <c r="F89" s="1782"/>
      <c r="G89" s="1782"/>
      <c r="H89" s="1782"/>
      <c r="I89" s="1782"/>
      <c r="J89" s="1782"/>
      <c r="K89" s="1782"/>
      <c r="L89" s="1223"/>
      <c r="M89" s="1228"/>
      <c r="N89" s="1228"/>
      <c r="O89" s="1223"/>
      <c r="P89" s="1228"/>
      <c r="Q89" s="1223"/>
      <c r="R89" s="1223"/>
      <c r="S89" s="1223"/>
      <c r="T89" s="1223"/>
      <c r="U89" s="1223"/>
      <c r="V89" s="1223"/>
      <c r="W89" s="1223"/>
      <c r="X89" s="1223"/>
      <c r="Y89" s="1223"/>
      <c r="Z89" s="1223"/>
      <c r="AA89" s="1223"/>
      <c r="AB89" s="1223"/>
      <c r="AC89" s="1223"/>
      <c r="AD89" s="1223"/>
    </row>
    <row r="90" spans="1:30" ht="14.9" customHeight="1">
      <c r="A90" s="1162"/>
      <c r="B90" s="1196"/>
      <c r="C90" s="1781" t="s">
        <v>565</v>
      </c>
      <c r="D90" s="1782"/>
      <c r="E90" s="1782"/>
      <c r="F90" s="1782"/>
      <c r="G90" s="1782"/>
      <c r="H90" s="1782"/>
      <c r="I90" s="1782"/>
      <c r="J90" s="1782"/>
      <c r="K90" s="1782"/>
      <c r="L90" s="1223"/>
      <c r="M90" s="1223"/>
      <c r="N90" s="1223"/>
      <c r="O90" s="1223"/>
      <c r="P90" s="1223"/>
      <c r="Q90" s="1223"/>
      <c r="R90" s="1223"/>
      <c r="S90" s="1223"/>
      <c r="T90" s="1223"/>
      <c r="U90" s="1223"/>
      <c r="V90" s="1223"/>
      <c r="W90" s="1223"/>
      <c r="X90" s="1223"/>
      <c r="Y90" s="1223"/>
      <c r="Z90" s="1223"/>
      <c r="AA90" s="1223"/>
      <c r="AB90" s="1223"/>
      <c r="AC90" s="1223"/>
      <c r="AD90" s="1223"/>
    </row>
    <row r="91" spans="1:30" ht="14.9" customHeight="1">
      <c r="A91" s="1162"/>
      <c r="B91" s="1196"/>
      <c r="C91" s="1782" t="s">
        <v>568</v>
      </c>
      <c r="D91" s="1782"/>
      <c r="E91" s="1782"/>
      <c r="F91" s="1782"/>
      <c r="G91" s="1782"/>
      <c r="H91" s="1782"/>
      <c r="I91" s="1782"/>
      <c r="J91" s="1782"/>
      <c r="K91" s="1782"/>
      <c r="L91" s="1223"/>
      <c r="M91" s="1228"/>
      <c r="N91" s="1228"/>
      <c r="O91" s="1223"/>
      <c r="P91" s="1228"/>
      <c r="Q91" s="1223"/>
      <c r="R91" s="1223"/>
      <c r="S91" s="1223"/>
      <c r="T91" s="1223"/>
      <c r="U91" s="1223"/>
      <c r="V91" s="1223"/>
      <c r="W91" s="1223"/>
      <c r="X91" s="1223"/>
      <c r="Y91" s="1223"/>
      <c r="Z91" s="1223"/>
      <c r="AA91" s="1223"/>
      <c r="AB91" s="1223"/>
      <c r="AC91" s="1223"/>
      <c r="AD91" s="1223"/>
    </row>
    <row r="92" spans="1:30" ht="14.9" customHeight="1">
      <c r="A92" s="1162"/>
      <c r="B92" s="1196"/>
      <c r="C92" s="1781" t="s">
        <v>565</v>
      </c>
      <c r="D92" s="1782"/>
      <c r="E92" s="1782"/>
      <c r="F92" s="1782"/>
      <c r="G92" s="1782"/>
      <c r="H92" s="1782"/>
      <c r="I92" s="1782"/>
      <c r="J92" s="1782"/>
      <c r="K92" s="1782"/>
      <c r="L92" s="1223"/>
      <c r="M92" s="1223"/>
      <c r="N92" s="1223"/>
      <c r="O92" s="1223"/>
      <c r="P92" s="1223"/>
      <c r="Q92" s="1223"/>
      <c r="R92" s="1223"/>
      <c r="S92" s="1223"/>
      <c r="T92" s="1223"/>
      <c r="U92" s="1223"/>
      <c r="V92" s="1223"/>
      <c r="W92" s="1223"/>
      <c r="X92" s="1223"/>
      <c r="Y92" s="1223"/>
      <c r="Z92" s="1223"/>
      <c r="AA92" s="1223"/>
      <c r="AB92" s="1223"/>
      <c r="AC92" s="1223"/>
      <c r="AD92" s="1223"/>
    </row>
    <row r="93" spans="1:30" ht="14.9" customHeight="1">
      <c r="A93" s="1162"/>
      <c r="B93" s="1196"/>
      <c r="C93" s="1796" t="s">
        <v>566</v>
      </c>
      <c r="D93" s="1796"/>
      <c r="E93" s="1796"/>
      <c r="F93" s="1796"/>
      <c r="G93" s="1796"/>
      <c r="H93" s="1796"/>
      <c r="I93" s="1796"/>
      <c r="J93" s="1796"/>
      <c r="K93" s="1796"/>
      <c r="L93" s="1223"/>
      <c r="M93" s="1223"/>
      <c r="N93" s="1223"/>
      <c r="O93" s="1223"/>
      <c r="P93" s="1223"/>
      <c r="Q93" s="1223"/>
      <c r="R93" s="1223"/>
      <c r="S93" s="1223"/>
      <c r="T93" s="1223"/>
      <c r="U93" s="1223"/>
      <c r="V93" s="1223"/>
      <c r="W93" s="1223"/>
      <c r="X93" s="1223"/>
      <c r="Y93" s="1223"/>
      <c r="Z93" s="1223"/>
      <c r="AA93" s="1223"/>
      <c r="AB93" s="1223"/>
      <c r="AC93" s="1223"/>
      <c r="AD93" s="1223"/>
    </row>
    <row r="94" spans="1:30">
      <c r="A94" s="1162"/>
      <c r="B94" s="1196"/>
      <c r="C94" s="1781" t="s">
        <v>542</v>
      </c>
      <c r="D94" s="1782"/>
      <c r="E94" s="1782"/>
      <c r="F94" s="1782"/>
      <c r="G94" s="1782"/>
      <c r="H94" s="1782"/>
      <c r="I94" s="1782"/>
      <c r="J94" s="1782"/>
      <c r="K94" s="1782"/>
      <c r="L94" s="1223"/>
      <c r="M94" s="1228"/>
      <c r="N94" s="1228"/>
      <c r="O94" s="1223"/>
      <c r="P94" s="1228"/>
      <c r="Q94" s="1223"/>
      <c r="R94" s="1223"/>
      <c r="S94" s="1223"/>
      <c r="T94" s="1223"/>
      <c r="U94" s="1223"/>
      <c r="V94" s="1223"/>
      <c r="W94" s="1223"/>
      <c r="X94" s="1223"/>
      <c r="Y94" s="1223"/>
      <c r="Z94" s="1223"/>
      <c r="AA94" s="1223"/>
      <c r="AB94" s="1223"/>
      <c r="AC94" s="1223"/>
      <c r="AD94" s="1223"/>
    </row>
    <row r="95" spans="1:30" ht="14.9" customHeight="1">
      <c r="A95" s="1162"/>
      <c r="B95" s="1196" t="s">
        <v>546</v>
      </c>
      <c r="C95" s="1228"/>
      <c r="D95" s="1229"/>
      <c r="E95" s="1225"/>
      <c r="F95" s="1225"/>
      <c r="G95" s="1224"/>
      <c r="H95" s="1224"/>
      <c r="I95" s="1228"/>
      <c r="J95" s="1229"/>
      <c r="K95" s="1225"/>
      <c r="L95" s="1223"/>
      <c r="M95" s="1223"/>
      <c r="N95" s="1223"/>
      <c r="O95" s="1223"/>
      <c r="P95" s="1223"/>
      <c r="Q95" s="1223"/>
      <c r="R95" s="1223"/>
      <c r="S95" s="1223"/>
      <c r="T95" s="1223"/>
      <c r="U95" s="1223"/>
      <c r="V95" s="1223"/>
      <c r="W95" s="1223"/>
      <c r="X95" s="1223"/>
      <c r="Y95" s="1223"/>
      <c r="Z95" s="1223"/>
      <c r="AA95" s="1223"/>
      <c r="AB95" s="1223"/>
      <c r="AC95" s="1223"/>
      <c r="AD95" s="1223"/>
    </row>
    <row r="96" spans="1:30" ht="14.9" customHeight="1">
      <c r="A96" s="1223"/>
      <c r="B96" s="1197" t="s">
        <v>547</v>
      </c>
      <c r="C96" s="1795" t="s">
        <v>569</v>
      </c>
      <c r="D96" s="1795"/>
      <c r="E96" s="1795"/>
      <c r="F96" s="1795"/>
      <c r="G96" s="1795"/>
      <c r="H96" s="1795"/>
      <c r="I96" s="1795"/>
      <c r="J96" s="1795"/>
      <c r="K96" s="1795"/>
      <c r="L96" s="1223"/>
      <c r="M96" s="1228"/>
      <c r="N96" s="1228"/>
      <c r="O96" s="1223"/>
      <c r="P96" s="1228"/>
      <c r="Q96" s="1223"/>
      <c r="R96" s="1223"/>
      <c r="S96" s="1223"/>
      <c r="T96" s="1223"/>
      <c r="U96" s="1223"/>
      <c r="V96" s="1223"/>
      <c r="W96" s="1223"/>
      <c r="X96" s="1223"/>
      <c r="Y96" s="1223"/>
      <c r="Z96" s="1223"/>
      <c r="AA96" s="1223"/>
      <c r="AB96" s="1223"/>
      <c r="AC96" s="1223"/>
      <c r="AD96" s="1223"/>
    </row>
    <row r="97" spans="1:16" ht="14.9" customHeight="1">
      <c r="A97" s="1223"/>
      <c r="B97" s="1197" t="s">
        <v>549</v>
      </c>
      <c r="C97" s="1782" t="s">
        <v>570</v>
      </c>
      <c r="D97" s="1782"/>
      <c r="E97" s="1782"/>
      <c r="F97" s="1782"/>
      <c r="G97" s="1782"/>
      <c r="H97" s="1782"/>
      <c r="I97" s="1782"/>
      <c r="J97" s="1782"/>
      <c r="K97" s="1782"/>
      <c r="L97" s="1223"/>
      <c r="M97" s="1228"/>
      <c r="N97" s="1228"/>
      <c r="O97" s="1223"/>
      <c r="P97" s="1228"/>
    </row>
    <row r="98" spans="1:16" ht="14.9" customHeight="1">
      <c r="A98" s="1223"/>
      <c r="B98" s="1197" t="s">
        <v>551</v>
      </c>
      <c r="C98" s="1782" t="s">
        <v>571</v>
      </c>
      <c r="D98" s="1782"/>
      <c r="E98" s="1782"/>
      <c r="F98" s="1782"/>
      <c r="G98" s="1782"/>
      <c r="H98" s="1782"/>
      <c r="I98" s="1782"/>
      <c r="J98" s="1782"/>
      <c r="K98" s="1782"/>
      <c r="L98" s="1223"/>
      <c r="M98" s="1228"/>
      <c r="N98" s="1228"/>
      <c r="O98" s="1223"/>
      <c r="P98" s="1228"/>
    </row>
    <row r="99" spans="1:16" ht="14.9" customHeight="1">
      <c r="A99" s="1223"/>
      <c r="B99" s="1197" t="s">
        <v>553</v>
      </c>
      <c r="C99" s="1782" t="s">
        <v>572</v>
      </c>
      <c r="D99" s="1782"/>
      <c r="E99" s="1782"/>
      <c r="F99" s="1782"/>
      <c r="G99" s="1782"/>
      <c r="H99" s="1782"/>
      <c r="I99" s="1782"/>
      <c r="J99" s="1782"/>
      <c r="K99" s="1782"/>
      <c r="L99" s="1223"/>
      <c r="M99" s="1228"/>
      <c r="N99" s="1228"/>
      <c r="O99" s="1223"/>
      <c r="P99" s="1228"/>
    </row>
    <row r="100" spans="1:16" ht="14.9" customHeight="1">
      <c r="A100" s="1223"/>
      <c r="B100" s="1197" t="s">
        <v>555</v>
      </c>
      <c r="C100" s="1782" t="s">
        <v>556</v>
      </c>
      <c r="D100" s="1782"/>
      <c r="E100" s="1782"/>
      <c r="F100" s="1782"/>
      <c r="G100" s="1782"/>
      <c r="H100" s="1782"/>
      <c r="I100" s="1782"/>
      <c r="J100" s="1782"/>
      <c r="K100" s="1782"/>
      <c r="L100" s="1223"/>
      <c r="M100" s="1228"/>
      <c r="N100" s="1228"/>
      <c r="O100" s="1223"/>
      <c r="P100" s="1228"/>
    </row>
    <row r="101" spans="1:16" ht="14.9" customHeight="1">
      <c r="A101" s="1162"/>
      <c r="B101" s="1196"/>
      <c r="C101" s="1781" t="s">
        <v>557</v>
      </c>
      <c r="D101" s="1782"/>
      <c r="E101" s="1782"/>
      <c r="F101" s="1782"/>
      <c r="G101" s="1782"/>
      <c r="H101" s="1782"/>
      <c r="I101" s="1782"/>
      <c r="J101" s="1782"/>
      <c r="K101" s="1782"/>
      <c r="L101" s="1223"/>
      <c r="M101" s="1228"/>
      <c r="N101" s="1228"/>
      <c r="O101" s="1223"/>
      <c r="P101" s="1228"/>
    </row>
    <row r="102" spans="1:16" ht="14.9" customHeight="1">
      <c r="A102" s="1223"/>
      <c r="B102" s="1197" t="s">
        <v>558</v>
      </c>
      <c r="C102" s="1782" t="s">
        <v>559</v>
      </c>
      <c r="D102" s="1782"/>
      <c r="E102" s="1782"/>
      <c r="F102" s="1782"/>
      <c r="G102" s="1782"/>
      <c r="H102" s="1782"/>
      <c r="I102" s="1782"/>
      <c r="J102" s="1782"/>
      <c r="K102" s="1782"/>
      <c r="L102" s="1223"/>
      <c r="M102" s="1228"/>
      <c r="N102" s="1228"/>
      <c r="O102" s="1223"/>
      <c r="P102" s="1228"/>
    </row>
    <row r="103" spans="1:16">
      <c r="A103" s="1162"/>
      <c r="B103" s="1196"/>
      <c r="C103" s="1781" t="s">
        <v>560</v>
      </c>
      <c r="D103" s="1782"/>
      <c r="E103" s="1782"/>
      <c r="F103" s="1782"/>
      <c r="G103" s="1782"/>
      <c r="H103" s="1782"/>
      <c r="I103" s="1782"/>
      <c r="J103" s="1782"/>
      <c r="K103" s="1782"/>
      <c r="L103" s="1223"/>
      <c r="M103" s="1228"/>
      <c r="N103" s="1228"/>
      <c r="O103" s="1223"/>
      <c r="P103" s="1228"/>
    </row>
    <row r="104" spans="1:16">
      <c r="A104" s="1155"/>
      <c r="B104" s="1154"/>
      <c r="C104" s="1154"/>
      <c r="D104" s="1154"/>
      <c r="E104" s="1154"/>
      <c r="F104" s="1154"/>
      <c r="G104" s="1154"/>
      <c r="H104" s="1154"/>
      <c r="I104" s="1154"/>
      <c r="J104" s="1154"/>
      <c r="K104" s="1154"/>
      <c r="L104" s="1154"/>
      <c r="M104" s="1154"/>
      <c r="N104" s="1154"/>
      <c r="O104" s="1154"/>
      <c r="P104" s="1154"/>
    </row>
    <row r="105" spans="1:16">
      <c r="A105" s="1162"/>
      <c r="B105" s="1223"/>
      <c r="C105" s="1223"/>
      <c r="D105" s="1223"/>
      <c r="E105" s="1223"/>
      <c r="F105" s="1223"/>
      <c r="G105" s="1223"/>
      <c r="H105" s="1223"/>
      <c r="I105" s="1223"/>
      <c r="J105" s="1223"/>
      <c r="K105" s="1223"/>
      <c r="L105" s="1223"/>
      <c r="M105" s="1223"/>
      <c r="N105" s="1223"/>
      <c r="O105" s="1223"/>
      <c r="P105" s="1223"/>
    </row>
  </sheetData>
  <mergeCells count="26">
    <mergeCell ref="C103:K103"/>
    <mergeCell ref="C102:K102"/>
    <mergeCell ref="C85:K85"/>
    <mergeCell ref="C86:K86"/>
    <mergeCell ref="C90:K90"/>
    <mergeCell ref="C91:K91"/>
    <mergeCell ref="C89:K89"/>
    <mergeCell ref="C98:K98"/>
    <mergeCell ref="C96:K96"/>
    <mergeCell ref="C101:K101"/>
    <mergeCell ref="C92:K92"/>
    <mergeCell ref="C93:K93"/>
    <mergeCell ref="C87:K87"/>
    <mergeCell ref="C100:K100"/>
    <mergeCell ref="C99:K99"/>
    <mergeCell ref="C97:K97"/>
    <mergeCell ref="C84:K84"/>
    <mergeCell ref="C88:K88"/>
    <mergeCell ref="C94:K94"/>
    <mergeCell ref="C83:K83"/>
    <mergeCell ref="B3:K3"/>
    <mergeCell ref="B4:K4"/>
    <mergeCell ref="H5:K5"/>
    <mergeCell ref="C6:D6"/>
    <mergeCell ref="I6:J6"/>
    <mergeCell ref="B5:F5"/>
  </mergeCells>
  <hyperlinks>
    <hyperlink ref="C103" r:id="rId1" xr:uid="{3E6FEF21-89D0-456D-A5AF-CD223D968F28}"/>
    <hyperlink ref="C101" r:id="rId2" xr:uid="{0F907F46-3233-4E17-B9ED-765824C2E62C}"/>
    <hyperlink ref="C84:K84" r:id="rId3" display="https://www.ons.gov.uk/file?uri=/economy/grossdomesticproductgdp/datasets/uksecondestimateofgdpdatatables/quarter4octtodec2023firstestimate/firstquarterlyestimateofgdpdatatables.xlsx" xr:uid="{D96CEF92-88D8-40B9-9FEB-22EFC5D4DC23}"/>
    <hyperlink ref="C86:K86" r:id="rId4" display="https://www.ons.gov.uk/file?uri=/economy/grossdomesticproductgdp/datasets/uksecondestimateofgdpdatatables/quarter4octtodec2023firstestimate/firstquarterlyestimateofgdpdatatables.xlsx" xr:uid="{0ED2A814-F92A-4160-AEB4-5497D608542F}"/>
    <hyperlink ref="C90:K90" r:id="rId5" display="https://www.ons.gov.uk/file?uri=/economy/grossdomesticproductgdp/datasets/uksecondestimateofgdpdatatables/quarter4octtodec2023firstestimate/firstquarterlyestimateofgdpdatatables.xlsx" xr:uid="{814FD7BC-3582-4313-B598-05267B2B508E}"/>
    <hyperlink ref="C92:K92" r:id="rId6" display="https://www.ons.gov.uk/file?uri=/economy/grossdomesticproductgdp/datasets/uksecondestimateofgdpdatatables/quarter4octtodec2023firstestimate/firstquarterlyestimateofgdpdatatables.xlsx" xr:uid="{12927140-FA6D-4718-B7D1-107962D6A1DF}"/>
    <hyperlink ref="C88:K88" r:id="rId7" display="https://obr.uk/efo/economic-and-fiscal-outlook-march-2024/" xr:uid="{08F6BC13-6BE1-4481-AAD7-54628AD1F7DE}"/>
    <hyperlink ref="C94:K94" r:id="rId8" display="https://obr.uk/efo/economic-and-fiscal-outlook-march-2024/" xr:uid="{343BA92B-4A6B-4B4C-8B0C-2F037C1A3CBD}"/>
  </hyperlinks>
  <pageMargins left="0.7" right="0.7" top="0.75" bottom="0.75" header="0.3" footer="0.3"/>
  <pageSetup paperSize="9" orientation="portrait" r:id="rId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4525-6D35-484E-AC09-388A21107622}">
  <dimension ref="A1:AH28"/>
  <sheetViews>
    <sheetView topLeftCell="J19" zoomScale="114" zoomScaleNormal="70" workbookViewId="0">
      <selection activeCell="O10" sqref="O10"/>
    </sheetView>
  </sheetViews>
  <sheetFormatPr defaultRowHeight="15" customHeight="1"/>
  <cols>
    <col min="1" max="2" width="0" hidden="1" customWidth="1"/>
    <col min="3" max="3" width="19.54296875" hidden="1" customWidth="1"/>
    <col min="4" max="4" width="14.54296875" hidden="1" customWidth="1"/>
    <col min="5" max="6" width="0" hidden="1" customWidth="1"/>
    <col min="7" max="7" width="16.453125" hidden="1" customWidth="1"/>
    <col min="8" max="8" width="14.1796875" hidden="1" customWidth="1"/>
    <col min="9" max="9" width="0" hidden="1" customWidth="1"/>
    <col min="11" max="11" width="14.453125" customWidth="1"/>
    <col min="12" max="12" width="48.453125" bestFit="1" customWidth="1"/>
    <col min="13" max="13" width="14.54296875" bestFit="1" customWidth="1"/>
    <col min="14" max="14" width="29.453125" bestFit="1" customWidth="1"/>
    <col min="15" max="15" width="15" customWidth="1"/>
    <col min="16" max="16" width="14.54296875" bestFit="1" customWidth="1"/>
    <col min="17" max="17" width="10.81640625" bestFit="1" customWidth="1"/>
    <col min="21" max="21" width="9.81640625" bestFit="1" customWidth="1"/>
    <col min="25" max="25" width="20.453125" customWidth="1"/>
  </cols>
  <sheetData>
    <row r="1" spans="1:34" ht="14.5">
      <c r="B1" t="s">
        <v>573</v>
      </c>
      <c r="C1" t="s">
        <v>574</v>
      </c>
      <c r="D1" t="s">
        <v>575</v>
      </c>
      <c r="G1" t="s">
        <v>573</v>
      </c>
      <c r="H1" t="s">
        <v>574</v>
      </c>
      <c r="I1" t="s">
        <v>575</v>
      </c>
    </row>
    <row r="2" spans="1:34" ht="14.5">
      <c r="A2" t="s">
        <v>373</v>
      </c>
      <c r="B2" t="e">
        <f>#REF!</f>
        <v>#REF!</v>
      </c>
      <c r="C2" s="260" t="e">
        <f>(B2*1000000000)/Population!#REF!</f>
        <v>#REF!</v>
      </c>
      <c r="D2" s="260" t="e">
        <f>(C2*1000000000)/Population!#REF!</f>
        <v>#REF!</v>
      </c>
      <c r="F2" t="s">
        <v>373</v>
      </c>
      <c r="G2" t="e">
        <f>B2/$B$2*100</f>
        <v>#REF!</v>
      </c>
      <c r="H2" t="e">
        <f>C2/$C$2*100</f>
        <v>#REF!</v>
      </c>
      <c r="I2" t="e">
        <f>D2/$D$2*100</f>
        <v>#REF!</v>
      </c>
      <c r="L2" s="76" t="s">
        <v>576</v>
      </c>
    </row>
    <row r="3" spans="1:34" ht="14.5">
      <c r="A3" t="s">
        <v>374</v>
      </c>
      <c r="B3" t="e">
        <f>#REF!</f>
        <v>#REF!</v>
      </c>
      <c r="C3" s="260" t="e">
        <f>(B3*1000000000)/Population!#REF!</f>
        <v>#REF!</v>
      </c>
      <c r="D3" s="260" t="e">
        <f>(C3*1000000000)/Population!#REF!</f>
        <v>#REF!</v>
      </c>
      <c r="F3" t="s">
        <v>374</v>
      </c>
      <c r="G3" t="e">
        <f t="shared" ref="G3:G11" si="0">B3/$B$2*100</f>
        <v>#REF!</v>
      </c>
      <c r="H3" t="e">
        <f t="shared" ref="H3:H11" si="1">C3/$C$2*100</f>
        <v>#REF!</v>
      </c>
      <c r="I3" t="e">
        <f t="shared" ref="I3:I11" si="2">D3/$D$2*100</f>
        <v>#REF!</v>
      </c>
      <c r="M3" s="155"/>
      <c r="N3" t="s">
        <v>577</v>
      </c>
    </row>
    <row r="4" spans="1:34" ht="14.5">
      <c r="A4" t="s">
        <v>375</v>
      </c>
      <c r="B4" t="e">
        <f>#REF!</f>
        <v>#REF!</v>
      </c>
      <c r="C4" s="260" t="e">
        <f>(B4*1000000000)/Population!#REF!</f>
        <v>#REF!</v>
      </c>
      <c r="D4" s="260" t="e">
        <f>(C4*1000000000)/Population!#REF!</f>
        <v>#REF!</v>
      </c>
      <c r="F4" t="s">
        <v>375</v>
      </c>
      <c r="G4" t="e">
        <f t="shared" si="0"/>
        <v>#REF!</v>
      </c>
      <c r="H4" t="e">
        <f t="shared" si="1"/>
        <v>#REF!</v>
      </c>
      <c r="I4" t="e">
        <f t="shared" si="2"/>
        <v>#REF!</v>
      </c>
      <c r="L4" t="s">
        <v>578</v>
      </c>
      <c r="AC4" t="s">
        <v>579</v>
      </c>
    </row>
    <row r="5" spans="1:34" ht="14.5">
      <c r="A5" t="s">
        <v>376</v>
      </c>
      <c r="B5" t="e">
        <f>#REF!</f>
        <v>#REF!</v>
      </c>
      <c r="C5" s="260" t="e">
        <f>(B5*1000000000)/Population!#REF!</f>
        <v>#REF!</v>
      </c>
      <c r="D5" s="260" t="e">
        <f>(C5*1000000000)/Population!#REF!</f>
        <v>#REF!</v>
      </c>
      <c r="F5" t="s">
        <v>376</v>
      </c>
      <c r="G5" t="e">
        <f t="shared" si="0"/>
        <v>#REF!</v>
      </c>
      <c r="H5" t="e">
        <f t="shared" si="1"/>
        <v>#REF!</v>
      </c>
      <c r="I5" t="e">
        <f t="shared" si="2"/>
        <v>#REF!</v>
      </c>
      <c r="M5" t="s">
        <v>580</v>
      </c>
      <c r="N5" t="s">
        <v>573</v>
      </c>
      <c r="O5" t="s">
        <v>341</v>
      </c>
      <c r="P5" t="s">
        <v>574</v>
      </c>
      <c r="Q5" t="s">
        <v>575</v>
      </c>
      <c r="W5" t="s">
        <v>138</v>
      </c>
      <c r="X5" t="s">
        <v>573</v>
      </c>
      <c r="Y5" t="s">
        <v>574</v>
      </c>
      <c r="Z5" t="s">
        <v>575</v>
      </c>
      <c r="AC5" s="155" t="s">
        <v>138</v>
      </c>
      <c r="AD5" s="155" t="s">
        <v>573</v>
      </c>
      <c r="AE5" s="155" t="s">
        <v>574</v>
      </c>
      <c r="AF5" s="155" t="s">
        <v>575</v>
      </c>
    </row>
    <row r="6" spans="1:34" ht="14.5">
      <c r="A6" t="s">
        <v>377</v>
      </c>
      <c r="B6" t="e">
        <f>#REF!</f>
        <v>#REF!</v>
      </c>
      <c r="C6" s="260" t="e">
        <f>(B6*1000000000)/Population!#REF!</f>
        <v>#REF!</v>
      </c>
      <c r="D6" s="260" t="e">
        <f>(C6*1000000000)/Population!CQ27</f>
        <v>#REF!</v>
      </c>
      <c r="F6" s="1113" t="s">
        <v>377</v>
      </c>
      <c r="G6" t="e">
        <f t="shared" si="0"/>
        <v>#REF!</v>
      </c>
      <c r="H6" t="e">
        <f t="shared" si="1"/>
        <v>#REF!</v>
      </c>
      <c r="I6" t="e">
        <f t="shared" si="2"/>
        <v>#REF!</v>
      </c>
      <c r="K6" s="724" t="s">
        <v>581</v>
      </c>
      <c r="L6" s="1113" t="str" cm="1">
        <f t="array" aca="1" ref="L6" ca="1">INDIRECT(_xlfn.CONCAT("'Autumn 24'!",K6,"57"))</f>
        <v xml:space="preserve"> 2013-14 </v>
      </c>
      <c r="M6" s="1610" cm="1">
        <f t="array" aca="1" ref="M6" ca="1">INDIRECT(_xlfn.CONCAT("'Autumn 24'!",K6,"64"))</f>
        <v>93.695999999999998</v>
      </c>
      <c r="N6" s="900" cm="1">
        <f t="array" aca="1" ref="N6" ca="1">INDIRECT(_xlfn.CONCAT("'Autumn 24'!",K6,"71"))</f>
        <v>126.45039077348119</v>
      </c>
      <c r="O6" s="260">
        <f>Population!CQ8</f>
        <v>53918686</v>
      </c>
      <c r="P6" s="130">
        <f ca="1">(N6*1000000000)/Population!CQ8</f>
        <v>2345.2053481696712</v>
      </c>
      <c r="Q6" s="130">
        <f ca="1">(N6*1000000000)/Population!CQ27</f>
        <v>1378.8438809247293</v>
      </c>
      <c r="V6" s="1113" t="s">
        <v>377</v>
      </c>
      <c r="W6">
        <f ca="1">M6/$M$6*100</f>
        <v>100</v>
      </c>
      <c r="X6">
        <f ca="1">N6/$N$6*100</f>
        <v>100</v>
      </c>
      <c r="Y6">
        <f ca="1">P6/$P$6*100</f>
        <v>100</v>
      </c>
      <c r="Z6">
        <f ca="1">Q6/$Q$6*100</f>
        <v>100</v>
      </c>
      <c r="AA6" s="1114" t="str">
        <f>V6</f>
        <v>2013–14</v>
      </c>
      <c r="AB6" s="1114"/>
      <c r="AC6" s="155">
        <f ca="1">W6-100</f>
        <v>0</v>
      </c>
      <c r="AD6" s="155">
        <f t="shared" ref="AD6:AF17" ca="1" si="3">X6-100</f>
        <v>0</v>
      </c>
      <c r="AE6" s="155">
        <f t="shared" ca="1" si="3"/>
        <v>0</v>
      </c>
      <c r="AF6" s="155">
        <f t="shared" ca="1" si="3"/>
        <v>0</v>
      </c>
      <c r="AG6" s="155"/>
    </row>
    <row r="7" spans="1:34" ht="14.5">
      <c r="A7" t="s">
        <v>378</v>
      </c>
      <c r="B7" t="e">
        <f>#REF!</f>
        <v>#REF!</v>
      </c>
      <c r="C7" s="260" t="e">
        <f>(B7*1000000000)/Population!#REF!</f>
        <v>#REF!</v>
      </c>
      <c r="D7" s="260" t="e">
        <f>(C7*1000000000)/Population!CQ28</f>
        <v>#REF!</v>
      </c>
      <c r="F7" s="1113" t="s">
        <v>378</v>
      </c>
      <c r="G7" t="e">
        <f t="shared" si="0"/>
        <v>#REF!</v>
      </c>
      <c r="H7" t="e">
        <f t="shared" si="1"/>
        <v>#REF!</v>
      </c>
      <c r="I7" t="e">
        <f t="shared" si="2"/>
        <v>#REF!</v>
      </c>
      <c r="K7" s="724" t="s">
        <v>582</v>
      </c>
      <c r="L7" s="1232" t="str" cm="1">
        <f t="array" aca="1" ref="L7" ca="1">INDIRECT(_xlfn.CONCAT("'Autumn 24'!",K7,"57"))</f>
        <v>2014-15</v>
      </c>
      <c r="M7" s="1610" cm="1">
        <f t="array" aca="1" ref="M7" ca="1">INDIRECT(_xlfn.CONCAT("'Autumn 24'!",K7,"64"))</f>
        <v>97.097999999999999</v>
      </c>
      <c r="N7" s="900" cm="1">
        <f t="array" aca="1" ref="N7" ca="1">INDIRECT(_xlfn.CONCAT("'Autumn 24'!",K7,"71"))</f>
        <v>129.45978402575423</v>
      </c>
      <c r="O7" s="260">
        <f>Population!CQ9</f>
        <v>54370319</v>
      </c>
      <c r="P7">
        <f ca="1">(N7*1000000000)/Population!CQ9</f>
        <v>2381.0745716933211</v>
      </c>
      <c r="Q7">
        <f ca="1">(N7*1000000000)/Population!CQ28</f>
        <v>1392.4825097166135</v>
      </c>
      <c r="V7" s="1113" t="s">
        <v>378</v>
      </c>
      <c r="W7">
        <f t="shared" ref="W7:W17" ca="1" si="4">M7/$M$6*100</f>
        <v>103.63089139344261</v>
      </c>
      <c r="X7">
        <f t="shared" ref="X7:X17" ca="1" si="5">N7/$N$6*100</f>
        <v>102.37990031811286</v>
      </c>
      <c r="Y7">
        <f t="shared" ref="Y7:Y17" ca="1" si="6">P7/$P$6*100</f>
        <v>101.52947048119449</v>
      </c>
      <c r="Z7">
        <f t="shared" ref="Z7:Z17" ca="1" si="7">Q7/$Q$6*100</f>
        <v>100.98913509938032</v>
      </c>
      <c r="AA7" s="1114" t="str">
        <f t="shared" ref="AA7:AA17" si="8">V7</f>
        <v>2014–15</v>
      </c>
      <c r="AB7" s="1114"/>
      <c r="AC7" s="155">
        <f t="shared" ref="AC7:AD17" ca="1" si="9">W7-100</f>
        <v>3.6308913934426101</v>
      </c>
      <c r="AD7" s="155">
        <f ca="1">X7-100</f>
        <v>2.3799003181128597</v>
      </c>
      <c r="AE7" s="155">
        <f t="shared" ca="1" si="3"/>
        <v>1.5294704811944939</v>
      </c>
      <c r="AF7" s="155">
        <f t="shared" ca="1" si="3"/>
        <v>0.98913509938032007</v>
      </c>
      <c r="AG7" s="155"/>
    </row>
    <row r="8" spans="1:34" ht="14.5">
      <c r="A8" t="s">
        <v>379</v>
      </c>
      <c r="B8" t="e">
        <f>#REF!</f>
        <v>#REF!</v>
      </c>
      <c r="C8" s="260" t="e">
        <f>(B8*1000000000)/Population!#REF!</f>
        <v>#REF!</v>
      </c>
      <c r="D8" s="260" t="e">
        <f>(C8*1000000000)/Population!CQ29</f>
        <v>#REF!</v>
      </c>
      <c r="F8" s="1113" t="s">
        <v>379</v>
      </c>
      <c r="G8" t="e">
        <f t="shared" si="0"/>
        <v>#REF!</v>
      </c>
      <c r="H8" t="e">
        <f t="shared" si="1"/>
        <v>#REF!</v>
      </c>
      <c r="I8" t="e">
        <f t="shared" si="2"/>
        <v>#REF!</v>
      </c>
      <c r="K8" s="724" t="s">
        <v>583</v>
      </c>
      <c r="L8" s="1232" t="str" cm="1">
        <f t="array" aca="1" ref="L8" ca="1">INDIRECT(_xlfn.CONCAT("'Autumn 24'!",K8,"57"))</f>
        <v>2015-16</v>
      </c>
      <c r="M8" s="1610" cm="1">
        <f t="array" aca="1" ref="M8" ca="1">INDIRECT(_xlfn.CONCAT("'Autumn 24'!",K8,"64"))</f>
        <v>100.572</v>
      </c>
      <c r="N8" s="900" cm="1">
        <f t="array" aca="1" ref="N8" ca="1">INDIRECT(_xlfn.CONCAT("'Autumn 24'!",K8,"71"))</f>
        <v>133.13590040037511</v>
      </c>
      <c r="O8" s="260">
        <f>Population!CQ10</f>
        <v>54808676</v>
      </c>
      <c r="P8">
        <f ca="1">(N8*1000000000)/Population!CQ10</f>
        <v>2429.1026552142057</v>
      </c>
      <c r="Q8">
        <f ca="1">(N8*1000000000)/Population!CQ29</f>
        <v>1416.3244266603233</v>
      </c>
      <c r="V8" s="1113" t="s">
        <v>379</v>
      </c>
      <c r="W8">
        <f t="shared" ca="1" si="4"/>
        <v>107.33862704918033</v>
      </c>
      <c r="X8">
        <f t="shared" ca="1" si="5"/>
        <v>105.28706126252318</v>
      </c>
      <c r="Y8">
        <f t="shared" ca="1" si="6"/>
        <v>103.5773970543779</v>
      </c>
      <c r="Z8">
        <f t="shared" ca="1" si="7"/>
        <v>102.71825884381178</v>
      </c>
      <c r="AA8" s="1114" t="str">
        <f t="shared" si="8"/>
        <v>2015–16</v>
      </c>
      <c r="AB8" s="1114"/>
      <c r="AC8" s="155">
        <f t="shared" ca="1" si="9"/>
        <v>7.3386270491803316</v>
      </c>
      <c r="AD8" s="155">
        <f t="shared" ca="1" si="9"/>
        <v>5.2870612625231814</v>
      </c>
      <c r="AE8" s="155">
        <f t="shared" ca="1" si="3"/>
        <v>3.5773970543778972</v>
      </c>
      <c r="AF8" s="155">
        <f t="shared" ca="1" si="3"/>
        <v>2.7182588438117818</v>
      </c>
      <c r="AG8" s="1651"/>
    </row>
    <row r="9" spans="1:34" ht="14.5">
      <c r="A9" t="s">
        <v>165</v>
      </c>
      <c r="B9" t="e">
        <f>#REF!</f>
        <v>#REF!</v>
      </c>
      <c r="C9" s="260" t="e">
        <f>(B9*1000000000)/Population!#REF!</f>
        <v>#REF!</v>
      </c>
      <c r="D9" s="260" t="e">
        <f>(C9*1000000000)/Population!CQ30</f>
        <v>#REF!</v>
      </c>
      <c r="F9" s="1113" t="s">
        <v>165</v>
      </c>
      <c r="G9" t="e">
        <f t="shared" si="0"/>
        <v>#REF!</v>
      </c>
      <c r="H9" t="e">
        <f t="shared" si="1"/>
        <v>#REF!</v>
      </c>
      <c r="I9" t="e">
        <f t="shared" si="2"/>
        <v>#REF!</v>
      </c>
      <c r="K9" s="724" t="s">
        <v>584</v>
      </c>
      <c r="L9" s="1232" t="str" cm="1">
        <f t="array" aca="1" ref="L9" ca="1">INDIRECT(_xlfn.CONCAT("'Autumn 24'!",K9,"57"))</f>
        <v>2016-17</v>
      </c>
      <c r="M9" s="1610" cm="1">
        <f t="array" aca="1" ref="M9" ca="1">INDIRECT(_xlfn.CONCAT("'Autumn 24'!",K9,"64"))</f>
        <v>105.735</v>
      </c>
      <c r="N9" s="900" cm="1">
        <f t="array" aca="1" ref="N9" ca="1">INDIRECT(_xlfn.CONCAT("'Autumn 24'!",K9,"71"))</f>
        <v>136.87920301826449</v>
      </c>
      <c r="O9" s="260">
        <f>Population!CQ11</f>
        <v>55289034</v>
      </c>
      <c r="P9">
        <f ca="1">(N9*1000000000)/Population!CQ11</f>
        <v>2475.702560082068</v>
      </c>
      <c r="Q9">
        <f ca="1">(N9*1000000000)/Population!CQ30</f>
        <v>1438.3934455106323</v>
      </c>
      <c r="V9" s="1113" t="s">
        <v>165</v>
      </c>
      <c r="W9">
        <f t="shared" ca="1" si="4"/>
        <v>112.84900102459017</v>
      </c>
      <c r="X9">
        <f t="shared" ca="1" si="5"/>
        <v>108.24735469854349</v>
      </c>
      <c r="Y9">
        <f t="shared" ca="1" si="6"/>
        <v>105.56442581943813</v>
      </c>
      <c r="Z9">
        <f t="shared" ca="1" si="7"/>
        <v>104.31880399294849</v>
      </c>
      <c r="AA9" s="1114" t="str">
        <f t="shared" si="8"/>
        <v>2016-17</v>
      </c>
      <c r="AB9" s="1114"/>
      <c r="AC9" s="155">
        <f t="shared" ca="1" si="9"/>
        <v>12.849001024590166</v>
      </c>
      <c r="AD9" s="155">
        <f t="shared" ca="1" si="9"/>
        <v>8.2473546985434893</v>
      </c>
      <c r="AE9" s="155">
        <f t="shared" ca="1" si="3"/>
        <v>5.564425819438128</v>
      </c>
      <c r="AF9" s="155">
        <f t="shared" ca="1" si="3"/>
        <v>4.3188039929484887</v>
      </c>
      <c r="AG9" s="1651"/>
    </row>
    <row r="10" spans="1:34" ht="14.5">
      <c r="A10" t="s">
        <v>167</v>
      </c>
      <c r="B10" t="e">
        <f>#REF!</f>
        <v>#REF!</v>
      </c>
      <c r="C10" s="260" t="e">
        <f>(B10*1000000000)/Population!#REF!</f>
        <v>#REF!</v>
      </c>
      <c r="D10" s="260" t="e">
        <f>(C10*1000000000)/Population!CQ31</f>
        <v>#REF!</v>
      </c>
      <c r="F10" s="1113" t="s">
        <v>167</v>
      </c>
      <c r="G10" t="e">
        <f t="shared" si="0"/>
        <v>#REF!</v>
      </c>
      <c r="H10" t="e">
        <f t="shared" si="1"/>
        <v>#REF!</v>
      </c>
      <c r="I10" t="e">
        <f t="shared" si="2"/>
        <v>#REF!</v>
      </c>
      <c r="K10" s="724" t="s">
        <v>585</v>
      </c>
      <c r="L10" s="1232" t="str" cm="1">
        <f t="array" aca="1" ref="L10" ca="1">INDIRECT(_xlfn.CONCAT("'Autumn 24'!",K10,"57"))</f>
        <v>2017-18</v>
      </c>
      <c r="M10" s="1610" cm="1">
        <f t="array" aca="1" ref="M10" ca="1">INDIRECT(_xlfn.CONCAT("'Autumn 24'!",K10,"64"))</f>
        <v>109.605</v>
      </c>
      <c r="N10" s="900" cm="1">
        <f t="array" aca="1" ref="N10" ca="1">INDIRECT(_xlfn.CONCAT("'Autumn 24'!",K10,"71"))</f>
        <v>139.69149578297959</v>
      </c>
      <c r="O10" s="260">
        <f>Population!CQ12</f>
        <v>55619548</v>
      </c>
      <c r="P10">
        <f ca="1">(N10*1000000000)/Population!CQ12</f>
        <v>2511.553955508225</v>
      </c>
      <c r="Q10">
        <f ca="1">(N10*1000000000)/Population!CQ31</f>
        <v>1454.5241126239828</v>
      </c>
      <c r="V10" s="1113" t="s">
        <v>167</v>
      </c>
      <c r="W10">
        <f t="shared" ca="1" si="4"/>
        <v>116.97938012295081</v>
      </c>
      <c r="X10">
        <f t="shared" ca="1" si="5"/>
        <v>110.47138322665846</v>
      </c>
      <c r="Y10">
        <f t="shared" ca="1" si="6"/>
        <v>107.09313610718061</v>
      </c>
      <c r="Z10">
        <f t="shared" ca="1" si="7"/>
        <v>105.48867299236939</v>
      </c>
      <c r="AA10" s="1114" t="str">
        <f t="shared" si="8"/>
        <v>2017-18</v>
      </c>
      <c r="AB10" s="1114"/>
      <c r="AC10" s="155">
        <f t="shared" ca="1" si="9"/>
        <v>16.979380122950815</v>
      </c>
      <c r="AD10" s="155">
        <f t="shared" ca="1" si="9"/>
        <v>10.47138322665846</v>
      </c>
      <c r="AE10" s="155">
        <f t="shared" ca="1" si="3"/>
        <v>7.0931361071806123</v>
      </c>
      <c r="AF10" s="155">
        <f t="shared" ca="1" si="3"/>
        <v>5.4886729923693878</v>
      </c>
      <c r="AG10" s="1651"/>
    </row>
    <row r="11" spans="1:34" ht="14.5">
      <c r="A11" t="s">
        <v>168</v>
      </c>
      <c r="B11" t="e">
        <f>#REF!</f>
        <v>#REF!</v>
      </c>
      <c r="C11" s="260" t="e">
        <f>(B11*1000000000)/Population!#REF!</f>
        <v>#REF!</v>
      </c>
      <c r="D11" s="260" t="e">
        <f>(C11*1000000000)/Population!CQ32</f>
        <v>#REF!</v>
      </c>
      <c r="F11" s="1113" t="s">
        <v>168</v>
      </c>
      <c r="G11" t="e">
        <f t="shared" si="0"/>
        <v>#REF!</v>
      </c>
      <c r="H11" t="e">
        <f t="shared" si="1"/>
        <v>#REF!</v>
      </c>
      <c r="I11" t="e">
        <f t="shared" si="2"/>
        <v>#REF!</v>
      </c>
      <c r="K11" s="724" t="s">
        <v>586</v>
      </c>
      <c r="L11" s="1232" t="str" cm="1">
        <f t="array" aca="1" ref="L11" ca="1">INDIRECT(_xlfn.CONCAT("'Autumn 24'!",K11,"57"))</f>
        <v>2018-19</v>
      </c>
      <c r="M11" s="1610" cm="1">
        <f t="array" aca="1" ref="M11" ca="1">INDIRECT(_xlfn.CONCAT("'Autumn 24'!",K11,"64"))</f>
        <v>112.42700000000001</v>
      </c>
      <c r="N11" s="900" cm="1">
        <f t="array" aca="1" ref="N11" ca="1">INDIRECT(_xlfn.CONCAT("'Autumn 24'!",K11,"71"))</f>
        <v>140.33264505859574</v>
      </c>
      <c r="O11" s="260">
        <f>Population!CQ13</f>
        <v>55924528</v>
      </c>
      <c r="P11">
        <f ca="1">(N11*1000000000)/Population!CQ13</f>
        <v>2509.3219393571944</v>
      </c>
      <c r="Q11">
        <f ca="1">(N11*1000000000)/Population!CQ32</f>
        <v>1449.912113670583</v>
      </c>
      <c r="V11" s="1113" t="s">
        <v>168</v>
      </c>
      <c r="W11">
        <f t="shared" ca="1" si="4"/>
        <v>119.99124829234972</v>
      </c>
      <c r="X11">
        <f t="shared" ca="1" si="5"/>
        <v>110.97841944196341</v>
      </c>
      <c r="Y11">
        <f t="shared" ca="1" si="6"/>
        <v>106.99796251597367</v>
      </c>
      <c r="Z11">
        <f t="shared" ca="1" si="7"/>
        <v>105.15418995065573</v>
      </c>
      <c r="AA11" s="1114" t="str">
        <f t="shared" si="8"/>
        <v>2018-19</v>
      </c>
      <c r="AB11" s="1114"/>
      <c r="AC11" s="155">
        <f t="shared" ca="1" si="9"/>
        <v>19.991248292349724</v>
      </c>
      <c r="AD11" s="155">
        <f t="shared" ca="1" si="9"/>
        <v>10.97841944196341</v>
      </c>
      <c r="AE11" s="155">
        <f t="shared" ca="1" si="3"/>
        <v>6.9979625159736685</v>
      </c>
      <c r="AF11" s="155">
        <f t="shared" ca="1" si="3"/>
        <v>5.1541899506557343</v>
      </c>
      <c r="AG11" s="1651"/>
    </row>
    <row r="12" spans="1:34" ht="14.5">
      <c r="F12" s="1113" t="s">
        <v>169</v>
      </c>
      <c r="K12" s="724" t="s">
        <v>587</v>
      </c>
      <c r="L12" s="1232" t="str" cm="1">
        <f t="array" aca="1" ref="L12" ca="1">INDIRECT(_xlfn.CONCAT("'Autumn 24'!",K12,"57"))</f>
        <v>2019-20</v>
      </c>
      <c r="M12" s="1610" cm="1">
        <f t="array" aca="1" ref="M12" ca="1">INDIRECT(_xlfn.CONCAT("'Autumn 24'!",K12,"64"))</f>
        <v>123.59099999999999</v>
      </c>
      <c r="N12" s="900" cm="1">
        <f t="array" aca="1" ref="N12" ca="1">INDIRECT(_xlfn.CONCAT("'Autumn 24'!",K12,"71"))</f>
        <v>150.69690336668589</v>
      </c>
      <c r="O12" s="260">
        <f>Population!CQ14</f>
        <v>56230056</v>
      </c>
      <c r="P12">
        <f ca="1">(N12*1000000000)/Population!CQ14</f>
        <v>2680.0062828798514</v>
      </c>
      <c r="Q12">
        <f ca="1">(N12*1000000000)/Population!CQ33</f>
        <v>1543.223296676071</v>
      </c>
      <c r="V12" s="1113" t="s">
        <v>169</v>
      </c>
      <c r="W12">
        <f t="shared" ca="1" si="4"/>
        <v>131.90637807377047</v>
      </c>
      <c r="X12">
        <f t="shared" ca="1" si="5"/>
        <v>119.17472334003224</v>
      </c>
      <c r="Y12">
        <f t="shared" ca="1" si="6"/>
        <v>114.27597523481164</v>
      </c>
      <c r="Z12">
        <f t="shared" ca="1" si="7"/>
        <v>111.92153934360572</v>
      </c>
      <c r="AA12" s="1114" t="str">
        <f t="shared" si="8"/>
        <v>2019-20</v>
      </c>
      <c r="AB12" s="1114"/>
      <c r="AC12" s="155">
        <f t="shared" ca="1" si="9"/>
        <v>31.906378073770469</v>
      </c>
      <c r="AD12" s="155">
        <f t="shared" ca="1" si="9"/>
        <v>19.174723340032244</v>
      </c>
      <c r="AE12" s="155">
        <f t="shared" ca="1" si="3"/>
        <v>14.275975234811639</v>
      </c>
      <c r="AF12" s="155">
        <f t="shared" ref="AF12:AF18" ca="1" si="10">Z12-100</f>
        <v>11.921539343605716</v>
      </c>
      <c r="AG12" s="1651"/>
    </row>
    <row r="13" spans="1:34" ht="14.5">
      <c r="F13" s="1113" t="s">
        <v>170</v>
      </c>
      <c r="K13" s="724" t="s">
        <v>588</v>
      </c>
      <c r="L13" s="1232" t="str" cm="1">
        <f t="array" aca="1" ref="L13" ca="1">INDIRECT(_xlfn.CONCAT("'Autumn 24'!",K13,"57"))</f>
        <v>2020-21</v>
      </c>
      <c r="M13" s="1610" cm="1">
        <f t="array" aca="1" ref="M13" ca="1">INDIRECT(_xlfn.CONCAT("'Autumn 24'!",K13,"64"))</f>
        <v>143.167</v>
      </c>
      <c r="N13" s="900" cm="1">
        <f t="array" aca="1" ref="N13" ca="1">INDIRECT(_xlfn.CONCAT("'Autumn 24'!",K13,"71"))</f>
        <v>165.67671937920849</v>
      </c>
      <c r="O13" s="260">
        <f>Population!CQ15</f>
        <v>56325961</v>
      </c>
      <c r="P13">
        <f ca="1">(N13*1000000000)/Population!CQ15</f>
        <v>2941.3917923070767</v>
      </c>
      <c r="Q13">
        <f ca="1">(N13*1000000000)/Population!CQ34</f>
        <v>1690.7760425915912</v>
      </c>
      <c r="V13" s="1113" t="s">
        <v>170</v>
      </c>
      <c r="W13">
        <f t="shared" ca="1" si="4"/>
        <v>152.79947916666669</v>
      </c>
      <c r="X13">
        <f t="shared" ca="1" si="5"/>
        <v>131.02112090424137</v>
      </c>
      <c r="Y13">
        <f t="shared" ca="1" si="6"/>
        <v>125.42150283780917</v>
      </c>
      <c r="Z13">
        <f t="shared" ca="1" si="7"/>
        <v>122.62273241968937</v>
      </c>
      <c r="AA13" s="1114" t="str">
        <f t="shared" si="8"/>
        <v>2020-21</v>
      </c>
      <c r="AB13" s="1114"/>
      <c r="AC13" s="155">
        <f t="shared" ca="1" si="9"/>
        <v>52.799479166666686</v>
      </c>
      <c r="AD13" s="155">
        <f t="shared" ca="1" si="9"/>
        <v>31.021120904241371</v>
      </c>
      <c r="AE13" s="155">
        <f t="shared" ca="1" si="3"/>
        <v>25.421502837809172</v>
      </c>
      <c r="AF13" s="155">
        <f t="shared" ca="1" si="10"/>
        <v>22.62273241968937</v>
      </c>
      <c r="AG13" s="1651"/>
    </row>
    <row r="14" spans="1:34" ht="14.5">
      <c r="F14" s="1113" t="s">
        <v>171</v>
      </c>
      <c r="K14" s="724" t="s">
        <v>589</v>
      </c>
      <c r="L14" s="1232" t="str" cm="1">
        <f t="array" aca="1" ref="L14" ca="1">INDIRECT(_xlfn.CONCAT("'Autumn 24'!",K14,"57"))</f>
        <v>2021-22</v>
      </c>
      <c r="M14" s="1610" cm="1">
        <f t="array" aca="1" ref="M14" ca="1">INDIRECT(_xlfn.CONCAT("'Autumn 24'!",K14,"64"))</f>
        <v>149.46600000000001</v>
      </c>
      <c r="N14" s="900" cm="1">
        <f t="array" aca="1" ref="N14" ca="1">INDIRECT(_xlfn.CONCAT("'Autumn 24'!",K14,"71"))</f>
        <v>173.98266532793238</v>
      </c>
      <c r="O14" s="260">
        <f>Population!CQ16</f>
        <v>56554891</v>
      </c>
      <c r="P14">
        <f ca="1">(N14*1000000000)/Population!CQ16</f>
        <v>3076.3504668045839</v>
      </c>
      <c r="Q14">
        <f ca="1">(N14*1000000000)/Population!CQ35</f>
        <v>1764.2257936550984</v>
      </c>
      <c r="V14" s="1113" t="s">
        <v>171</v>
      </c>
      <c r="W14">
        <f t="shared" ca="1" si="4"/>
        <v>159.52228483606558</v>
      </c>
      <c r="X14">
        <f t="shared" ca="1" si="5"/>
        <v>137.58966205141971</v>
      </c>
      <c r="Y14">
        <f t="shared" ca="1" si="6"/>
        <v>131.17616626644397</v>
      </c>
      <c r="Z14">
        <f t="shared" ca="1" si="7"/>
        <v>127.94964085940683</v>
      </c>
      <c r="AA14" s="1114" t="str">
        <f t="shared" si="8"/>
        <v>2021-22</v>
      </c>
      <c r="AB14" s="1114"/>
      <c r="AC14" s="155">
        <f t="shared" ca="1" si="9"/>
        <v>59.52228483606558</v>
      </c>
      <c r="AD14" s="155">
        <f t="shared" ca="1" si="9"/>
        <v>37.589662051419708</v>
      </c>
      <c r="AE14" s="155">
        <f t="shared" ca="1" si="3"/>
        <v>31.176166266443971</v>
      </c>
      <c r="AF14" s="155">
        <f t="shared" ca="1" si="10"/>
        <v>27.949640859406827</v>
      </c>
      <c r="AG14" s="1651"/>
    </row>
    <row r="15" spans="1:34" ht="14.5">
      <c r="F15" s="1113" t="s">
        <v>172</v>
      </c>
      <c r="K15" s="724" t="s">
        <v>590</v>
      </c>
      <c r="L15" s="1232" t="str" cm="1">
        <f t="array" aca="1" ref="L15" ca="1">INDIRECT(_xlfn.CONCAT("'Autumn 24'!",K15,"57"))</f>
        <v>2022-23</v>
      </c>
      <c r="M15" s="1610" cm="1">
        <f t="array" aca="1" ref="M15" ca="1">INDIRECT(_xlfn.CONCAT("'Autumn 24'!",K15,"64"))</f>
        <v>158.08799999999999</v>
      </c>
      <c r="N15" s="900" cm="1">
        <f t="array" aca="1" ref="N15" ca="1">INDIRECT(_xlfn.CONCAT("'Autumn 24'!",K15,"71"))</f>
        <v>171.77494850506346</v>
      </c>
      <c r="O15" s="260">
        <f>Population!CQ17</f>
        <v>57106398</v>
      </c>
      <c r="P15">
        <f ca="1">(N15*1000000000)/Population!CQ17</f>
        <v>3007.9807958657011</v>
      </c>
      <c r="Q15">
        <f ca="1">(N15*1000000000)/Population!CQ36</f>
        <v>1721.9447898112608</v>
      </c>
      <c r="R15" s="98"/>
      <c r="V15" s="1113" t="s">
        <v>172</v>
      </c>
      <c r="W15">
        <f t="shared" ca="1" si="4"/>
        <v>168.72438524590163</v>
      </c>
      <c r="X15">
        <f t="shared" ca="1" si="5"/>
        <v>135.84374666961298</v>
      </c>
      <c r="Y15">
        <f t="shared" ca="1" si="6"/>
        <v>128.26087055503677</v>
      </c>
      <c r="Z15">
        <f t="shared" ca="1" si="7"/>
        <v>124.88323106285455</v>
      </c>
      <c r="AA15" s="1114" t="str">
        <f t="shared" si="8"/>
        <v>2022-23</v>
      </c>
      <c r="AB15" s="1114"/>
      <c r="AC15" s="155">
        <f t="shared" ca="1" si="9"/>
        <v>68.72438524590163</v>
      </c>
      <c r="AD15" s="155">
        <f t="shared" ca="1" si="9"/>
        <v>35.843746669612983</v>
      </c>
      <c r="AE15" s="155">
        <f t="shared" ca="1" si="3"/>
        <v>28.260870555036774</v>
      </c>
      <c r="AF15" s="155">
        <f t="shared" ca="1" si="10"/>
        <v>24.883231062854549</v>
      </c>
      <c r="AG15" s="1651"/>
    </row>
    <row r="16" spans="1:34" ht="14.5">
      <c r="F16" s="1113" t="s">
        <v>173</v>
      </c>
      <c r="J16" s="51"/>
      <c r="K16" s="724" t="s">
        <v>591</v>
      </c>
      <c r="L16" s="1232" t="str" cm="1">
        <f t="array" aca="1" ref="L16" ca="1">INDIRECT(_xlfn.CONCAT("'Autumn 24'!",K16,"57"))</f>
        <v>2023-24</v>
      </c>
      <c r="M16" s="1610" cm="1">
        <f t="array" aca="1" ref="M16" ca="1">INDIRECT(_xlfn.CONCAT("'Autumn 24'!",K16,"64"))</f>
        <v>168.148</v>
      </c>
      <c r="N16" s="900" cm="1">
        <f t="array" aca="1" ref="N16" ca="1">INDIRECT(_xlfn.CONCAT("'Autumn 24'!",K16,"71"))</f>
        <v>172.14095351510122</v>
      </c>
      <c r="O16" s="260">
        <f>Population!CQ18</f>
        <v>57699579</v>
      </c>
      <c r="P16">
        <f ca="1">(N16*1000000000)/Population!CQ18</f>
        <v>2983.4005117281918</v>
      </c>
      <c r="Q16">
        <f ca="1">(N16*1000000000)/Population!CQ37</f>
        <v>1708.1703707012805</v>
      </c>
      <c r="R16" s="98"/>
      <c r="U16" s="260"/>
      <c r="V16" s="1113" t="s">
        <v>173</v>
      </c>
      <c r="W16">
        <f t="shared" ca="1" si="4"/>
        <v>179.46123633879782</v>
      </c>
      <c r="X16">
        <f t="shared" ca="1" si="5"/>
        <v>136.13319220457649</v>
      </c>
      <c r="Y16">
        <f t="shared" ca="1" si="6"/>
        <v>127.21276258629564</v>
      </c>
      <c r="Z16">
        <f ca="1">Q16/$Q$6*100</f>
        <v>123.88424783490981</v>
      </c>
      <c r="AA16" s="1114" t="str">
        <f t="shared" si="8"/>
        <v>2023-24</v>
      </c>
      <c r="AB16" s="1114"/>
      <c r="AC16" s="155">
        <f t="shared" ca="1" si="9"/>
        <v>79.461236338797818</v>
      </c>
      <c r="AD16" s="155">
        <f t="shared" ca="1" si="9"/>
        <v>36.133192204576488</v>
      </c>
      <c r="AE16" s="155">
        <f t="shared" ca="1" si="3"/>
        <v>27.212762586295639</v>
      </c>
      <c r="AF16" s="155">
        <f t="shared" ca="1" si="10"/>
        <v>23.884247834909814</v>
      </c>
      <c r="AG16" s="1651"/>
      <c r="AH16" s="1652"/>
    </row>
    <row r="17" spans="6:33" ht="14.5">
      <c r="F17" s="1113" t="s">
        <v>174</v>
      </c>
      <c r="J17" s="51"/>
      <c r="K17" s="724" t="s">
        <v>592</v>
      </c>
      <c r="L17" s="1232" t="str" cm="1">
        <f t="array" aca="1" ref="L17" ca="1">INDIRECT(_xlfn.CONCAT("'Autumn 24'!",K17,"57"))</f>
        <v>2024-25</v>
      </c>
      <c r="M17" s="1610" cm="1">
        <f t="array" aca="1" ref="M17" ca="1">INDIRECT(_xlfn.CONCAT("'Autumn 24'!",K17,"64"))</f>
        <v>176.59829999999999</v>
      </c>
      <c r="N17" s="900" cm="1">
        <f t="array" aca="1" ref="N17" ca="1">INDIRECT(_xlfn.CONCAT("'Autumn 24'!",K17,"71"))</f>
        <v>176.59829999999999</v>
      </c>
      <c r="O17" s="260">
        <f>Population!CQ19</f>
        <v>58295056</v>
      </c>
      <c r="P17">
        <f ca="1">(N17*1000000000)/Population!CQ19</f>
        <v>3029.3872605594547</v>
      </c>
      <c r="Q17">
        <f ca="1">(N17*1000000000)/Population!CQ38</f>
        <v>1729.9266577677176</v>
      </c>
      <c r="R17" s="98"/>
      <c r="U17" s="77"/>
      <c r="V17" s="1113" t="s">
        <v>174</v>
      </c>
      <c r="W17">
        <f t="shared" ca="1" si="4"/>
        <v>188.48008452868851</v>
      </c>
      <c r="X17">
        <f t="shared" ca="1" si="5"/>
        <v>139.65816864603607</v>
      </c>
      <c r="Y17">
        <f t="shared" ca="1" si="6"/>
        <v>129.17364626188308</v>
      </c>
      <c r="Z17">
        <f t="shared" ca="1" si="7"/>
        <v>125.4621122594048</v>
      </c>
      <c r="AA17" s="1114" t="str">
        <f t="shared" si="8"/>
        <v>2024-25</v>
      </c>
      <c r="AB17" s="171"/>
      <c r="AC17" s="155">
        <f t="shared" ca="1" si="9"/>
        <v>88.480084528688508</v>
      </c>
      <c r="AD17" s="155">
        <f t="shared" ca="1" si="9"/>
        <v>39.658168646036074</v>
      </c>
      <c r="AE17" s="155">
        <f t="shared" ca="1" si="3"/>
        <v>29.173646261883079</v>
      </c>
      <c r="AF17" s="155">
        <f t="shared" ca="1" si="10"/>
        <v>25.462112259404805</v>
      </c>
      <c r="AG17" s="1651"/>
    </row>
    <row r="18" spans="6:33" ht="14.5">
      <c r="F18" s="1232"/>
      <c r="J18" s="51"/>
      <c r="K18" s="724" t="s">
        <v>593</v>
      </c>
      <c r="L18" s="1232" t="str" cm="1">
        <f t="array" aca="1" ref="L18" ca="1">INDIRECT(_xlfn.CONCAT("'Autumn 24'!",K18,"57"))</f>
        <v>2025-26</v>
      </c>
      <c r="M18" s="1610" cm="1">
        <f t="array" aca="1" ref="M18" ca="1">INDIRECT(_xlfn.CONCAT("'Autumn 24'!",K18,"64"))</f>
        <v>187.139378695077</v>
      </c>
      <c r="N18" s="900" cm="1">
        <f t="array" aca="1" ref="N18" ca="1">INDIRECT(_xlfn.CONCAT("'Autumn 24'!",K18,"71"))</f>
        <v>182.77834617826267</v>
      </c>
      <c r="O18" s="260">
        <f>Population!CQ20</f>
        <v>58830915</v>
      </c>
      <c r="P18">
        <f ca="1">(N18*1000000000)/Population!CQ20</f>
        <v>3106.8418055075749</v>
      </c>
      <c r="Q18" s="130">
        <f ca="1">(N18*1000000000)/Population!CQ39</f>
        <v>1768.2142706559575</v>
      </c>
      <c r="R18" s="98"/>
      <c r="S18" s="98">
        <f>O18/O16-1</f>
        <v>1.9607352767686548E-2</v>
      </c>
      <c r="T18" s="98"/>
      <c r="U18" s="77"/>
      <c r="V18" s="1232" t="s">
        <v>139</v>
      </c>
      <c r="W18">
        <f ca="1">M18/$M$6*100</f>
        <v>199.73038197476626</v>
      </c>
      <c r="X18">
        <f ca="1">N18/$N$6*100</f>
        <v>144.54549729758085</v>
      </c>
      <c r="Y18">
        <f ca="1">P18/$P$6*100</f>
        <v>132.47632272083666</v>
      </c>
      <c r="Z18" s="130">
        <f ca="1">Q18/$Q$6*100</f>
        <v>128.2389032665609</v>
      </c>
      <c r="AA18" s="1114" t="str">
        <f>V18</f>
        <v>2025-26</v>
      </c>
      <c r="AB18" s="171"/>
      <c r="AC18" s="155">
        <f ca="1">W18-100</f>
        <v>99.73038197476626</v>
      </c>
      <c r="AD18" s="155">
        <f ca="1">X18-100</f>
        <v>44.545497297580852</v>
      </c>
      <c r="AE18" s="155">
        <f ca="1">Y18-100</f>
        <v>32.476322720836663</v>
      </c>
      <c r="AF18" s="155">
        <f t="shared" ca="1" si="10"/>
        <v>28.238903266560897</v>
      </c>
      <c r="AG18" s="1651"/>
    </row>
    <row r="19" spans="6:33" ht="14.5">
      <c r="F19" s="1113"/>
      <c r="K19" s="98"/>
      <c r="L19" s="1113" t="s">
        <v>594</v>
      </c>
      <c r="M19" s="1610"/>
      <c r="N19" s="1201"/>
      <c r="O19" s="1201">
        <f>O17/O16-1</f>
        <v>1.0320300603926524E-2</v>
      </c>
      <c r="P19" s="1201">
        <f ca="1">P17/P16-1</f>
        <v>1.5414205585365437E-2</v>
      </c>
      <c r="Q19" s="1201">
        <f ca="1">Q17/Q16-1</f>
        <v>1.273660253075648E-2</v>
      </c>
      <c r="R19" s="98"/>
      <c r="S19" s="98">
        <f>(O18/O16)^(1/COUNT(O17:O18))-1</f>
        <v>9.756085778979795E-3</v>
      </c>
      <c r="T19" s="98"/>
      <c r="U19" s="1202"/>
      <c r="V19" s="1113"/>
      <c r="Y19" s="98"/>
      <c r="Z19" s="98"/>
      <c r="AA19" s="1114"/>
      <c r="AB19" s="1114"/>
      <c r="AC19" s="155"/>
      <c r="AD19" s="155"/>
      <c r="AE19" s="155"/>
      <c r="AF19" s="155"/>
    </row>
    <row r="20" spans="6:33" ht="14.5">
      <c r="F20" s="1113"/>
      <c r="K20" s="98"/>
      <c r="L20" s="1113"/>
      <c r="M20" s="1201"/>
      <c r="N20" s="1201"/>
      <c r="O20" s="1201"/>
      <c r="P20" s="1201"/>
      <c r="Q20" s="1201"/>
      <c r="R20" s="98"/>
      <c r="S20" s="1202"/>
      <c r="T20" s="98"/>
      <c r="U20" s="1202"/>
      <c r="V20" s="1113"/>
      <c r="Y20" s="171"/>
      <c r="Z20" s="171"/>
      <c r="AA20" s="1114"/>
      <c r="AB20" s="1114"/>
      <c r="AC20" s="155"/>
      <c r="AD20" s="155"/>
      <c r="AE20" s="155"/>
      <c r="AF20" s="155"/>
    </row>
    <row r="21" spans="6:33" ht="14.5">
      <c r="M21" t="s">
        <v>580</v>
      </c>
      <c r="N21" t="s">
        <v>573</v>
      </c>
      <c r="O21" t="s">
        <v>341</v>
      </c>
      <c r="P21" t="s">
        <v>574</v>
      </c>
      <c r="Q21" t="s">
        <v>575</v>
      </c>
      <c r="U21" s="98"/>
      <c r="Z21" s="98"/>
    </row>
    <row r="22" spans="6:33" ht="14.5">
      <c r="L22" s="1232" t="s">
        <v>236</v>
      </c>
      <c r="M22" s="1217">
        <f ca="1">(M11/M6)^(1/(COUNTA(M7:M11)))-1</f>
        <v>3.712216102473076E-2</v>
      </c>
      <c r="N22" s="1217">
        <f t="shared" ref="N22:Q22" ca="1" si="11">(N11/N6)^(1/(COUNTA(N7:N11)))-1</f>
        <v>2.1051639619926288E-2</v>
      </c>
      <c r="O22" s="1217">
        <f t="shared" si="11"/>
        <v>7.3319421430240173E-3</v>
      </c>
      <c r="P22" s="1217">
        <f t="shared" ca="1" si="11"/>
        <v>1.3619837615508112E-2</v>
      </c>
      <c r="Q22" s="1217">
        <f t="shared" ca="1" si="11"/>
        <v>1.0102198680774777E-2</v>
      </c>
      <c r="U22" s="98"/>
      <c r="Z22" s="98"/>
    </row>
    <row r="23" spans="6:33" ht="14.5">
      <c r="L23" s="1113" t="s">
        <v>595</v>
      </c>
      <c r="M23" s="1217">
        <f ca="1">(M18/M6)^(1/(COUNTA(M7:M18)))-1</f>
        <v>5.934399977780469E-2</v>
      </c>
      <c r="N23" s="1217">
        <f t="shared" ref="N23:Q23" ca="1" si="12">(N18/N6)^(1/(COUNTA(N7:N18)))-1</f>
        <v>3.1178178361740194E-2</v>
      </c>
      <c r="O23" s="1217">
        <f t="shared" si="12"/>
        <v>7.2923258785630996E-3</v>
      </c>
      <c r="P23" s="1217">
        <f t="shared" ca="1" si="12"/>
        <v>2.3712930069574201E-2</v>
      </c>
      <c r="Q23" s="1217">
        <f t="shared" ca="1" si="12"/>
        <v>2.094336158680532E-2</v>
      </c>
      <c r="R23" s="98"/>
      <c r="S23" s="98"/>
      <c r="T23" s="98"/>
      <c r="Z23" s="1198"/>
    </row>
    <row r="24" spans="6:33" ht="14.5">
      <c r="L24" s="1113" t="s">
        <v>596</v>
      </c>
      <c r="M24" s="1217">
        <f ca="1">(M16/M6)^(1/(COUNTA(M7:M16)))-1</f>
        <v>6.022261954032615E-2</v>
      </c>
      <c r="N24" s="1217">
        <f t="shared" ref="N24:Q24" ca="1" si="13">(N16/N6)^(1/(COUNTA(N7:N16)))-1</f>
        <v>3.1327036042678058E-2</v>
      </c>
      <c r="O24" s="1217">
        <f t="shared" si="13"/>
        <v>6.8002957441004597E-3</v>
      </c>
      <c r="P24" s="1217">
        <f t="shared" ca="1" si="13"/>
        <v>2.4361077765129746E-2</v>
      </c>
      <c r="Q24" s="1217">
        <f t="shared" ca="1" si="13"/>
        <v>2.1648752025961615E-2</v>
      </c>
      <c r="R24" s="98"/>
      <c r="S24" s="98"/>
      <c r="T24" s="98"/>
      <c r="Z24" s="1198"/>
    </row>
    <row r="25" spans="6:33" ht="14.5">
      <c r="L25" s="1113" t="s">
        <v>597</v>
      </c>
      <c r="M25" s="98">
        <f ca="1">(M17/M15)^(1/(COUNTA(M16:M17)))-1</f>
        <v>5.6924114387454816E-2</v>
      </c>
      <c r="N25" s="98">
        <f t="shared" ref="N25:Q25" ca="1" si="14">(N17/N15)^(1/(COUNTA(N16:N17)))-1</f>
        <v>1.3942543508378646E-2</v>
      </c>
      <c r="O25" s="98">
        <f t="shared" si="14"/>
        <v>1.0353797225551187E-2</v>
      </c>
      <c r="P25" s="98">
        <f t="shared" ca="1" si="14"/>
        <v>3.5519699066624E-3</v>
      </c>
      <c r="Q25" s="98">
        <f t="shared" ca="1" si="14"/>
        <v>2.3150102234859027E-3</v>
      </c>
      <c r="R25" s="98"/>
      <c r="S25" s="98"/>
      <c r="T25" s="98"/>
      <c r="Z25" s="1198"/>
    </row>
    <row r="26" spans="6:33" ht="15" customHeight="1">
      <c r="L26" t="s">
        <v>241</v>
      </c>
      <c r="M26" s="98">
        <f ca="1">(M17/M12)^(1/(COUNTA(M13:M17)))-1</f>
        <v>7.3989250297080256E-2</v>
      </c>
      <c r="N26" s="98">
        <f t="shared" ref="N26:Q26" ca="1" si="15">(N17/N12)^(1/(COUNTA(N13:N17)))-1</f>
        <v>3.2229907622242537E-2</v>
      </c>
      <c r="O26" s="98">
        <f t="shared" si="15"/>
        <v>7.2392513614569776E-3</v>
      </c>
      <c r="P26" s="98">
        <f t="shared" ca="1" si="15"/>
        <v>2.4811042884802514E-2</v>
      </c>
      <c r="Q26" s="98">
        <f t="shared" ca="1" si="15"/>
        <v>2.3104003378728644E-2</v>
      </c>
      <c r="R26" s="98"/>
      <c r="S26" s="98"/>
      <c r="T26" s="98"/>
    </row>
    <row r="27" spans="6:33" ht="15" customHeight="1">
      <c r="L27" s="1113" t="s">
        <v>393</v>
      </c>
      <c r="M27" s="98">
        <f ca="1">(M18/M16)^(1/(COUNTA(M17:M18)))-1</f>
        <v>5.496181075260953E-2</v>
      </c>
      <c r="N27" s="98">
        <f t="shared" ref="N27:Q27" ca="1" si="16">(N18/N16)^(1/(COUNTA(N17:N18)))-1</f>
        <v>3.0434212178002351E-2</v>
      </c>
      <c r="O27" s="98">
        <f t="shared" si="16"/>
        <v>9.756085778979795E-3</v>
      </c>
      <c r="P27" s="98">
        <f t="shared" ca="1" si="16"/>
        <v>2.0478337977106742E-2</v>
      </c>
      <c r="Q27" s="98">
        <f t="shared" ca="1" si="16"/>
        <v>1.7423708149684192E-2</v>
      </c>
      <c r="R27" s="428"/>
      <c r="S27" s="428"/>
      <c r="T27" s="428"/>
    </row>
    <row r="28" spans="6:33" ht="14.5">
      <c r="L28" s="1232" t="s">
        <v>596</v>
      </c>
      <c r="M28" s="1217">
        <f ca="1">(M16/M6)^(1/(COUNTA(M7:M16)))-1</f>
        <v>6.022261954032615E-2</v>
      </c>
      <c r="N28" s="1217">
        <f t="shared" ref="N28:Q28" ca="1" si="17">(N16/N6)^(1/(COUNTA(N7:N16)))-1</f>
        <v>3.1327036042678058E-2</v>
      </c>
      <c r="O28" s="1217">
        <f t="shared" si="17"/>
        <v>6.8002957441004597E-3</v>
      </c>
      <c r="P28" s="1217">
        <f t="shared" ca="1" si="17"/>
        <v>2.4361077765129746E-2</v>
      </c>
      <c r="Q28" s="1217">
        <f t="shared" ca="1" si="17"/>
        <v>2.1648752025961615E-2</v>
      </c>
      <c r="U28" s="98"/>
      <c r="Z28" s="98"/>
    </row>
  </sheetData>
  <phoneticPr fontId="21"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61E7-4A53-4806-BC03-3B3D201F67F3}">
  <sheetPr>
    <tabColor theme="1"/>
  </sheetPr>
  <dimension ref="A1"/>
  <sheetViews>
    <sheetView workbookViewId="0">
      <selection activeCell="F34" sqref="F34"/>
    </sheetView>
  </sheetViews>
  <sheetFormatPr defaultRowHeight="14.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D6245-53FC-46A9-83BB-9428F1CE32F5}">
  <dimension ref="A1:I42"/>
  <sheetViews>
    <sheetView showGridLines="0" topLeftCell="A2" workbookViewId="0">
      <selection activeCell="E25" sqref="E25"/>
    </sheetView>
  </sheetViews>
  <sheetFormatPr defaultColWidth="9.1796875" defaultRowHeight="13"/>
  <cols>
    <col min="1" max="1" width="9.1796875" style="1614"/>
    <col min="2" max="2" width="35.7265625" style="1614" customWidth="1"/>
    <col min="3" max="5" width="8.54296875" style="1614" customWidth="1"/>
    <col min="6" max="6" width="2.81640625" style="1614" customWidth="1"/>
    <col min="7" max="8" width="8.54296875" style="1614" customWidth="1"/>
    <col min="9" max="9" width="10.26953125" style="1614" customWidth="1"/>
    <col min="10" max="16384" width="9.1796875" style="1614"/>
  </cols>
  <sheetData>
    <row r="1" spans="1:9" ht="40" customHeight="1">
      <c r="A1" s="1613" t="s">
        <v>598</v>
      </c>
      <c r="B1" s="1646" t="s">
        <v>599</v>
      </c>
    </row>
    <row r="2" spans="1:9" ht="17">
      <c r="B2" s="1615" t="s">
        <v>600</v>
      </c>
    </row>
    <row r="3" spans="1:9" ht="13.5" thickBot="1">
      <c r="B3" s="1616"/>
      <c r="C3" s="1617"/>
      <c r="D3" s="1617"/>
      <c r="E3" s="1618"/>
      <c r="F3" s="1618"/>
      <c r="G3" s="1618"/>
      <c r="H3" s="1618"/>
      <c r="I3" s="1618"/>
    </row>
    <row r="4" spans="1:9">
      <c r="B4" s="1619"/>
      <c r="C4" s="1798" t="s">
        <v>601</v>
      </c>
      <c r="D4" s="1798"/>
      <c r="E4" s="1798"/>
      <c r="F4" s="1620"/>
      <c r="G4" s="1798" t="s">
        <v>602</v>
      </c>
      <c r="H4" s="1798"/>
      <c r="I4" s="1799"/>
    </row>
    <row r="5" spans="1:9">
      <c r="B5" s="1619"/>
      <c r="C5" s="1621" t="s">
        <v>603</v>
      </c>
      <c r="D5" s="1800" t="s">
        <v>604</v>
      </c>
      <c r="E5" s="1800"/>
      <c r="F5" s="1622"/>
      <c r="G5" s="1800" t="s">
        <v>605</v>
      </c>
      <c r="H5" s="1800"/>
      <c r="I5" s="1801"/>
    </row>
    <row r="6" spans="1:9" ht="30" customHeight="1">
      <c r="B6" s="1623"/>
      <c r="C6" s="1624" t="s">
        <v>173</v>
      </c>
      <c r="D6" s="1625" t="s">
        <v>174</v>
      </c>
      <c r="E6" s="1625" t="s">
        <v>139</v>
      </c>
      <c r="F6" s="1625"/>
      <c r="G6" s="1625" t="s">
        <v>174</v>
      </c>
      <c r="H6" s="1625" t="s">
        <v>139</v>
      </c>
      <c r="I6" s="1626" t="s">
        <v>606</v>
      </c>
    </row>
    <row r="7" spans="1:9">
      <c r="B7" s="1627" t="s">
        <v>231</v>
      </c>
      <c r="C7" s="1628">
        <v>177.92699999999999</v>
      </c>
      <c r="D7" s="1629">
        <v>190.12951799999999</v>
      </c>
      <c r="E7" s="1629">
        <v>200.49934437966382</v>
      </c>
      <c r="F7" s="1628"/>
      <c r="G7" s="1628">
        <v>3.8187235753949222</v>
      </c>
      <c r="H7" s="1628">
        <v>2.9966192626754484</v>
      </c>
      <c r="I7" s="1628">
        <v>3.4068544364052267</v>
      </c>
    </row>
    <row r="8" spans="1:9">
      <c r="B8" s="1627" t="s">
        <v>607</v>
      </c>
      <c r="C8" s="1628">
        <v>170.999</v>
      </c>
      <c r="D8" s="1629">
        <v>181.4143</v>
      </c>
      <c r="E8" s="1629">
        <v>191.955378695077</v>
      </c>
      <c r="F8" s="1628"/>
      <c r="G8" s="1628">
        <v>4.7416874029638345</v>
      </c>
      <c r="H8" s="1628">
        <v>3.3447284751416895</v>
      </c>
      <c r="I8" s="1628">
        <v>4.0408633407444716</v>
      </c>
    </row>
    <row r="9" spans="1:9">
      <c r="B9" s="1627" t="s">
        <v>608</v>
      </c>
      <c r="C9" s="1628">
        <v>81.787000000000006</v>
      </c>
      <c r="D9" s="1629">
        <v>88.801000000000002</v>
      </c>
      <c r="E9" s="1629">
        <v>92.963454514579425</v>
      </c>
      <c r="F9" s="1628"/>
      <c r="G9" s="1628">
        <v>4.7309570116496946</v>
      </c>
      <c r="H9" s="1628">
        <v>2.2477964739181733</v>
      </c>
      <c r="I9" s="1628">
        <v>3.4819287462590109</v>
      </c>
    </row>
    <row r="10" spans="1:9">
      <c r="B10" s="1627" t="s">
        <v>609</v>
      </c>
      <c r="C10" s="1628">
        <v>57.7</v>
      </c>
      <c r="D10" s="1629">
        <v>61.554000000000002</v>
      </c>
      <c r="E10" s="1629">
        <v>63.890121798296498</v>
      </c>
      <c r="F10" s="1630"/>
      <c r="G10" s="1628">
        <v>2.3087251277094101</v>
      </c>
      <c r="H10" s="1628">
        <v>1.3764306154111727</v>
      </c>
      <c r="I10" s="1628">
        <v>1.8415110564469428</v>
      </c>
    </row>
    <row r="11" spans="1:9">
      <c r="B11" s="1627" t="s">
        <v>610</v>
      </c>
      <c r="C11" s="1628">
        <v>19.013000000000002</v>
      </c>
      <c r="D11" s="1629">
        <v>20.778989000000003</v>
      </c>
      <c r="E11" s="1629">
        <v>20.581709610083944</v>
      </c>
      <c r="F11" s="1628"/>
      <c r="G11" s="1628">
        <v>-3.0891622255351803</v>
      </c>
      <c r="H11" s="1628">
        <v>-3.2576587813160529</v>
      </c>
      <c r="I11" s="1628">
        <v>-3.173447155411957</v>
      </c>
    </row>
    <row r="12" spans="1:9">
      <c r="B12" s="1631" t="s">
        <v>611</v>
      </c>
      <c r="C12" s="1628">
        <v>10.44</v>
      </c>
      <c r="D12" s="1629">
        <v>10.950554999999998</v>
      </c>
      <c r="E12" s="1629">
        <v>11.78082243466922</v>
      </c>
      <c r="F12" s="1630"/>
      <c r="G12" s="1628">
        <v>3.4436050892594494</v>
      </c>
      <c r="H12" s="1628">
        <v>5.074913099468259</v>
      </c>
      <c r="I12" s="1628">
        <v>4.2560684826051354</v>
      </c>
    </row>
    <row r="13" spans="1:9">
      <c r="B13" s="1631" t="s">
        <v>612</v>
      </c>
      <c r="C13" s="1628">
        <v>0.83699999999999997</v>
      </c>
      <c r="D13" s="1629">
        <v>0.92933200000000005</v>
      </c>
      <c r="E13" s="1629">
        <v>1.0159073875621336</v>
      </c>
      <c r="F13" s="1628"/>
      <c r="G13" s="1628">
        <v>8.4564861583283246</v>
      </c>
      <c r="H13" s="1628">
        <v>6.7684128888696238</v>
      </c>
      <c r="I13" s="1628">
        <v>7.6091394567783466</v>
      </c>
    </row>
    <row r="14" spans="1:9">
      <c r="B14" s="1631" t="s">
        <v>613</v>
      </c>
      <c r="C14" s="1628">
        <v>34.774999999999999</v>
      </c>
      <c r="D14" s="1629">
        <v>37.457000000000001</v>
      </c>
      <c r="E14" s="1629">
        <v>38.393456824155088</v>
      </c>
      <c r="F14" s="1628"/>
      <c r="G14" s="1628">
        <v>3.2202725985953418</v>
      </c>
      <c r="H14" s="1628">
        <v>0.11145779735739492</v>
      </c>
      <c r="I14" s="1628">
        <v>1.6539815456630524</v>
      </c>
    </row>
    <row r="15" spans="1:9">
      <c r="B15" s="1631" t="s">
        <v>614</v>
      </c>
      <c r="C15" s="1628">
        <v>2.81</v>
      </c>
      <c r="D15" s="1629">
        <v>2.7850850000000005</v>
      </c>
      <c r="E15" s="1629">
        <v>3.0319748088031693</v>
      </c>
      <c r="F15" s="1628"/>
      <c r="G15" s="1628">
        <v>-0.64610130530479148</v>
      </c>
      <c r="H15" s="1628">
        <v>6.3277672928488959</v>
      </c>
      <c r="I15" s="1628">
        <v>2.7817017763708707</v>
      </c>
    </row>
    <row r="16" spans="1:9">
      <c r="B16" s="1632" t="s">
        <v>615</v>
      </c>
      <c r="C16" s="1628">
        <v>7.6779999999999999</v>
      </c>
      <c r="D16" s="1629">
        <v>8.3937950000000008</v>
      </c>
      <c r="E16" s="1629">
        <v>8.273914185425383</v>
      </c>
      <c r="F16" s="1630"/>
      <c r="G16" s="1628">
        <v>5.1655443524005973</v>
      </c>
      <c r="H16" s="1628">
        <v>-3.7252911276776879</v>
      </c>
      <c r="I16" s="1628">
        <v>0.62197655545566111</v>
      </c>
    </row>
    <row r="17" spans="2:9">
      <c r="B17" s="1631" t="s">
        <v>616</v>
      </c>
      <c r="C17" s="1628">
        <v>9.58</v>
      </c>
      <c r="D17" s="1629">
        <v>12.4530438857467</v>
      </c>
      <c r="E17" s="1629">
        <v>14.318678198126205</v>
      </c>
      <c r="F17" s="1628"/>
      <c r="G17" s="1628">
        <v>8.0901750905963521</v>
      </c>
      <c r="H17" s="1628">
        <v>12.301865417232793</v>
      </c>
      <c r="I17" s="1628">
        <v>10.175897073494621</v>
      </c>
    </row>
    <row r="18" spans="2:9">
      <c r="B18" s="1633" t="s">
        <v>617</v>
      </c>
      <c r="C18" s="1628">
        <v>3.2549999999999999</v>
      </c>
      <c r="D18" s="1629">
        <v>3.7758590000000001</v>
      </c>
      <c r="E18" s="1629">
        <v>3.8392031708424694</v>
      </c>
      <c r="F18" s="1630"/>
      <c r="G18" s="1628">
        <v>16.303244730483748</v>
      </c>
      <c r="H18" s="1628">
        <v>-0.69185093553895127</v>
      </c>
      <c r="I18" s="1628">
        <v>7.4702747943605763</v>
      </c>
    </row>
    <row r="19" spans="2:9">
      <c r="B19" s="1634" t="s">
        <v>618</v>
      </c>
      <c r="C19" s="1628">
        <v>1.538</v>
      </c>
      <c r="D19" s="1629">
        <v>1.5483281000000002</v>
      </c>
      <c r="E19" s="1629">
        <v>1.5302281199317156</v>
      </c>
      <c r="F19" s="1628"/>
      <c r="G19" s="1628">
        <v>-1.5225753388692254</v>
      </c>
      <c r="H19" s="1628">
        <v>-3.4721256052590244</v>
      </c>
      <c r="I19" s="1628">
        <v>-2.5022232130024524</v>
      </c>
    </row>
    <row r="20" spans="2:9">
      <c r="B20" s="1635" t="s">
        <v>619</v>
      </c>
      <c r="C20" s="1628">
        <v>0.29099999999999998</v>
      </c>
      <c r="D20" s="1629">
        <v>0.38044</v>
      </c>
      <c r="E20" s="1629">
        <v>0.40257769925295872</v>
      </c>
      <c r="F20" s="1628"/>
      <c r="G20" s="1628">
        <v>22.237878930169085</v>
      </c>
      <c r="H20" s="1628">
        <v>3.3530031779672509</v>
      </c>
      <c r="I20" s="1628">
        <v>12.39951908054473</v>
      </c>
    </row>
    <row r="21" spans="2:9">
      <c r="B21" s="1634" t="s">
        <v>620</v>
      </c>
      <c r="C21" s="1628">
        <v>7.8949999999999996</v>
      </c>
      <c r="D21" s="1629">
        <v>8.2109880000000004</v>
      </c>
      <c r="E21" s="1629">
        <v>8.1939143093461411</v>
      </c>
      <c r="F21" s="1628"/>
      <c r="G21" s="1628">
        <v>1.2163622525599216</v>
      </c>
      <c r="H21" s="1628">
        <v>-2.533457442034126</v>
      </c>
      <c r="I21" s="1628">
        <v>-0.67624212177823662</v>
      </c>
    </row>
    <row r="22" spans="2:9">
      <c r="B22" s="1634" t="s">
        <v>621</v>
      </c>
      <c r="C22" s="1628">
        <v>1.298</v>
      </c>
      <c r="D22" s="1629">
        <v>1.5711480000000002</v>
      </c>
      <c r="E22" s="1629">
        <v>1.9166954936033707</v>
      </c>
      <c r="F22" s="1630"/>
      <c r="G22" s="1628">
        <v>18.738537349506366</v>
      </c>
      <c r="H22" s="1628">
        <v>19.150422038579549</v>
      </c>
      <c r="I22" s="1628">
        <v>8.7658572019343683</v>
      </c>
    </row>
    <row r="23" spans="2:9">
      <c r="B23" s="1634" t="s">
        <v>622</v>
      </c>
      <c r="C23" s="1628">
        <v>4.7409999999999997</v>
      </c>
      <c r="D23" s="1629">
        <v>4.8009349999999991</v>
      </c>
      <c r="E23" s="1629">
        <v>4.7785719303983898</v>
      </c>
      <c r="F23" s="1628"/>
      <c r="G23" s="1628">
        <v>-0.96063632062360904</v>
      </c>
      <c r="H23" s="1628">
        <v>-2.7853175842669442</v>
      </c>
      <c r="I23" s="1628">
        <v>-1.8772183091670502</v>
      </c>
    </row>
    <row r="24" spans="2:9">
      <c r="B24" s="1634" t="s">
        <v>623</v>
      </c>
      <c r="C24" s="1628">
        <v>1.6479999999999999</v>
      </c>
      <c r="D24" s="1629">
        <v>1.8168037499999998</v>
      </c>
      <c r="E24" s="1629">
        <v>1.8206971822051035</v>
      </c>
      <c r="F24" s="1630"/>
      <c r="G24" s="1628">
        <v>9.9342168267708697</v>
      </c>
      <c r="H24" s="1628">
        <v>-2.1210588378519191</v>
      </c>
      <c r="I24" s="1628">
        <v>3.7315995273105473</v>
      </c>
    </row>
    <row r="25" spans="2:9">
      <c r="B25" s="1627" t="s">
        <v>624</v>
      </c>
      <c r="C25" s="1628">
        <v>8.3989999999999991</v>
      </c>
      <c r="D25" s="1629">
        <v>8.9853930000000002</v>
      </c>
      <c r="E25" s="1629">
        <v>10.090303930845346</v>
      </c>
      <c r="F25" s="1628"/>
      <c r="G25" s="1628">
        <v>3.1761397875028186</v>
      </c>
      <c r="H25" s="1628">
        <v>9.6798205191733988</v>
      </c>
      <c r="I25" s="1628">
        <v>6.3782895790041261</v>
      </c>
    </row>
    <row r="26" spans="2:9">
      <c r="B26" s="1631" t="s">
        <v>625</v>
      </c>
      <c r="C26" s="1628">
        <v>5.9690000000000003</v>
      </c>
      <c r="D26" s="1629">
        <v>5.2190000000000003</v>
      </c>
      <c r="E26" s="1629">
        <v>5.8411738618757596</v>
      </c>
      <c r="F26" s="1628"/>
      <c r="G26" s="1628">
        <v>-0.90997638563704575</v>
      </c>
      <c r="H26" s="1628">
        <v>9.3131467757884501</v>
      </c>
      <c r="I26" s="1628">
        <v>4.0761370121566332</v>
      </c>
    </row>
    <row r="27" spans="2:9">
      <c r="B27" s="1631" t="s">
        <v>626</v>
      </c>
      <c r="C27" s="1628">
        <v>0.35599999999999998</v>
      </c>
      <c r="D27" s="1629">
        <v>0.33525699999999997</v>
      </c>
      <c r="E27" s="1629">
        <v>0.37481534889648421</v>
      </c>
      <c r="F27" s="1628"/>
      <c r="G27" s="1628">
        <v>-7.07903343848918</v>
      </c>
      <c r="H27" s="1628">
        <v>9.1940747893861197</v>
      </c>
      <c r="I27" s="1628">
        <v>0.72943448773878927</v>
      </c>
    </row>
    <row r="28" spans="2:9">
      <c r="B28" s="1631" t="s">
        <v>627</v>
      </c>
      <c r="C28" s="1628">
        <v>0.90800000000000003</v>
      </c>
      <c r="D28" s="1629">
        <v>0.82978599999999991</v>
      </c>
      <c r="E28" s="1629">
        <v>0.8306902005208181</v>
      </c>
      <c r="F28" s="1630"/>
      <c r="G28" s="1628">
        <v>-6.8949152306781887</v>
      </c>
      <c r="H28" s="1628">
        <v>-2.2239374679150381</v>
      </c>
      <c r="I28" s="1628">
        <v>-7.4084110466800741</v>
      </c>
    </row>
    <row r="29" spans="2:9">
      <c r="B29" s="1631" t="s">
        <v>628</v>
      </c>
      <c r="C29" s="1628">
        <v>37.447000000000003</v>
      </c>
      <c r="D29" s="1629">
        <v>39.2706351206959</v>
      </c>
      <c r="E29" s="1629">
        <v>41.141498976928915</v>
      </c>
      <c r="F29" s="1628"/>
      <c r="G29" s="1628">
        <v>2.245038856945869</v>
      </c>
      <c r="H29" s="1628">
        <v>2.3226421867391656</v>
      </c>
      <c r="I29" s="1628">
        <v>2.28383316208145</v>
      </c>
    </row>
    <row r="30" spans="2:9">
      <c r="B30" s="1631" t="s">
        <v>629</v>
      </c>
      <c r="C30" s="1628">
        <v>16.420999999999999</v>
      </c>
      <c r="D30" s="1629">
        <v>16.865378305510571</v>
      </c>
      <c r="E30" s="1629">
        <v>17.681040423202624</v>
      </c>
      <c r="F30" s="1630"/>
      <c r="G30" s="1628">
        <v>0.15424942409105746</v>
      </c>
      <c r="H30" s="1628">
        <v>2.3932410524733827</v>
      </c>
      <c r="I30" s="1628">
        <v>1.2675575083674007</v>
      </c>
    </row>
    <row r="31" spans="2:9">
      <c r="B31" s="1631" t="s">
        <v>630</v>
      </c>
      <c r="C31" s="1628">
        <v>14.803000000000001</v>
      </c>
      <c r="D31" s="1629">
        <v>15.234796389204138</v>
      </c>
      <c r="E31" s="1629">
        <v>16.04633786737336</v>
      </c>
      <c r="F31" s="1628"/>
      <c r="G31" s="1628">
        <v>0.18280245020012575</v>
      </c>
      <c r="H31" s="1628">
        <v>2.8723919878771431</v>
      </c>
      <c r="I31" s="1628">
        <v>1.5186905160869513</v>
      </c>
    </row>
    <row r="32" spans="2:9">
      <c r="B32" s="1631" t="s">
        <v>631</v>
      </c>
      <c r="C32" s="1636">
        <v>2.379</v>
      </c>
      <c r="D32" s="1629">
        <v>2.640269</v>
      </c>
      <c r="E32" s="1629">
        <v>2.8100179999999995</v>
      </c>
      <c r="F32" s="1628"/>
      <c r="G32" s="1628">
        <v>9.7095024491571138</v>
      </c>
      <c r="H32" s="1628">
        <v>3.9490406086174268</v>
      </c>
      <c r="I32" s="1628">
        <v>6.7904374241375853</v>
      </c>
    </row>
    <row r="33" spans="2:9">
      <c r="B33" s="1631" t="s">
        <v>632</v>
      </c>
      <c r="C33" s="1628">
        <v>0</v>
      </c>
      <c r="D33" s="1629">
        <v>0</v>
      </c>
      <c r="E33" s="1629">
        <v>0.19</v>
      </c>
      <c r="F33" s="1628"/>
      <c r="G33" s="1628" t="s">
        <v>531</v>
      </c>
      <c r="H33" s="1628" t="s">
        <v>531</v>
      </c>
      <c r="I33" s="1637" t="s">
        <v>531</v>
      </c>
    </row>
    <row r="34" spans="2:9">
      <c r="B34" s="1631" t="s">
        <v>633</v>
      </c>
      <c r="C34" s="1628">
        <v>0</v>
      </c>
      <c r="D34" s="1629">
        <v>0</v>
      </c>
      <c r="E34" s="1629">
        <v>4.7435953963060928</v>
      </c>
      <c r="F34" s="1628"/>
      <c r="G34" s="1628" t="s">
        <v>531</v>
      </c>
      <c r="H34" s="1628" t="s">
        <v>531</v>
      </c>
      <c r="I34" s="1637" t="s">
        <v>531</v>
      </c>
    </row>
    <row r="35" spans="2:9">
      <c r="B35" s="1638" t="s">
        <v>634</v>
      </c>
      <c r="C35" s="1628">
        <v>0</v>
      </c>
      <c r="D35" s="1639">
        <v>0</v>
      </c>
      <c r="E35" s="1629">
        <v>4.0653952947770602</v>
      </c>
      <c r="F35" s="1640"/>
      <c r="G35" s="1628" t="s">
        <v>531</v>
      </c>
      <c r="H35" s="1628" t="s">
        <v>531</v>
      </c>
      <c r="I35" s="1637" t="s">
        <v>531</v>
      </c>
    </row>
    <row r="36" spans="2:9">
      <c r="B36" s="1641" t="s">
        <v>635</v>
      </c>
      <c r="C36" s="1642">
        <v>452.16400000000004</v>
      </c>
      <c r="D36" s="1643">
        <v>484.1633345511575</v>
      </c>
      <c r="E36" s="1643">
        <v>517.15601954937529</v>
      </c>
      <c r="F36" s="1644"/>
      <c r="G36" s="1642">
        <v>3.4989137965904415</v>
      </c>
      <c r="H36" s="1642">
        <v>4.3252050047827062</v>
      </c>
      <c r="I36" s="1645">
        <v>3.9877269980081564</v>
      </c>
    </row>
    <row r="37" spans="2:9" ht="49.5" customHeight="1" thickBot="1">
      <c r="B37" s="1802" t="s">
        <v>636</v>
      </c>
      <c r="C37" s="1802"/>
      <c r="D37" s="1802"/>
      <c r="E37" s="1802"/>
      <c r="F37" s="1802"/>
      <c r="G37" s="1802"/>
      <c r="H37" s="1802"/>
      <c r="I37" s="1803"/>
    </row>
    <row r="39" spans="2:9">
      <c r="B39" s="1797" t="s">
        <v>637</v>
      </c>
      <c r="C39" s="1797"/>
      <c r="D39" s="1797"/>
      <c r="E39" s="1797"/>
      <c r="F39" s="1797"/>
      <c r="G39" s="1797"/>
      <c r="H39" s="1797"/>
      <c r="I39" s="1797"/>
    </row>
    <row r="40" spans="2:9">
      <c r="B40" s="1797"/>
      <c r="C40" s="1797"/>
      <c r="D40" s="1797"/>
      <c r="E40" s="1797"/>
      <c r="F40" s="1797"/>
      <c r="G40" s="1797"/>
      <c r="H40" s="1797"/>
      <c r="I40" s="1797"/>
    </row>
    <row r="41" spans="2:9">
      <c r="B41" s="1797"/>
      <c r="C41" s="1797"/>
      <c r="D41" s="1797"/>
      <c r="E41" s="1797"/>
      <c r="F41" s="1797"/>
      <c r="G41" s="1797"/>
      <c r="H41" s="1797"/>
      <c r="I41" s="1797"/>
    </row>
    <row r="42" spans="2:9">
      <c r="B42" s="1797"/>
      <c r="C42" s="1797"/>
      <c r="D42" s="1797"/>
      <c r="E42" s="1797"/>
      <c r="F42" s="1797"/>
      <c r="G42" s="1797"/>
      <c r="H42" s="1797"/>
      <c r="I42" s="1797"/>
    </row>
  </sheetData>
  <mergeCells count="6">
    <mergeCell ref="B39:I42"/>
    <mergeCell ref="C4:E4"/>
    <mergeCell ref="G4:I4"/>
    <mergeCell ref="D5:E5"/>
    <mergeCell ref="G5:I5"/>
    <mergeCell ref="B37:I37"/>
  </mergeCells>
  <hyperlinks>
    <hyperlink ref="A1" location="Contents!A1" display="Contents!A1" xr:uid="{EC63567D-828E-4467-9C41-1E491D09562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B5760-D98A-4B1A-9FC4-21D744969C07}">
  <dimension ref="A1:I41"/>
  <sheetViews>
    <sheetView showGridLines="0" zoomScaleNormal="100" workbookViewId="0"/>
  </sheetViews>
  <sheetFormatPr defaultColWidth="9.1796875" defaultRowHeight="13"/>
  <cols>
    <col min="1" max="1" width="9.1796875" style="1614"/>
    <col min="2" max="2" width="33.81640625" style="1614" customWidth="1"/>
    <col min="3" max="5" width="9" style="1614" customWidth="1"/>
    <col min="6" max="6" width="2.453125" style="1614" customWidth="1"/>
    <col min="7" max="8" width="9" style="1614" customWidth="1"/>
    <col min="9" max="9" width="10.453125" style="1614" customWidth="1"/>
    <col min="10" max="16384" width="9.1796875" style="1614"/>
  </cols>
  <sheetData>
    <row r="1" spans="1:9" ht="40" customHeight="1">
      <c r="A1" s="1613" t="s">
        <v>598</v>
      </c>
    </row>
    <row r="2" spans="1:9" ht="17">
      <c r="B2" s="1615" t="s">
        <v>638</v>
      </c>
    </row>
    <row r="3" spans="1:9" ht="13.5" thickBot="1">
      <c r="B3" s="1616"/>
      <c r="C3" s="1617"/>
      <c r="D3" s="1617"/>
      <c r="E3" s="1618"/>
      <c r="F3" s="1618"/>
      <c r="G3" s="1618"/>
      <c r="H3" s="1618"/>
      <c r="I3" s="1618"/>
    </row>
    <row r="4" spans="1:9">
      <c r="B4" s="1619"/>
      <c r="C4" s="1798" t="s">
        <v>601</v>
      </c>
      <c r="D4" s="1798"/>
      <c r="E4" s="1798"/>
      <c r="F4" s="1620"/>
      <c r="G4" s="1798" t="s">
        <v>602</v>
      </c>
      <c r="H4" s="1798"/>
      <c r="I4" s="1799"/>
    </row>
    <row r="5" spans="1:9">
      <c r="B5" s="1619"/>
      <c r="C5" s="1621" t="s">
        <v>603</v>
      </c>
      <c r="D5" s="1800" t="s">
        <v>604</v>
      </c>
      <c r="E5" s="1800"/>
      <c r="F5" s="1622"/>
      <c r="G5" s="1800" t="s">
        <v>605</v>
      </c>
      <c r="H5" s="1800"/>
      <c r="I5" s="1801"/>
    </row>
    <row r="6" spans="1:9" ht="39">
      <c r="B6" s="1623"/>
      <c r="C6" s="1624" t="s">
        <v>173</v>
      </c>
      <c r="D6" s="1625" t="s">
        <v>174</v>
      </c>
      <c r="E6" s="1625" t="s">
        <v>139</v>
      </c>
      <c r="F6" s="1625"/>
      <c r="G6" s="1625" t="s">
        <v>174</v>
      </c>
      <c r="H6" s="1625" t="s">
        <v>139</v>
      </c>
      <c r="I6" s="1626" t="s">
        <v>639</v>
      </c>
    </row>
    <row r="7" spans="1:9">
      <c r="B7" s="1627" t="s">
        <v>231</v>
      </c>
      <c r="C7" s="1628">
        <v>10.542</v>
      </c>
      <c r="D7" s="1628">
        <v>11.775707000000001</v>
      </c>
      <c r="E7" s="1628">
        <v>13.596952494293854</v>
      </c>
      <c r="F7" s="1628"/>
      <c r="G7" s="1628">
        <v>9.1117398856995102</v>
      </c>
      <c r="H7" s="1628">
        <v>12.775341062294942</v>
      </c>
      <c r="I7" s="1628">
        <v>10.928416916091299</v>
      </c>
    </row>
    <row r="8" spans="1:9">
      <c r="B8" s="1627" t="s">
        <v>608</v>
      </c>
      <c r="C8" s="1628">
        <v>6.1550000000000002</v>
      </c>
      <c r="D8" s="1628">
        <v>5.5207199999999998</v>
      </c>
      <c r="E8" s="1628">
        <v>6.7409999999999997</v>
      </c>
      <c r="F8" s="1628"/>
      <c r="G8" s="1628">
        <v>-12.385665666396273</v>
      </c>
      <c r="H8" s="1628">
        <v>19.25817693466265</v>
      </c>
      <c r="I8" s="1628">
        <v>2.2190089267627444</v>
      </c>
    </row>
    <row r="9" spans="1:9">
      <c r="B9" s="1627" t="s">
        <v>610</v>
      </c>
      <c r="C9" s="1628">
        <v>1.298</v>
      </c>
      <c r="D9" s="1628">
        <v>1.8591070000000001</v>
      </c>
      <c r="E9" s="1628">
        <v>1.506</v>
      </c>
      <c r="F9" s="1628"/>
      <c r="G9" s="1628">
        <v>39.906275569026725</v>
      </c>
      <c r="H9" s="1628">
        <v>-20.881117249719349</v>
      </c>
      <c r="I9" s="1628">
        <v>5.2103997367858979</v>
      </c>
    </row>
    <row r="10" spans="1:9">
      <c r="B10" s="1631" t="s">
        <v>611</v>
      </c>
      <c r="C10" s="1628">
        <v>1.4530000000000001</v>
      </c>
      <c r="D10" s="1628">
        <v>1.768451</v>
      </c>
      <c r="E10" s="1628">
        <v>2.0099999999999998</v>
      </c>
      <c r="F10" s="1630"/>
      <c r="G10" s="1628">
        <v>18.887150632735295</v>
      </c>
      <c r="H10" s="1628">
        <v>11.010123702739794</v>
      </c>
      <c r="I10" s="1628">
        <v>14.88114422483009</v>
      </c>
    </row>
    <row r="11" spans="1:9">
      <c r="B11" s="1631" t="s">
        <v>612</v>
      </c>
      <c r="C11" s="1628">
        <v>3.7999999999999999E-2</v>
      </c>
      <c r="D11" s="1628">
        <v>9.7647756240796219E-2</v>
      </c>
      <c r="E11" s="1628">
        <v>6.6700000000000009E-2</v>
      </c>
      <c r="F11" s="1628"/>
      <c r="G11" s="1628" t="s">
        <v>531</v>
      </c>
      <c r="H11" s="1628">
        <v>7.072939819743107</v>
      </c>
      <c r="I11" s="1628">
        <v>2.4424304438600331</v>
      </c>
    </row>
    <row r="12" spans="1:9">
      <c r="B12" s="1631" t="s">
        <v>613</v>
      </c>
      <c r="C12" s="1628">
        <v>19.126999999999999</v>
      </c>
      <c r="D12" s="1628">
        <v>19.453906</v>
      </c>
      <c r="E12" s="1628">
        <v>21.44</v>
      </c>
      <c r="F12" s="1630"/>
      <c r="G12" s="1628">
        <v>-0.65009481066536923</v>
      </c>
      <c r="H12" s="1628">
        <v>7.6409515002880291</v>
      </c>
      <c r="I12" s="1628">
        <v>3.4123702757236973</v>
      </c>
    </row>
    <row r="13" spans="1:9">
      <c r="B13" s="1631" t="s">
        <v>640</v>
      </c>
      <c r="C13" s="1628">
        <v>0</v>
      </c>
      <c r="D13" s="1628">
        <v>0.752</v>
      </c>
      <c r="E13" s="1628">
        <v>0.78135707173028446</v>
      </c>
      <c r="F13" s="1630"/>
      <c r="G13" s="1628" t="s">
        <v>531</v>
      </c>
      <c r="H13" s="1628" t="s">
        <v>531</v>
      </c>
      <c r="I13" s="1628" t="s">
        <v>531</v>
      </c>
    </row>
    <row r="14" spans="1:9">
      <c r="B14" s="1631" t="s">
        <v>614</v>
      </c>
      <c r="C14" s="1628">
        <v>1.3720000000000001</v>
      </c>
      <c r="D14" s="1628">
        <v>1.3695930000000001</v>
      </c>
      <c r="E14" s="1628">
        <v>1.4878789045980627</v>
      </c>
      <c r="F14" s="1628"/>
      <c r="G14" s="1628">
        <v>-2.4909516118329811</v>
      </c>
      <c r="H14" s="1628">
        <v>6.1049435841528554</v>
      </c>
      <c r="I14" s="1628">
        <v>1.7162331104081607</v>
      </c>
    </row>
    <row r="15" spans="1:9">
      <c r="B15" s="1631" t="s">
        <v>615</v>
      </c>
      <c r="C15" s="1628">
        <v>3.4350000000000001</v>
      </c>
      <c r="D15" s="1628">
        <v>2.8279999999999998</v>
      </c>
      <c r="E15" s="1628">
        <v>3.9180000000000001</v>
      </c>
      <c r="F15" s="1628"/>
      <c r="G15" s="1628">
        <v>-19.580722774510807</v>
      </c>
      <c r="H15" s="1628">
        <v>35.314577751027862</v>
      </c>
      <c r="I15" s="1628">
        <v>4.3163483870573449</v>
      </c>
    </row>
    <row r="16" spans="1:9">
      <c r="B16" s="1631" t="s">
        <v>641</v>
      </c>
      <c r="C16" s="1628">
        <v>6.8479999999999999</v>
      </c>
      <c r="D16" s="1628">
        <v>8.520719999999999</v>
      </c>
      <c r="E16" s="1628">
        <v>8.7999999999999989</v>
      </c>
      <c r="F16" s="1628"/>
      <c r="G16" s="1628">
        <v>21.540227321094285</v>
      </c>
      <c r="H16" s="1628">
        <v>0.8709098413411942</v>
      </c>
      <c r="I16" s="1628">
        <v>10.724312200176778</v>
      </c>
    </row>
    <row r="17" spans="2:9">
      <c r="B17" s="1634" t="s">
        <v>618</v>
      </c>
      <c r="C17" s="1628">
        <v>0.53</v>
      </c>
      <c r="D17" s="1628">
        <v>0.82540199999999997</v>
      </c>
      <c r="E17" s="1628">
        <v>0.74970000000000003</v>
      </c>
      <c r="F17" s="1630"/>
      <c r="G17" s="1628">
        <v>52.123794277391553</v>
      </c>
      <c r="H17" s="1628">
        <v>-11.288166754473238</v>
      </c>
      <c r="I17" s="1628">
        <v>16.168759443375215</v>
      </c>
    </row>
    <row r="18" spans="2:9">
      <c r="B18" s="1635" t="s">
        <v>619</v>
      </c>
      <c r="C18" s="1628">
        <v>12.364000000000001</v>
      </c>
      <c r="D18" s="1628">
        <v>13.307763000000001</v>
      </c>
      <c r="E18" s="1628">
        <v>14.6592</v>
      </c>
      <c r="F18" s="1628"/>
      <c r="G18" s="1628">
        <v>5.1365116253165644</v>
      </c>
      <c r="H18" s="1628">
        <v>7.588232390265226</v>
      </c>
      <c r="I18" s="1628">
        <v>6.355307556540768</v>
      </c>
    </row>
    <row r="19" spans="2:9">
      <c r="B19" s="1634" t="s">
        <v>620</v>
      </c>
      <c r="C19" s="1628">
        <v>22.143000000000001</v>
      </c>
      <c r="D19" s="1628">
        <v>20.605081999999999</v>
      </c>
      <c r="E19" s="1628">
        <v>21.783999999999999</v>
      </c>
      <c r="F19" s="1630"/>
      <c r="G19" s="1628">
        <v>-9.1038708639278987</v>
      </c>
      <c r="H19" s="1628">
        <v>3.2577936997078671</v>
      </c>
      <c r="I19" s="1628">
        <v>-3.120003352422962</v>
      </c>
    </row>
    <row r="20" spans="2:9">
      <c r="B20" s="1634" t="s">
        <v>642</v>
      </c>
      <c r="C20" s="1628">
        <v>5.1269999999999998</v>
      </c>
      <c r="D20" s="1628">
        <v>7.4728589999999997</v>
      </c>
      <c r="E20" s="1628">
        <v>8.4205029125025685</v>
      </c>
      <c r="F20" s="1628"/>
      <c r="G20" s="1628">
        <v>42.374093622053088</v>
      </c>
      <c r="H20" s="1628">
        <v>10.055259610300048</v>
      </c>
      <c r="I20" s="1628">
        <v>25.175947511317908</v>
      </c>
    </row>
    <row r="21" spans="2:9">
      <c r="B21" s="1634" t="s">
        <v>643</v>
      </c>
      <c r="C21" s="1636" t="s">
        <v>531</v>
      </c>
      <c r="D21" s="1628">
        <v>1.365</v>
      </c>
      <c r="E21" s="1628">
        <v>3.7136271179999998</v>
      </c>
      <c r="F21" s="1628"/>
      <c r="G21" s="1636" t="s">
        <v>531</v>
      </c>
      <c r="H21" s="1628" t="s">
        <v>531</v>
      </c>
      <c r="I21" s="1628" t="s">
        <v>531</v>
      </c>
    </row>
    <row r="22" spans="2:9">
      <c r="B22" s="1634" t="s">
        <v>622</v>
      </c>
      <c r="C22" s="1636">
        <v>2.0550000000000002</v>
      </c>
      <c r="D22" s="1628">
        <v>2.2844209999999996</v>
      </c>
      <c r="E22" s="1628">
        <v>2.7330000000000001</v>
      </c>
      <c r="F22" s="1628"/>
      <c r="G22" s="1636">
        <v>8.585495991619263</v>
      </c>
      <c r="H22" s="1628">
        <v>16.848474790705591</v>
      </c>
      <c r="I22" s="1628">
        <v>12.641242850977918</v>
      </c>
    </row>
    <row r="23" spans="2:9">
      <c r="B23" s="1634" t="s">
        <v>623</v>
      </c>
      <c r="C23" s="1636">
        <v>0.96399999999999997</v>
      </c>
      <c r="D23" s="1628">
        <v>1.7189999999999999</v>
      </c>
      <c r="E23" s="1628">
        <v>1.45</v>
      </c>
      <c r="F23" s="1628"/>
      <c r="G23" s="1636">
        <v>74.183231953716302</v>
      </c>
      <c r="H23" s="1628">
        <v>6.0831230345423482</v>
      </c>
      <c r="I23" s="1628">
        <v>19.79233081767946</v>
      </c>
    </row>
    <row r="24" spans="2:9">
      <c r="B24" s="1627" t="s">
        <v>624</v>
      </c>
      <c r="C24" s="1636">
        <v>0.63200000000000001</v>
      </c>
      <c r="D24" s="1628">
        <v>0.72227149797110779</v>
      </c>
      <c r="E24" s="1628">
        <v>0.73099999999999976</v>
      </c>
      <c r="F24" s="1630"/>
      <c r="G24" s="1636">
        <v>11.632564235104926</v>
      </c>
      <c r="H24" s="1628">
        <v>-1.1500486591114134</v>
      </c>
      <c r="I24" s="1628">
        <v>5.0470063481046656</v>
      </c>
    </row>
    <row r="25" spans="2:9">
      <c r="B25" s="1631" t="s">
        <v>625</v>
      </c>
      <c r="C25" s="1636">
        <v>0.72499999999999998</v>
      </c>
      <c r="D25" s="1628">
        <v>0.69774199999999997</v>
      </c>
      <c r="E25" s="1628">
        <v>0.87172099999999975</v>
      </c>
      <c r="F25" s="1628"/>
      <c r="G25" s="1636">
        <v>-5.9920978987981428</v>
      </c>
      <c r="H25" s="1628">
        <v>22.023141778371368</v>
      </c>
      <c r="I25" s="1628">
        <v>7.1034059513618297</v>
      </c>
    </row>
    <row r="26" spans="2:9">
      <c r="B26" s="1631" t="s">
        <v>626</v>
      </c>
      <c r="C26" s="1636">
        <v>1E-3</v>
      </c>
      <c r="D26" s="1628">
        <v>1.7067999999999972E-2</v>
      </c>
      <c r="E26" s="1628">
        <v>7.5567999999999982E-2</v>
      </c>
      <c r="F26" s="1630"/>
      <c r="G26" s="1636" t="s">
        <v>531</v>
      </c>
      <c r="H26" s="1628" t="s">
        <v>531</v>
      </c>
      <c r="I26" s="1628" t="s">
        <v>531</v>
      </c>
    </row>
    <row r="27" spans="2:9">
      <c r="B27" s="1631" t="s">
        <v>627</v>
      </c>
      <c r="C27" s="1628">
        <v>0.43099999999999999</v>
      </c>
      <c r="D27" s="1628">
        <v>0.40055200000000019</v>
      </c>
      <c r="E27" s="1628">
        <v>0.54349600000000009</v>
      </c>
      <c r="F27" s="1628"/>
      <c r="G27" s="1628" t="s">
        <v>531</v>
      </c>
      <c r="H27" s="1628">
        <v>0.50887885310029191</v>
      </c>
      <c r="I27" s="1628">
        <v>-1.1063557729869222</v>
      </c>
    </row>
    <row r="28" spans="2:9">
      <c r="B28" s="1631" t="s">
        <v>628</v>
      </c>
      <c r="C28" s="1628">
        <v>5.9669999999999996</v>
      </c>
      <c r="D28" s="1628">
        <v>5.9708679768149571</v>
      </c>
      <c r="E28" s="1628">
        <v>6.5458020538863746</v>
      </c>
      <c r="F28" s="1628"/>
      <c r="G28" s="1628">
        <v>-2.2562645230524869</v>
      </c>
      <c r="H28" s="1628">
        <v>7.07422992793727</v>
      </c>
      <c r="I28" s="1637">
        <v>2.3026647085703011</v>
      </c>
    </row>
    <row r="29" spans="2:9">
      <c r="B29" s="1631" t="s">
        <v>629</v>
      </c>
      <c r="C29" s="1628">
        <v>3.125</v>
      </c>
      <c r="D29" s="1628">
        <v>3.2063288921744291</v>
      </c>
      <c r="E29" s="1628">
        <v>3.3613822359169303</v>
      </c>
      <c r="F29" s="1628"/>
      <c r="G29" s="1628">
        <v>-2.2562645230524869</v>
      </c>
      <c r="H29" s="1628">
        <v>2.3927936413707052</v>
      </c>
      <c r="I29" s="1637">
        <v>1.3018718785920091</v>
      </c>
    </row>
    <row r="30" spans="2:9">
      <c r="B30" s="1631" t="s">
        <v>630</v>
      </c>
      <c r="C30" s="1628">
        <v>2.109</v>
      </c>
      <c r="D30" s="1628">
        <v>2.0150787500564151</v>
      </c>
      <c r="E30" s="1628">
        <v>2.1986039626084888</v>
      </c>
      <c r="F30" s="1630"/>
      <c r="G30" s="1647">
        <v>-6.6696390878775329</v>
      </c>
      <c r="H30" s="1647">
        <v>6.5649887175794674</v>
      </c>
      <c r="I30" s="1648">
        <v>-0.2716246116084009</v>
      </c>
    </row>
    <row r="31" spans="2:9">
      <c r="B31" s="1631" t="s">
        <v>631</v>
      </c>
      <c r="C31" s="1628">
        <v>0.32200000000000001</v>
      </c>
      <c r="D31" s="1628">
        <v>0.38880000000000003</v>
      </c>
      <c r="E31" s="1628">
        <v>0.40538600000000002</v>
      </c>
      <c r="F31" s="1628"/>
      <c r="G31" s="1628">
        <v>17.944552340836495</v>
      </c>
      <c r="H31" s="1628">
        <v>1.836168300042762</v>
      </c>
      <c r="I31" s="1637">
        <v>9.5948049966540605</v>
      </c>
    </row>
    <row r="32" spans="2:9">
      <c r="B32" s="1638" t="s">
        <v>634</v>
      </c>
      <c r="C32" s="1628">
        <v>0</v>
      </c>
      <c r="D32" s="1628">
        <v>2.8475806503255963</v>
      </c>
      <c r="E32" s="1628">
        <v>2.6945763181937048</v>
      </c>
      <c r="F32" s="1630"/>
      <c r="G32" s="1628" t="s">
        <v>531</v>
      </c>
      <c r="H32" s="1628" t="s">
        <v>531</v>
      </c>
      <c r="I32" s="1637" t="s">
        <v>531</v>
      </c>
    </row>
    <row r="33" spans="2:9">
      <c r="B33" s="1638" t="s">
        <v>644</v>
      </c>
      <c r="C33" s="1628">
        <v>0</v>
      </c>
      <c r="D33" s="1649">
        <v>-1.1759999999999999</v>
      </c>
      <c r="E33" s="1649">
        <v>0</v>
      </c>
      <c r="F33" s="1630"/>
      <c r="G33" s="1628" t="s">
        <v>531</v>
      </c>
      <c r="H33" s="1628" t="s">
        <v>531</v>
      </c>
      <c r="I33" s="1637" t="s">
        <v>531</v>
      </c>
    </row>
    <row r="34" spans="2:9">
      <c r="B34" s="1641" t="s">
        <v>645</v>
      </c>
      <c r="C34" s="1642">
        <v>106.764</v>
      </c>
      <c r="D34" s="1642">
        <v>116.6156685235833</v>
      </c>
      <c r="E34" s="1642">
        <v>131.25676399999998</v>
      </c>
      <c r="F34" s="1644"/>
      <c r="G34" s="1642">
        <v>6.6938953896393816</v>
      </c>
      <c r="H34" s="1642">
        <v>9.9320550813166477</v>
      </c>
      <c r="I34" s="1645">
        <v>8.3013806269952575</v>
      </c>
    </row>
    <row r="35" spans="2:9" ht="35.25" customHeight="1" thickBot="1">
      <c r="B35" s="1802" t="s">
        <v>646</v>
      </c>
      <c r="C35" s="1802"/>
      <c r="D35" s="1802"/>
      <c r="E35" s="1802"/>
      <c r="F35" s="1802"/>
      <c r="G35" s="1802"/>
      <c r="H35" s="1802"/>
      <c r="I35" s="1803"/>
    </row>
    <row r="36" spans="2:9" ht="14.25" customHeight="1"/>
    <row r="37" spans="2:9" ht="13.5" customHeight="1">
      <c r="B37" s="1797" t="s">
        <v>647</v>
      </c>
      <c r="C37" s="1797"/>
      <c r="D37" s="1797"/>
      <c r="E37" s="1797"/>
      <c r="F37" s="1797"/>
      <c r="G37" s="1797"/>
      <c r="H37" s="1797"/>
      <c r="I37" s="1797"/>
    </row>
    <row r="38" spans="2:9">
      <c r="B38" s="1797"/>
      <c r="C38" s="1797"/>
      <c r="D38" s="1797"/>
      <c r="E38" s="1797"/>
      <c r="F38" s="1797"/>
      <c r="G38" s="1797"/>
      <c r="H38" s="1797"/>
      <c r="I38" s="1797"/>
    </row>
    <row r="39" spans="2:9">
      <c r="B39" s="1797"/>
      <c r="C39" s="1797"/>
      <c r="D39" s="1797"/>
      <c r="E39" s="1797"/>
      <c r="F39" s="1797"/>
      <c r="G39" s="1797"/>
      <c r="H39" s="1797"/>
      <c r="I39" s="1797"/>
    </row>
    <row r="40" spans="2:9">
      <c r="B40" s="1797"/>
      <c r="C40" s="1797"/>
      <c r="D40" s="1797"/>
      <c r="E40" s="1797"/>
      <c r="F40" s="1797"/>
      <c r="G40" s="1797"/>
      <c r="H40" s="1797"/>
      <c r="I40" s="1797"/>
    </row>
    <row r="41" spans="2:9">
      <c r="B41" s="1797"/>
      <c r="C41" s="1797"/>
      <c r="D41" s="1797"/>
      <c r="E41" s="1797"/>
      <c r="F41" s="1797"/>
      <c r="G41" s="1797"/>
      <c r="H41" s="1797"/>
      <c r="I41" s="1797"/>
    </row>
  </sheetData>
  <mergeCells count="6">
    <mergeCell ref="B37:I41"/>
    <mergeCell ref="C4:E4"/>
    <mergeCell ref="G4:I4"/>
    <mergeCell ref="D5:E5"/>
    <mergeCell ref="G5:I5"/>
    <mergeCell ref="B35:I35"/>
  </mergeCells>
  <hyperlinks>
    <hyperlink ref="A1" location="Contents!A1" display="Contents!A1" xr:uid="{C359629B-F2C6-4288-978E-338A4521178A}"/>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67889-0F72-43A2-955C-A023116FBC73}">
  <dimension ref="A1"/>
  <sheetViews>
    <sheetView workbookViewId="0">
      <selection activeCell="O30" sqref="O30"/>
    </sheetView>
  </sheetViews>
  <sheetFormatPr defaultRowHeight="14.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FDC0B-5903-43FF-B630-25771F48D863}">
  <sheetPr>
    <tabColor theme="1"/>
  </sheetPr>
  <dimension ref="A1"/>
  <sheetViews>
    <sheetView workbookViewId="0">
      <selection activeCell="C23" sqref="C23"/>
    </sheetView>
  </sheetViews>
  <sheetFormatPr defaultRowHeight="14.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0FB6-5F2E-46AE-BD5C-8E8AE966D563}">
  <dimension ref="A1:E26"/>
  <sheetViews>
    <sheetView workbookViewId="0">
      <selection activeCell="I19" sqref="I19"/>
    </sheetView>
  </sheetViews>
  <sheetFormatPr defaultColWidth="8.453125" defaultRowHeight="14"/>
  <cols>
    <col min="1" max="1" width="21.81640625" style="1211" customWidth="1"/>
    <col min="2" max="5" width="8.7265625" style="1211" bestFit="1" customWidth="1"/>
    <col min="6" max="16384" width="8.453125" style="1211"/>
  </cols>
  <sheetData>
    <row r="1" spans="1:5" ht="18">
      <c r="A1" s="1210" t="s">
        <v>648</v>
      </c>
    </row>
    <row r="2" spans="1:5">
      <c r="A2" s="1212" t="s">
        <v>38</v>
      </c>
    </row>
    <row r="3" spans="1:5">
      <c r="A3" s="1212" t="s">
        <v>649</v>
      </c>
    </row>
    <row r="5" spans="1:5">
      <c r="A5" s="1211" t="s">
        <v>650</v>
      </c>
    </row>
    <row r="6" spans="1:5">
      <c r="A6" s="1212" t="s">
        <v>651</v>
      </c>
    </row>
    <row r="7" spans="1:5">
      <c r="A7" s="1213" t="s">
        <v>652</v>
      </c>
    </row>
    <row r="9" spans="1:5">
      <c r="A9" s="1211" t="s">
        <v>653</v>
      </c>
      <c r="B9" s="1211" t="s">
        <v>300</v>
      </c>
      <c r="C9" s="1211" t="s">
        <v>274</v>
      </c>
      <c r="D9" s="1211" t="s">
        <v>275</v>
      </c>
      <c r="E9" s="1211" t="s">
        <v>276</v>
      </c>
    </row>
    <row r="10" spans="1:5" ht="14.5">
      <c r="A10" s="1212" t="s">
        <v>202</v>
      </c>
      <c r="B10" s="1262">
        <f>'Autumn 24'!O$8</f>
        <v>179.28</v>
      </c>
      <c r="C10" s="1262">
        <f>'Autumn 24'!P$8</f>
        <v>185.61799999999999</v>
      </c>
      <c r="D10" s="1262">
        <f>'Autumn 24'!Q$8</f>
        <v>197.089225</v>
      </c>
      <c r="E10" s="1262">
        <f>'Autumn 24'!R$8</f>
        <v>209.28029687395767</v>
      </c>
    </row>
    <row r="11" spans="1:5">
      <c r="A11" s="1212" t="s">
        <v>654</v>
      </c>
      <c r="B11" s="1670"/>
      <c r="C11" s="1670"/>
      <c r="D11" s="1670"/>
      <c r="E11" s="1670"/>
    </row>
    <row r="12" spans="1:5" hidden="1">
      <c r="A12" s="1212" t="s">
        <v>128</v>
      </c>
      <c r="B12" s="1670">
        <f>'Autumn 24'!O$9</f>
        <v>172.28299999999999</v>
      </c>
      <c r="C12" s="1670">
        <f>'Autumn 24'!P$9</f>
        <v>177.92699999999999</v>
      </c>
      <c r="D12" s="1670">
        <f>'Autumn 24'!Q$9</f>
        <v>190.12951799999999</v>
      </c>
      <c r="E12" s="1670">
        <f>'Autumn 24'!R$9</f>
        <v>200.49934437966382</v>
      </c>
    </row>
    <row r="13" spans="1:5">
      <c r="A13" s="1212" t="s">
        <v>655</v>
      </c>
      <c r="B13" s="1670">
        <f>'Autumn 24'!O15</f>
        <v>158.08799999999999</v>
      </c>
      <c r="C13" s="1670">
        <f>'Autumn 24'!P15</f>
        <v>168.148</v>
      </c>
      <c r="D13" s="1670">
        <f>'Autumn 24'!Q15</f>
        <v>176.59829999999999</v>
      </c>
      <c r="E13" s="1670">
        <f>'Autumn 24'!R15</f>
        <v>187.139378695077</v>
      </c>
    </row>
    <row r="14" spans="1:5">
      <c r="A14" s="1212" t="s">
        <v>656</v>
      </c>
      <c r="B14" s="1670">
        <f>'Autumn 24'!O16</f>
        <v>11.343999999999994</v>
      </c>
      <c r="C14" s="1670">
        <f>'Autumn 24'!P16</f>
        <v>6.9279999999999973</v>
      </c>
      <c r="D14" s="1670">
        <f>'Autumn 24'!Q16</f>
        <v>8.715217999999993</v>
      </c>
      <c r="E14" s="1670">
        <f>'Autumn 24'!R16</f>
        <v>8.5439656845868228</v>
      </c>
    </row>
    <row r="15" spans="1:5">
      <c r="A15" s="1212" t="s">
        <v>305</v>
      </c>
      <c r="B15" s="1670">
        <f>'Autumn 24'!O$17</f>
        <v>9.8480000000000008</v>
      </c>
      <c r="C15" s="1670">
        <f>'Autumn 24'!P$17</f>
        <v>10.542</v>
      </c>
      <c r="D15" s="1670">
        <f>'Autumn 24'!Q$17</f>
        <v>11.775707000000001</v>
      </c>
      <c r="E15" s="1670">
        <f>'Autumn 24'!R$17</f>
        <v>13.596952494293854</v>
      </c>
    </row>
    <row r="16" spans="1:5">
      <c r="A16" s="1212"/>
      <c r="B16" s="1670"/>
      <c r="C16" s="1670"/>
      <c r="D16" s="1670"/>
      <c r="E16" s="1671"/>
    </row>
    <row r="17" spans="1:5">
      <c r="A17" s="1211" t="s">
        <v>657</v>
      </c>
      <c r="B17" s="1670"/>
      <c r="C17" s="1670"/>
      <c r="D17" s="1670"/>
      <c r="E17" s="1671"/>
    </row>
    <row r="18" spans="1:5">
      <c r="A18" s="1212" t="s">
        <v>658</v>
      </c>
      <c r="B18" s="1670">
        <f ca="1">'Autumn 24'!O$38</f>
        <v>194.80171023725887</v>
      </c>
      <c r="C18" s="1670">
        <f ca="1">'Autumn 24'!P$38</f>
        <v>190.02580767874764</v>
      </c>
      <c r="D18" s="1670">
        <f ca="1">'Autumn 24'!Q$38</f>
        <v>197.089225</v>
      </c>
      <c r="E18" s="1670">
        <f ca="1">'Autumn 24'!R$38</f>
        <v>204.40329992035018</v>
      </c>
    </row>
    <row r="19" spans="1:5">
      <c r="A19" s="1212" t="s">
        <v>654</v>
      </c>
      <c r="B19" s="1670"/>
      <c r="C19" s="1670"/>
      <c r="D19" s="1670"/>
      <c r="E19" s="1670"/>
    </row>
    <row r="20" spans="1:5" hidden="1">
      <c r="A20" s="1212" t="s">
        <v>128</v>
      </c>
      <c r="B20" s="1670">
        <f ca="1">'Autumn 24'!O39</f>
        <v>187.19892372158449</v>
      </c>
      <c r="C20" s="1670">
        <f ca="1">'Autumn 24'!P39</f>
        <v>182.15217211076796</v>
      </c>
      <c r="D20" s="1670">
        <f ca="1">'Autumn 24'!Q39</f>
        <v>190.12951799999999</v>
      </c>
      <c r="E20" s="1670">
        <f ca="1">'Autumn 24'!R39</f>
        <v>195.82697576041994</v>
      </c>
    </row>
    <row r="21" spans="1:5">
      <c r="A21" s="1212" t="s">
        <v>655</v>
      </c>
      <c r="B21" s="1670">
        <f ca="1">'Autumn 24'!O43</f>
        <v>171.77494850506346</v>
      </c>
      <c r="C21" s="1670">
        <f ca="1">'Autumn 24'!P43</f>
        <v>172.14095351510122</v>
      </c>
      <c r="D21" s="1670">
        <f ca="1">'Autumn 24'!Q43</f>
        <v>176.59829999999999</v>
      </c>
      <c r="E21" s="1670">
        <f ca="1">'Autumn 24'!R43</f>
        <v>182.77834617826267</v>
      </c>
    </row>
    <row r="22" spans="1:5">
      <c r="A22" s="1212" t="s">
        <v>656</v>
      </c>
      <c r="B22" s="1670">
        <f ca="1">'Autumn 24'!O44</f>
        <v>12.326141236788619</v>
      </c>
      <c r="C22" s="1670">
        <f ca="1">'Autumn 24'!P44</f>
        <v>7.0925168658123834</v>
      </c>
      <c r="D22" s="1670">
        <f ca="1">'Autumn 24'!Q44</f>
        <v>8.715217999999993</v>
      </c>
      <c r="E22" s="1670">
        <f ca="1">'Autumn 24'!R44</f>
        <v>8.3448600103409927</v>
      </c>
    </row>
    <row r="23" spans="1:5">
      <c r="A23" s="1212" t="s">
        <v>305</v>
      </c>
      <c r="B23" s="1670">
        <f ca="1">'Autumn 24'!O45</f>
        <v>10.700620495406769</v>
      </c>
      <c r="C23" s="1670">
        <f ca="1">'Autumn 24'!P45</f>
        <v>10.792337297834033</v>
      </c>
      <c r="D23" s="1670">
        <f ca="1">'Autumn 24'!Q45</f>
        <v>11.775707000000001</v>
      </c>
      <c r="E23" s="1670">
        <f ca="1">'Autumn 24'!R45</f>
        <v>13.28009373174654</v>
      </c>
    </row>
    <row r="25" spans="1:5">
      <c r="A25" s="1212" t="s">
        <v>659</v>
      </c>
    </row>
    <row r="26" spans="1:5">
      <c r="A26" s="1212" t="s">
        <v>660</v>
      </c>
    </row>
  </sheetData>
  <hyperlinks>
    <hyperlink ref="A7" r:id="rId1" xr:uid="{3F75D698-059B-4A6F-90B1-0FD47BD3632C}"/>
  </hyperlinks>
  <pageMargins left="0.7" right="0.7" top="0.75" bottom="0.75" header="0.3" footer="0.3"/>
  <pageSetup paperSize="9"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59335-1FED-4782-94C5-FBE279719AFD}">
  <dimension ref="A1:N26"/>
  <sheetViews>
    <sheetView workbookViewId="0">
      <selection activeCell="A4" sqref="A4"/>
    </sheetView>
  </sheetViews>
  <sheetFormatPr defaultColWidth="8.453125" defaultRowHeight="14"/>
  <cols>
    <col min="1" max="1" width="24.81640625" style="1211" customWidth="1"/>
    <col min="2" max="16384" width="8.453125" style="1211"/>
  </cols>
  <sheetData>
    <row r="1" spans="1:14" ht="18">
      <c r="A1" s="1210" t="s">
        <v>648</v>
      </c>
    </row>
    <row r="2" spans="1:14">
      <c r="A2" s="1212" t="s">
        <v>38</v>
      </c>
    </row>
    <row r="3" spans="1:14">
      <c r="A3" s="1212" t="s">
        <v>661</v>
      </c>
    </row>
    <row r="5" spans="1:14">
      <c r="A5" s="1211" t="s">
        <v>650</v>
      </c>
    </row>
    <row r="6" spans="1:14">
      <c r="A6" s="1212" t="s">
        <v>662</v>
      </c>
    </row>
    <row r="7" spans="1:14">
      <c r="A7" s="1213" t="s">
        <v>663</v>
      </c>
    </row>
    <row r="9" spans="1:14">
      <c r="B9" s="1211" t="s">
        <v>664</v>
      </c>
      <c r="C9" s="1211" t="s">
        <v>192</v>
      </c>
      <c r="D9" s="1211" t="s">
        <v>193</v>
      </c>
      <c r="E9" s="1211" t="s">
        <v>165</v>
      </c>
      <c r="F9" s="1211" t="s">
        <v>167</v>
      </c>
      <c r="G9" s="1211" t="s">
        <v>168</v>
      </c>
      <c r="H9" s="1211" t="s">
        <v>169</v>
      </c>
      <c r="I9" s="1211" t="s">
        <v>170</v>
      </c>
      <c r="J9" s="1211" t="s">
        <v>171</v>
      </c>
      <c r="K9" s="1211" t="s">
        <v>172</v>
      </c>
      <c r="L9" s="1211" t="s">
        <v>173</v>
      </c>
      <c r="M9" s="1211" t="s">
        <v>174</v>
      </c>
      <c r="N9" s="1211" t="s">
        <v>665</v>
      </c>
    </row>
    <row r="10" spans="1:14">
      <c r="A10" s="1211" t="s">
        <v>657</v>
      </c>
    </row>
    <row r="11" spans="1:14">
      <c r="A11" s="1212" t="s">
        <v>202</v>
      </c>
      <c r="B11" s="1214">
        <f ca="1">'Autumn 24'!F38</f>
        <v>148.14937642156789</v>
      </c>
      <c r="C11" s="1214">
        <f ca="1">'Autumn 24'!G38</f>
        <v>151.12122793469393</v>
      </c>
      <c r="D11" s="1214">
        <f ca="1">'Autumn 24'!H38</f>
        <v>155.21084988464409</v>
      </c>
      <c r="E11" s="1214">
        <f ca="1">'Autumn 24'!I38</f>
        <v>157.36027239880983</v>
      </c>
      <c r="F11" s="1214">
        <f ca="1">'Autumn 24'!J38</f>
        <v>159.51123439819892</v>
      </c>
      <c r="G11" s="1214">
        <f ca="1">'Autumn 24'!K38</f>
        <v>160.26533034718938</v>
      </c>
      <c r="H11" s="1214">
        <f ca="1">'Autumn 24'!L38</f>
        <v>165.34458726069107</v>
      </c>
      <c r="I11" s="1214">
        <f ca="1">'Autumn 24'!M38</f>
        <v>217.27978622113201</v>
      </c>
      <c r="J11" s="1214">
        <f ca="1">'Autumn 24'!N38</f>
        <v>214.67360528664227</v>
      </c>
      <c r="K11" s="1214">
        <f ca="1">'Autumn 24'!O38</f>
        <v>194.80171023725887</v>
      </c>
      <c r="L11" s="1214">
        <f ca="1">'Autumn 24'!P38</f>
        <v>190.02580767874764</v>
      </c>
      <c r="M11" s="1214">
        <f ca="1">'Autumn 24'!Q38</f>
        <v>197.089225</v>
      </c>
      <c r="N11" s="1214">
        <f ca="1">'Autumn 24'!R38</f>
        <v>204.40329992035018</v>
      </c>
    </row>
    <row r="12" spans="1:14">
      <c r="A12" s="1212" t="s">
        <v>654</v>
      </c>
      <c r="B12" s="1214"/>
      <c r="C12" s="1214"/>
      <c r="D12" s="1214"/>
      <c r="E12" s="1214"/>
      <c r="F12" s="1214"/>
      <c r="G12" s="1214"/>
      <c r="H12" s="1214"/>
      <c r="I12" s="1214"/>
      <c r="J12" s="1214"/>
      <c r="K12" s="1214"/>
      <c r="L12" s="1214"/>
      <c r="M12" s="1214"/>
      <c r="N12" s="1214"/>
    </row>
    <row r="13" spans="1:14">
      <c r="A13" s="1212" t="s">
        <v>655</v>
      </c>
      <c r="B13" s="1214">
        <f ca="1">'Autumn 24'!F43</f>
        <v>126.45039077348119</v>
      </c>
      <c r="C13" s="1214">
        <f ca="1">'Autumn 24'!G43</f>
        <v>129.45978402575423</v>
      </c>
      <c r="D13" s="1214">
        <f ca="1">'Autumn 24'!H43</f>
        <v>133.13590040037511</v>
      </c>
      <c r="E13" s="1214">
        <f ca="1">'Autumn 24'!I43</f>
        <v>136.87920301826449</v>
      </c>
      <c r="F13" s="1214">
        <f ca="1">'Autumn 24'!J43</f>
        <v>139.69149578297959</v>
      </c>
      <c r="G13" s="1214">
        <f ca="1">'Autumn 24'!K43</f>
        <v>140.33264505859574</v>
      </c>
      <c r="H13" s="1214">
        <f ca="1">'Autumn 24'!L43</f>
        <v>150.69690336668589</v>
      </c>
      <c r="I13" s="1214">
        <f ca="1">'Autumn 24'!M43</f>
        <v>165.67671937920849</v>
      </c>
      <c r="J13" s="1214">
        <f ca="1">'Autumn 24'!N43</f>
        <v>173.98266532793238</v>
      </c>
      <c r="K13" s="1214">
        <f ca="1">'Autumn 24'!O43</f>
        <v>171.77494850506346</v>
      </c>
      <c r="L13" s="1214">
        <f ca="1">'Autumn 24'!P43</f>
        <v>172.14095351510122</v>
      </c>
      <c r="M13" s="1214">
        <f ca="1">'Autumn 24'!Q43</f>
        <v>176.59829999999999</v>
      </c>
      <c r="N13" s="1214">
        <f ca="1">'Autumn 24'!R43</f>
        <v>182.77834617826267</v>
      </c>
    </row>
    <row r="14" spans="1:14">
      <c r="A14" s="1212" t="s">
        <v>656</v>
      </c>
      <c r="B14" s="1214">
        <f ca="1">'Autumn 24'!F44</f>
        <v>14.455854468952364</v>
      </c>
      <c r="C14" s="1214">
        <f ca="1">'Autumn 24'!G44</f>
        <v>15.033319759761026</v>
      </c>
      <c r="D14" s="1214">
        <f ca="1">'Autumn 24'!H44</f>
        <v>15.916255777176749</v>
      </c>
      <c r="E14" s="1214">
        <f ca="1">'Autumn 24'!I44</f>
        <v>14.583101357173589</v>
      </c>
      <c r="F14" s="1214">
        <f ca="1">'Autumn 24'!J44</f>
        <v>13.143911281509681</v>
      </c>
      <c r="G14" s="1214">
        <f ca="1">'Autumn 24'!K44</f>
        <v>12.517062312857204</v>
      </c>
      <c r="H14" s="1214">
        <f ca="1">'Autumn 24'!L44</f>
        <v>6.0941583369881052</v>
      </c>
      <c r="I14" s="1214">
        <f ca="1">'Autumn 24'!M44</f>
        <v>36.901654903463793</v>
      </c>
      <c r="J14" s="1214">
        <f ca="1">'Autumn 24'!N44</f>
        <v>30.076165193041334</v>
      </c>
      <c r="K14" s="1214">
        <f ca="1">'Autumn 24'!O44</f>
        <v>12.326141236788619</v>
      </c>
      <c r="L14" s="1214">
        <f ca="1">'Autumn 24'!P44</f>
        <v>7.0925168658123834</v>
      </c>
      <c r="M14" s="1214">
        <f ca="1">'Autumn 24'!Q44</f>
        <v>8.715217999999993</v>
      </c>
      <c r="N14" s="1214">
        <f ca="1">'Autumn 24'!R44</f>
        <v>8.3448600103409927</v>
      </c>
    </row>
    <row r="15" spans="1:14">
      <c r="A15" s="1212" t="s">
        <v>305</v>
      </c>
      <c r="B15" s="1214">
        <f ca="1">'Autumn 24'!F45</f>
        <v>7.2431311791343482</v>
      </c>
      <c r="C15" s="1214">
        <f ca="1">'Autumn 24'!G45</f>
        <v>6.6281241491786735</v>
      </c>
      <c r="D15" s="1214">
        <f ca="1">'Autumn 24'!H45</f>
        <v>6.1586937070922048</v>
      </c>
      <c r="E15" s="1214">
        <f ca="1">'Autumn 24'!I45</f>
        <v>5.8979680233717593</v>
      </c>
      <c r="F15" s="1214">
        <f ca="1">'Autumn 24'!J45</f>
        <v>6.6758273337096581</v>
      </c>
      <c r="G15" s="1214">
        <f ca="1">'Autumn 24'!K45</f>
        <v>7.4156229757364089</v>
      </c>
      <c r="H15" s="1214">
        <f ca="1">'Autumn 24'!L45</f>
        <v>8.5535255570171085</v>
      </c>
      <c r="I15" s="1214">
        <f ca="1">'Autumn 24'!M45</f>
        <v>14.701411938459733</v>
      </c>
      <c r="J15" s="1214">
        <f ca="1">'Autumn 24'!N45</f>
        <v>10.61477476566855</v>
      </c>
      <c r="K15" s="1214">
        <f ca="1">'Autumn 24'!O45</f>
        <v>10.700620495406769</v>
      </c>
      <c r="L15" s="1214">
        <f ca="1">'Autumn 24'!P45</f>
        <v>10.792337297834033</v>
      </c>
      <c r="M15" s="1214">
        <f ca="1">'Autumn 24'!Q45</f>
        <v>11.775707000000001</v>
      </c>
      <c r="N15" s="1214">
        <f ca="1">'Autumn 24'!R45</f>
        <v>13.28009373174654</v>
      </c>
    </row>
    <row r="16" spans="1:14">
      <c r="A16" s="1212"/>
      <c r="B16" s="1212"/>
      <c r="C16" s="1212"/>
      <c r="D16" s="1212"/>
    </row>
    <row r="17" spans="1:4">
      <c r="A17" s="1212" t="s">
        <v>666</v>
      </c>
      <c r="B17" s="1212"/>
      <c r="C17" s="1212"/>
      <c r="D17" s="1212"/>
    </row>
    <row r="18" spans="1:4">
      <c r="A18" s="1212" t="s">
        <v>667</v>
      </c>
      <c r="B18" s="1212"/>
      <c r="C18" s="1212"/>
      <c r="D18" s="1212"/>
    </row>
    <row r="19" spans="1:4">
      <c r="A19" s="1212"/>
      <c r="B19" s="1212"/>
      <c r="C19" s="1212"/>
      <c r="D19" s="1212"/>
    </row>
    <row r="20" spans="1:4">
      <c r="A20" s="1212"/>
      <c r="B20" s="1212"/>
      <c r="C20" s="1212"/>
      <c r="D20" s="1212"/>
    </row>
    <row r="21" spans="1:4">
      <c r="A21" s="1212"/>
      <c r="B21" s="1212"/>
      <c r="C21" s="1212"/>
      <c r="D21" s="1212"/>
    </row>
    <row r="22" spans="1:4">
      <c r="A22" s="1212"/>
      <c r="B22" s="1212"/>
      <c r="C22" s="1212"/>
      <c r="D22" s="1212"/>
    </row>
    <row r="23" spans="1:4">
      <c r="A23" s="1212"/>
      <c r="B23" s="1212"/>
      <c r="C23" s="1212"/>
      <c r="D23" s="1212"/>
    </row>
    <row r="25" spans="1:4">
      <c r="A25" s="1212"/>
    </row>
    <row r="26" spans="1:4">
      <c r="A26" s="1212"/>
    </row>
  </sheetData>
  <hyperlinks>
    <hyperlink ref="A7" r:id="rId1" xr:uid="{DEECA20B-D471-4F6B-89F6-081C7C259739}"/>
  </hyperlinks>
  <pageMargins left="0.7" right="0.7" top="0.75" bottom="0.75" header="0.3" footer="0.3"/>
  <pageSetup paperSize="9"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5CD2-2D28-4F3D-947E-AD1658A5AE16}">
  <dimension ref="A1:N22"/>
  <sheetViews>
    <sheetView workbookViewId="0"/>
  </sheetViews>
  <sheetFormatPr defaultRowHeight="14.5"/>
  <sheetData>
    <row r="1" spans="1:14">
      <c r="B1" t="s">
        <v>664</v>
      </c>
      <c r="C1" t="s">
        <v>192</v>
      </c>
      <c r="D1" t="s">
        <v>193</v>
      </c>
      <c r="E1" t="s">
        <v>165</v>
      </c>
      <c r="F1" t="s">
        <v>167</v>
      </c>
      <c r="G1" t="s">
        <v>168</v>
      </c>
      <c r="H1" t="s">
        <v>169</v>
      </c>
      <c r="I1" t="s">
        <v>170</v>
      </c>
      <c r="J1" t="s">
        <v>171</v>
      </c>
      <c r="K1" t="s">
        <v>172</v>
      </c>
      <c r="L1" t="s">
        <v>173</v>
      </c>
      <c r="M1" t="s">
        <v>174</v>
      </c>
      <c r="N1" t="s">
        <v>665</v>
      </c>
    </row>
    <row r="2" spans="1:14">
      <c r="A2" t="s">
        <v>657</v>
      </c>
    </row>
    <row r="3" spans="1:14">
      <c r="A3" t="s">
        <v>202</v>
      </c>
      <c r="B3">
        <v>148.14937642156789</v>
      </c>
      <c r="C3">
        <v>151.12122793469393</v>
      </c>
      <c r="D3">
        <v>155.21084988464409</v>
      </c>
      <c r="E3">
        <v>157.36027239880983</v>
      </c>
      <c r="F3">
        <v>159.51123439819892</v>
      </c>
      <c r="G3">
        <v>160.26533034718938</v>
      </c>
      <c r="H3">
        <v>168.82086685627993</v>
      </c>
      <c r="I3">
        <v>220.57904042740944</v>
      </c>
      <c r="J3">
        <v>217.99225018815793</v>
      </c>
      <c r="K3">
        <v>197.89954421699125</v>
      </c>
      <c r="L3">
        <v>192.94450940860202</v>
      </c>
      <c r="M3">
        <v>201.9</v>
      </c>
      <c r="N3">
        <v>209.11068632181735</v>
      </c>
    </row>
    <row r="4" spans="1:14">
      <c r="A4" t="s">
        <v>654</v>
      </c>
    </row>
    <row r="5" spans="1:14">
      <c r="A5" t="s">
        <v>655</v>
      </c>
      <c r="B5">
        <v>126.45039077348119</v>
      </c>
      <c r="C5">
        <v>129.45978402575423</v>
      </c>
      <c r="D5">
        <v>133.13590040037511</v>
      </c>
      <c r="E5">
        <v>136.87920301826449</v>
      </c>
      <c r="F5">
        <v>139.69149578297959</v>
      </c>
      <c r="G5">
        <v>140.33264505859574</v>
      </c>
      <c r="H5">
        <v>154.17318296227472</v>
      </c>
      <c r="I5">
        <v>168.97597358548592</v>
      </c>
      <c r="J5">
        <v>177.30131022944803</v>
      </c>
      <c r="K5">
        <v>174.87278248479586</v>
      </c>
      <c r="L5">
        <v>175.05965524495559</v>
      </c>
      <c r="M5">
        <v>181.4</v>
      </c>
      <c r="N5">
        <v>187.52569721526825</v>
      </c>
    </row>
    <row r="6" spans="1:14">
      <c r="A6" t="s">
        <v>656</v>
      </c>
      <c r="B6">
        <v>14.455854468952364</v>
      </c>
      <c r="C6">
        <v>15.033319759761026</v>
      </c>
      <c r="D6">
        <v>15.916255777176749</v>
      </c>
      <c r="E6">
        <v>14.583101357173589</v>
      </c>
      <c r="F6">
        <v>13.143911281509681</v>
      </c>
      <c r="G6">
        <v>12.517062312857204</v>
      </c>
      <c r="H6">
        <v>6.0941583369881052</v>
      </c>
      <c r="I6">
        <v>36.901654903463793</v>
      </c>
      <c r="J6">
        <v>30.076165193041334</v>
      </c>
      <c r="K6">
        <v>12.326141236788619</v>
      </c>
      <c r="L6">
        <v>7.0925168658123834</v>
      </c>
      <c r="M6">
        <v>8.6999999999999886</v>
      </c>
      <c r="N6">
        <v>8.3019188871342724</v>
      </c>
    </row>
    <row r="7" spans="1:14">
      <c r="A7" t="s">
        <v>305</v>
      </c>
      <c r="B7">
        <v>7.2431311791343482</v>
      </c>
      <c r="C7">
        <v>6.6281241491786735</v>
      </c>
      <c r="D7">
        <v>6.1586937070922048</v>
      </c>
      <c r="E7">
        <v>5.8979680233717593</v>
      </c>
      <c r="F7">
        <v>6.6758273337096581</v>
      </c>
      <c r="G7">
        <v>7.4156229757364089</v>
      </c>
      <c r="H7">
        <v>8.5535255570171085</v>
      </c>
      <c r="I7">
        <v>14.701411938459733</v>
      </c>
      <c r="J7">
        <v>10.61477476566855</v>
      </c>
      <c r="K7">
        <v>10.700620495406769</v>
      </c>
      <c r="L7">
        <v>10.792337297834033</v>
      </c>
      <c r="M7">
        <v>11.8</v>
      </c>
      <c r="N7">
        <v>13.283070219414833</v>
      </c>
    </row>
    <row r="9" spans="1:14">
      <c r="C9" t="s">
        <v>657</v>
      </c>
      <c r="D9" t="s">
        <v>202</v>
      </c>
      <c r="E9" t="s">
        <v>654</v>
      </c>
      <c r="F9" t="s">
        <v>655</v>
      </c>
      <c r="G9" t="s">
        <v>656</v>
      </c>
      <c r="H9" t="s">
        <v>305</v>
      </c>
    </row>
    <row r="10" spans="1:14">
      <c r="B10" t="s">
        <v>664</v>
      </c>
      <c r="D10">
        <v>148.14937642156789</v>
      </c>
      <c r="F10">
        <v>126.45039077348119</v>
      </c>
      <c r="G10">
        <v>14.455854468952364</v>
      </c>
      <c r="H10">
        <v>7.2431311791343482</v>
      </c>
    </row>
    <row r="11" spans="1:14">
      <c r="B11" t="s">
        <v>192</v>
      </c>
      <c r="D11">
        <v>151.12122793469393</v>
      </c>
      <c r="F11">
        <v>129.45978402575423</v>
      </c>
      <c r="G11">
        <v>15.033319759761026</v>
      </c>
      <c r="H11">
        <v>6.6281241491786735</v>
      </c>
    </row>
    <row r="12" spans="1:14">
      <c r="B12" t="s">
        <v>193</v>
      </c>
      <c r="D12">
        <v>155.21084988464409</v>
      </c>
      <c r="F12">
        <v>133.13590040037511</v>
      </c>
      <c r="G12">
        <v>15.916255777176749</v>
      </c>
      <c r="H12">
        <v>6.1586937070922048</v>
      </c>
    </row>
    <row r="13" spans="1:14">
      <c r="B13" t="s">
        <v>165</v>
      </c>
      <c r="D13">
        <v>157.36027239880983</v>
      </c>
      <c r="F13">
        <v>136.87920301826449</v>
      </c>
      <c r="G13">
        <v>14.583101357173589</v>
      </c>
      <c r="H13">
        <v>5.8979680233717593</v>
      </c>
    </row>
    <row r="14" spans="1:14">
      <c r="B14" t="s">
        <v>167</v>
      </c>
      <c r="D14">
        <v>159.51123439819892</v>
      </c>
      <c r="F14">
        <v>139.69149578297959</v>
      </c>
      <c r="G14">
        <v>13.143911281509681</v>
      </c>
      <c r="H14">
        <v>6.6758273337096581</v>
      </c>
    </row>
    <row r="15" spans="1:14">
      <c r="B15" t="s">
        <v>168</v>
      </c>
      <c r="D15">
        <v>160.26533034718938</v>
      </c>
      <c r="F15">
        <v>140.33264505859574</v>
      </c>
      <c r="G15">
        <v>12.517062312857204</v>
      </c>
      <c r="H15">
        <v>7.4156229757364089</v>
      </c>
    </row>
    <row r="16" spans="1:14">
      <c r="B16" t="s">
        <v>169</v>
      </c>
      <c r="D16">
        <v>168.82086685627993</v>
      </c>
      <c r="F16">
        <v>154.17318296227472</v>
      </c>
      <c r="G16">
        <v>6.0941583369881052</v>
      </c>
      <c r="H16">
        <v>8.5535255570171085</v>
      </c>
    </row>
    <row r="17" spans="2:8">
      <c r="B17" t="s">
        <v>170</v>
      </c>
      <c r="D17">
        <v>220.57904042740944</v>
      </c>
      <c r="F17">
        <v>168.97597358548592</v>
      </c>
      <c r="G17">
        <v>36.901654903463793</v>
      </c>
      <c r="H17">
        <v>14.701411938459733</v>
      </c>
    </row>
    <row r="18" spans="2:8">
      <c r="B18" t="s">
        <v>171</v>
      </c>
      <c r="D18">
        <v>217.99225018815793</v>
      </c>
      <c r="F18">
        <v>177.30131022944803</v>
      </c>
      <c r="G18">
        <v>30.076165193041334</v>
      </c>
      <c r="H18">
        <v>10.61477476566855</v>
      </c>
    </row>
    <row r="19" spans="2:8">
      <c r="B19" t="s">
        <v>172</v>
      </c>
      <c r="D19">
        <v>197.89954421699125</v>
      </c>
      <c r="F19">
        <v>174.87278248479586</v>
      </c>
      <c r="G19">
        <v>12.326141236788619</v>
      </c>
      <c r="H19">
        <v>10.700620495406769</v>
      </c>
    </row>
    <row r="20" spans="2:8">
      <c r="B20" t="s">
        <v>173</v>
      </c>
      <c r="D20">
        <v>192.94450940860202</v>
      </c>
      <c r="F20">
        <v>175.05965524495559</v>
      </c>
      <c r="G20">
        <v>7.0925168658123834</v>
      </c>
      <c r="H20">
        <v>10.792337297834033</v>
      </c>
    </row>
    <row r="21" spans="2:8">
      <c r="B21" t="s">
        <v>174</v>
      </c>
      <c r="D21">
        <v>201.9</v>
      </c>
      <c r="F21">
        <v>181.4</v>
      </c>
      <c r="G21">
        <v>8.6999999999999886</v>
      </c>
      <c r="H21">
        <v>11.8</v>
      </c>
    </row>
    <row r="22" spans="2:8">
      <c r="B22" t="s">
        <v>665</v>
      </c>
      <c r="D22">
        <v>209.11068632181735</v>
      </c>
      <c r="F22">
        <v>187.52569721526825</v>
      </c>
      <c r="G22">
        <v>8.3019188871342724</v>
      </c>
      <c r="H22">
        <v>13.283070219414833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4237-54BA-42B4-8EFD-1B192E3B0432}">
  <dimension ref="A1:M26"/>
  <sheetViews>
    <sheetView topLeftCell="A2" workbookViewId="0">
      <selection activeCell="C12" sqref="C12"/>
    </sheetView>
  </sheetViews>
  <sheetFormatPr defaultColWidth="8.453125" defaultRowHeight="14"/>
  <cols>
    <col min="1" max="1" width="47.453125" style="1211" customWidth="1"/>
    <col min="2" max="2" width="20.81640625" style="1211" customWidth="1"/>
    <col min="3" max="3" width="14.54296875" style="1608" customWidth="1"/>
    <col min="4" max="16384" width="8.453125" style="1211"/>
  </cols>
  <sheetData>
    <row r="1" spans="1:13" ht="18">
      <c r="A1" s="1210" t="s">
        <v>648</v>
      </c>
    </row>
    <row r="2" spans="1:13">
      <c r="A2" s="1212" t="s">
        <v>38</v>
      </c>
    </row>
    <row r="3" spans="1:13">
      <c r="A3" s="1212" t="s">
        <v>661</v>
      </c>
    </row>
    <row r="5" spans="1:13">
      <c r="A5" s="1211" t="s">
        <v>668</v>
      </c>
    </row>
    <row r="6" spans="1:13">
      <c r="A6" s="1212" t="s">
        <v>669</v>
      </c>
    </row>
    <row r="7" spans="1:13">
      <c r="A7" s="1213" t="s">
        <v>670</v>
      </c>
    </row>
    <row r="9" spans="1:13">
      <c r="A9" s="1211" t="str">
        <f>'Historic spend &amp; growth'!B56</f>
        <v>Government</v>
      </c>
      <c r="B9" s="1211" t="str">
        <f>'Historic spend &amp; growth'!C56</f>
        <v>Time period</v>
      </c>
      <c r="C9" s="1608" t="str">
        <f>'Historic spend &amp; growth'!D56</f>
        <v>Annual growth</v>
      </c>
    </row>
    <row r="10" spans="1:13">
      <c r="A10" s="1211" t="str">
        <f>'Historic spend &amp; growth'!B57</f>
        <v>Thatcher and Major Conservative governments</v>
      </c>
      <c r="B10" s="1211" t="str">
        <f>'Historic spend &amp; growth'!C57</f>
        <v>1979/80 to 1996/97</v>
      </c>
      <c r="C10" s="1718">
        <f>'Historic spend &amp; growth'!D57</f>
        <v>2.8484511492216535E-2</v>
      </c>
    </row>
    <row r="11" spans="1:13">
      <c r="A11" s="1211" t="str">
        <f>'Historic spend &amp; growth'!B58</f>
        <v>Blair and Brown Labour governments</v>
      </c>
      <c r="B11" s="1211" t="str">
        <f>'Historic spend &amp; growth'!C58</f>
        <v>1996/97 to 2009/10</v>
      </c>
      <c r="C11" s="1718">
        <f>'Historic spend &amp; growth'!D58</f>
        <v>6.7034559531803373E-2</v>
      </c>
      <c r="E11" s="1212"/>
      <c r="F11" s="1212"/>
      <c r="G11" s="1212"/>
      <c r="H11" s="1212"/>
      <c r="I11" s="1212"/>
      <c r="J11" s="1212"/>
      <c r="K11" s="1212"/>
      <c r="L11" s="1212"/>
      <c r="M11" s="1212"/>
    </row>
    <row r="12" spans="1:13">
      <c r="A12" s="1211" t="str">
        <f>'Historic spend &amp; growth'!B59</f>
        <v>Coalition government</v>
      </c>
      <c r="B12" s="1211" t="str">
        <f>'Historic spend &amp; growth'!C59</f>
        <v>2009/10 to 2014/15</v>
      </c>
      <c r="C12" s="1718">
        <f>'Historic spend &amp; growth'!D59</f>
        <v>1.1130420592628587E-2</v>
      </c>
      <c r="E12" s="1212"/>
      <c r="F12" s="1212"/>
      <c r="G12" s="1212"/>
      <c r="H12" s="1212"/>
      <c r="I12" s="1212"/>
      <c r="J12" s="1212"/>
      <c r="K12" s="1212"/>
      <c r="L12" s="1212"/>
      <c r="M12" s="1212"/>
    </row>
    <row r="13" spans="1:13">
      <c r="A13" s="1211" t="str">
        <f>'Historic spend &amp; growth'!B60</f>
        <v>Cameron and May Conservative governments</v>
      </c>
      <c r="B13" s="1211" t="str">
        <f>'Historic spend &amp; growth'!C60</f>
        <v>2014/15 to 2019/20</v>
      </c>
      <c r="C13" s="1718">
        <f>'Historic spend &amp; growth'!D60</f>
        <v>2.5480112424244306E-2</v>
      </c>
      <c r="E13" s="1212"/>
      <c r="F13" s="1212"/>
      <c r="G13" s="1212"/>
      <c r="H13" s="1212"/>
      <c r="I13" s="1212"/>
      <c r="J13" s="1212"/>
      <c r="K13" s="1212"/>
      <c r="L13" s="1212"/>
      <c r="M13" s="1212"/>
    </row>
    <row r="14" spans="1:13">
      <c r="A14" s="1211" t="str">
        <f>'Historic spend &amp; growth'!B61</f>
        <v>Johnson, Truss and Sunak Conservative government</v>
      </c>
      <c r="B14" s="1211" t="str">
        <f>'Historic spend &amp; growth'!C61</f>
        <v>2019/20 to 2023/24</v>
      </c>
      <c r="C14" s="1718">
        <f>'Historic spend &amp; growth'!D61</f>
        <v>3.5394017225679697E-2</v>
      </c>
      <c r="E14" s="1212"/>
      <c r="F14" s="1212"/>
      <c r="G14" s="1212"/>
      <c r="H14" s="1212"/>
      <c r="I14" s="1212"/>
      <c r="J14" s="1212"/>
      <c r="K14" s="1212"/>
      <c r="L14" s="1212"/>
      <c r="M14" s="1212"/>
    </row>
    <row r="15" spans="1:13">
      <c r="A15" s="1211" t="str">
        <f>'Historic spend &amp; growth'!B62</f>
        <v>Starmer Labour government</v>
      </c>
      <c r="B15" s="1211" t="s">
        <v>393</v>
      </c>
      <c r="C15" s="1718">
        <f>'Historic spend &amp; growth'!D62</f>
        <v>3.7140653339151619E-2</v>
      </c>
    </row>
    <row r="16" spans="1:13">
      <c r="A16" s="1211" t="str">
        <f>'Historic spend &amp; growth'!B63</f>
        <v>Long term average (pre-COVID 19)</v>
      </c>
      <c r="B16" s="1211" t="str">
        <f>'Historic spend &amp; growth'!C63</f>
        <v>1979/80 to 2019/20</v>
      </c>
      <c r="C16" s="1718">
        <f>'Historic spend &amp; growth'!D63</f>
        <v>3.8266535544589919E-2</v>
      </c>
    </row>
    <row r="17" spans="1:4">
      <c r="A17" s="1212" t="s">
        <v>671</v>
      </c>
      <c r="B17" s="1212"/>
      <c r="C17" s="1609"/>
      <c r="D17" s="1212"/>
    </row>
    <row r="18" spans="1:4">
      <c r="A18" s="1212" t="s">
        <v>672</v>
      </c>
      <c r="B18" s="1212"/>
      <c r="C18" s="1609"/>
      <c r="D18" s="1212"/>
    </row>
    <row r="19" spans="1:4">
      <c r="A19" s="1212"/>
      <c r="B19" s="1212"/>
      <c r="C19" s="1609"/>
      <c r="D19" s="1212"/>
    </row>
    <row r="20" spans="1:4">
      <c r="A20" s="1212"/>
      <c r="B20" s="1212"/>
      <c r="C20" s="1609"/>
      <c r="D20" s="1212"/>
    </row>
    <row r="21" spans="1:4">
      <c r="A21" s="1212"/>
      <c r="B21" s="1212"/>
      <c r="C21" s="1609"/>
      <c r="D21" s="1212"/>
    </row>
    <row r="22" spans="1:4">
      <c r="A22" s="1212"/>
      <c r="B22" s="1212"/>
      <c r="C22" s="1609"/>
      <c r="D22" s="1212"/>
    </row>
    <row r="23" spans="1:4">
      <c r="A23" s="1212"/>
      <c r="B23" s="1212"/>
      <c r="C23" s="1609"/>
      <c r="D23" s="1212"/>
    </row>
    <row r="25" spans="1:4">
      <c r="A25" s="1212"/>
    </row>
    <row r="26" spans="1:4">
      <c r="A26" s="1212"/>
    </row>
  </sheetData>
  <hyperlinks>
    <hyperlink ref="A7" r:id="rId1" xr:uid="{D9741F01-9D7A-4DE6-A4CB-80F904E36153}"/>
  </hyperlinks>
  <pageMargins left="0.7" right="0.7" top="0.75" bottom="0.75" header="0.3" footer="0.3"/>
  <pageSetup paperSize="9" orientation="portrait" r:id="rId2"/>
  <legacy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26E8-8DB8-4757-AA78-00DF8B7DBC7A}">
  <dimension ref="A1:M28"/>
  <sheetViews>
    <sheetView topLeftCell="A3" workbookViewId="0">
      <selection activeCell="F10" sqref="F10"/>
    </sheetView>
  </sheetViews>
  <sheetFormatPr defaultColWidth="8.453125" defaultRowHeight="14"/>
  <cols>
    <col min="1" max="1" width="11.1796875" style="1211" customWidth="1"/>
    <col min="2" max="2" width="13.453125" style="1211" customWidth="1"/>
    <col min="3" max="3" width="14.54296875" style="1211" customWidth="1"/>
    <col min="4" max="4" width="11.453125" style="1211" customWidth="1"/>
    <col min="5" max="5" width="13.54296875" style="1211" customWidth="1"/>
    <col min="6" max="16384" width="8.453125" style="1211"/>
  </cols>
  <sheetData>
    <row r="1" spans="1:13" ht="18">
      <c r="A1" s="1210" t="s">
        <v>648</v>
      </c>
    </row>
    <row r="2" spans="1:13">
      <c r="A2" s="1212" t="s">
        <v>38</v>
      </c>
    </row>
    <row r="3" spans="1:13">
      <c r="A3" s="1212" t="s">
        <v>649</v>
      </c>
    </row>
    <row r="5" spans="1:13">
      <c r="A5" s="1211" t="s">
        <v>673</v>
      </c>
    </row>
    <row r="6" spans="1:13">
      <c r="A6" s="1212" t="s">
        <v>674</v>
      </c>
    </row>
    <row r="7" spans="1:13">
      <c r="A7" s="1213" t="s">
        <v>675</v>
      </c>
    </row>
    <row r="9" spans="1:13">
      <c r="B9" s="1211" t="s">
        <v>138</v>
      </c>
      <c r="C9" s="1211" t="s">
        <v>573</v>
      </c>
      <c r="D9" s="1211" t="s">
        <v>676</v>
      </c>
      <c r="E9" s="1211" t="s">
        <v>677</v>
      </c>
    </row>
    <row r="10" spans="1:13">
      <c r="A10" s="1212" t="s">
        <v>377</v>
      </c>
      <c r="B10" s="1214">
        <f ca="1">'Adjusted spend'!AC6</f>
        <v>0</v>
      </c>
      <c r="C10" s="1214">
        <f ca="1">'Adjusted spend'!AD6</f>
        <v>0</v>
      </c>
      <c r="D10" s="1214">
        <f ca="1">'Adjusted spend'!AE6</f>
        <v>0</v>
      </c>
      <c r="E10" s="1214">
        <f ca="1">'Adjusted spend'!AF6</f>
        <v>0</v>
      </c>
    </row>
    <row r="11" spans="1:13">
      <c r="A11" s="1212" t="s">
        <v>378</v>
      </c>
      <c r="B11" s="1214">
        <f ca="1">'Adjusted spend'!AC7</f>
        <v>3.6308913934426101</v>
      </c>
      <c r="C11" s="1214">
        <f ca="1">'Adjusted spend'!AD7</f>
        <v>2.3799003181128597</v>
      </c>
      <c r="D11" s="1214">
        <f ca="1">'Adjusted spend'!AE7</f>
        <v>1.5294704811944939</v>
      </c>
      <c r="E11" s="1214">
        <f ca="1">'Adjusted spend'!AF7</f>
        <v>0.98913509938032007</v>
      </c>
      <c r="F11" s="1212"/>
      <c r="G11" s="1212"/>
      <c r="H11" s="1212"/>
      <c r="I11" s="1212"/>
      <c r="J11" s="1212"/>
      <c r="K11" s="1212"/>
      <c r="L11" s="1212"/>
      <c r="M11" s="1212"/>
    </row>
    <row r="12" spans="1:13">
      <c r="A12" s="1212" t="s">
        <v>379</v>
      </c>
      <c r="B12" s="1214">
        <f ca="1">'Adjusted spend'!AC8</f>
        <v>7.3386270491803316</v>
      </c>
      <c r="C12" s="1214">
        <f ca="1">'Adjusted spend'!AD8</f>
        <v>5.2870612625231814</v>
      </c>
      <c r="D12" s="1214">
        <f ca="1">'Adjusted spend'!AE8</f>
        <v>3.5773970543778972</v>
      </c>
      <c r="E12" s="1214">
        <f ca="1">'Adjusted spend'!AF8</f>
        <v>2.7182588438117818</v>
      </c>
      <c r="F12" s="1212"/>
      <c r="G12" s="1212"/>
      <c r="H12" s="1212"/>
      <c r="I12" s="1212"/>
      <c r="J12" s="1212"/>
      <c r="K12" s="1212"/>
      <c r="L12" s="1212"/>
      <c r="M12" s="1212"/>
    </row>
    <row r="13" spans="1:13">
      <c r="A13" s="1212" t="s">
        <v>165</v>
      </c>
      <c r="B13" s="1214">
        <f ca="1">'Adjusted spend'!AC9</f>
        <v>12.849001024590166</v>
      </c>
      <c r="C13" s="1214">
        <f ca="1">'Adjusted spend'!AD9</f>
        <v>8.2473546985434893</v>
      </c>
      <c r="D13" s="1214">
        <f ca="1">'Adjusted spend'!AE9</f>
        <v>5.564425819438128</v>
      </c>
      <c r="E13" s="1214">
        <f ca="1">'Adjusted spend'!AF9</f>
        <v>4.3188039929484887</v>
      </c>
      <c r="F13" s="1212"/>
      <c r="G13" s="1212"/>
      <c r="H13" s="1212"/>
      <c r="I13" s="1212"/>
      <c r="J13" s="1212"/>
      <c r="K13" s="1212"/>
      <c r="L13" s="1212"/>
      <c r="M13" s="1212"/>
    </row>
    <row r="14" spans="1:13">
      <c r="A14" s="1212" t="s">
        <v>167</v>
      </c>
      <c r="B14" s="1214">
        <f ca="1">'Adjusted spend'!AC10</f>
        <v>16.979380122950815</v>
      </c>
      <c r="C14" s="1214">
        <f ca="1">'Adjusted spend'!AD10</f>
        <v>10.47138322665846</v>
      </c>
      <c r="D14" s="1214">
        <f ca="1">'Adjusted spend'!AE10</f>
        <v>7.0931361071806123</v>
      </c>
      <c r="E14" s="1214">
        <f ca="1">'Adjusted spend'!AF10</f>
        <v>5.4886729923693878</v>
      </c>
      <c r="F14" s="1212"/>
      <c r="G14" s="1212"/>
      <c r="H14" s="1212"/>
      <c r="I14" s="1212"/>
      <c r="J14" s="1212"/>
      <c r="K14" s="1212"/>
      <c r="L14" s="1212"/>
      <c r="M14" s="1212"/>
    </row>
    <row r="15" spans="1:13">
      <c r="A15" s="1212" t="s">
        <v>168</v>
      </c>
      <c r="B15" s="1214">
        <f ca="1">'Adjusted spend'!AC11</f>
        <v>19.991248292349724</v>
      </c>
      <c r="C15" s="1214">
        <f ca="1">'Adjusted spend'!AD11</f>
        <v>10.97841944196341</v>
      </c>
      <c r="D15" s="1214">
        <f ca="1">'Adjusted spend'!AE11</f>
        <v>6.9979625159736685</v>
      </c>
      <c r="E15" s="1214">
        <f ca="1">'Adjusted spend'!AF11</f>
        <v>5.1541899506557343</v>
      </c>
      <c r="F15" s="1212"/>
      <c r="G15" s="1212"/>
      <c r="H15" s="1212"/>
      <c r="I15" s="1212"/>
      <c r="J15" s="1212"/>
      <c r="K15" s="1212"/>
      <c r="L15" s="1212"/>
      <c r="M15" s="1212"/>
    </row>
    <row r="16" spans="1:13">
      <c r="A16" s="1212" t="s">
        <v>169</v>
      </c>
      <c r="B16" s="1214">
        <f ca="1">'Adjusted spend'!AC12</f>
        <v>31.906378073770469</v>
      </c>
      <c r="C16" s="1214">
        <f ca="1">'Adjusted spend'!AD12</f>
        <v>19.174723340032244</v>
      </c>
      <c r="D16" s="1214">
        <f ca="1">'Adjusted spend'!AE12</f>
        <v>14.275975234811639</v>
      </c>
      <c r="E16" s="1214">
        <f ca="1">'Adjusted spend'!AF12</f>
        <v>11.921539343605716</v>
      </c>
      <c r="I16" s="1212"/>
      <c r="J16" s="1212"/>
    </row>
    <row r="17" spans="1:5">
      <c r="A17" s="1212" t="s">
        <v>170</v>
      </c>
      <c r="B17" s="1214">
        <f ca="1">'Adjusted spend'!AC13</f>
        <v>52.799479166666686</v>
      </c>
      <c r="C17" s="1214">
        <f ca="1">'Adjusted spend'!AD13</f>
        <v>31.021120904241371</v>
      </c>
      <c r="D17" s="1214">
        <f ca="1">'Adjusted spend'!AE13</f>
        <v>25.421502837809172</v>
      </c>
      <c r="E17" s="1214">
        <f ca="1">'Adjusted spend'!AF13</f>
        <v>22.62273241968937</v>
      </c>
    </row>
    <row r="18" spans="1:5">
      <c r="A18" s="1212" t="s">
        <v>171</v>
      </c>
      <c r="B18" s="1214">
        <f ca="1">'Adjusted spend'!AC14</f>
        <v>59.52228483606558</v>
      </c>
      <c r="C18" s="1214">
        <f ca="1">'Adjusted spend'!AD14</f>
        <v>37.589662051419708</v>
      </c>
      <c r="D18" s="1214">
        <f ca="1">'Adjusted spend'!AE14</f>
        <v>31.176166266443971</v>
      </c>
      <c r="E18" s="1214">
        <f ca="1">'Adjusted spend'!AF14</f>
        <v>27.949640859406827</v>
      </c>
    </row>
    <row r="19" spans="1:5">
      <c r="A19" s="1212" t="s">
        <v>172</v>
      </c>
      <c r="B19" s="1214">
        <f ca="1">'Adjusted spend'!AC15</f>
        <v>68.72438524590163</v>
      </c>
      <c r="C19" s="1214">
        <f ca="1">'Adjusted spend'!AD15</f>
        <v>35.843746669612983</v>
      </c>
      <c r="D19" s="1214">
        <f ca="1">'Adjusted spend'!AE15</f>
        <v>28.260870555036774</v>
      </c>
      <c r="E19" s="1214">
        <f ca="1">'Adjusted spend'!AF15</f>
        <v>24.883231062854549</v>
      </c>
    </row>
    <row r="20" spans="1:5">
      <c r="A20" s="1212" t="s">
        <v>173</v>
      </c>
      <c r="B20" s="1214">
        <f ca="1">'Adjusted spend'!AC16</f>
        <v>79.461236338797818</v>
      </c>
      <c r="C20" s="1214">
        <f ca="1">'Adjusted spend'!AD16</f>
        <v>36.133192204576488</v>
      </c>
      <c r="D20" s="1214">
        <f ca="1">'Adjusted spend'!AE16</f>
        <v>27.212762586295639</v>
      </c>
      <c r="E20" s="1214">
        <f ca="1">'Adjusted spend'!AF16</f>
        <v>23.884247834909814</v>
      </c>
    </row>
    <row r="21" spans="1:5">
      <c r="A21" s="1212" t="s">
        <v>174</v>
      </c>
      <c r="B21" s="1214">
        <f ca="1">'Adjusted spend'!AC17</f>
        <v>88.480084528688508</v>
      </c>
      <c r="C21" s="1214">
        <f ca="1">'Adjusted spend'!AD17</f>
        <v>39.658168646036074</v>
      </c>
      <c r="D21" s="1214">
        <f ca="1">'Adjusted spend'!AE17</f>
        <v>29.173646261883079</v>
      </c>
      <c r="E21" s="1214">
        <f ca="1">'Adjusted spend'!AF17</f>
        <v>25.462112259404805</v>
      </c>
    </row>
    <row r="22" spans="1:5">
      <c r="A22" s="1212" t="s">
        <v>139</v>
      </c>
      <c r="B22" s="1214">
        <f ca="1">'Adjusted spend'!AC18</f>
        <v>99.73038197476626</v>
      </c>
      <c r="C22" s="1214">
        <f ca="1">'Adjusted spend'!AD18</f>
        <v>44.545497297580852</v>
      </c>
      <c r="D22" s="1214">
        <f ca="1">'Adjusted spend'!AE18</f>
        <v>32.476322720836663</v>
      </c>
      <c r="E22" s="1214">
        <f ca="1">'Adjusted spend'!AF18</f>
        <v>28.238903266560897</v>
      </c>
    </row>
    <row r="23" spans="1:5">
      <c r="A23" s="1212" t="s">
        <v>678</v>
      </c>
      <c r="B23" s="1215">
        <f ca="1">'Adjusted spend'!M23</f>
        <v>5.934399977780469E-2</v>
      </c>
      <c r="C23" s="1215">
        <f ca="1">'Adjusted spend'!N23</f>
        <v>3.1178178361740194E-2</v>
      </c>
      <c r="D23" s="1215">
        <f ca="1">'Adjusted spend'!P23</f>
        <v>2.3712930069574201E-2</v>
      </c>
      <c r="E23" s="1215">
        <f ca="1">'Adjusted spend'!Q23</f>
        <v>2.094336158680532E-2</v>
      </c>
    </row>
    <row r="24" spans="1:5">
      <c r="A24" s="1212"/>
      <c r="B24" s="1212"/>
      <c r="C24" s="1212"/>
      <c r="D24" s="1212"/>
    </row>
    <row r="25" spans="1:5">
      <c r="A25" s="1212" t="s">
        <v>679</v>
      </c>
      <c r="B25" s="1212"/>
      <c r="C25" s="1212"/>
      <c r="D25" s="1212"/>
    </row>
    <row r="26" spans="1:5">
      <c r="A26" s="1212" t="s">
        <v>680</v>
      </c>
    </row>
    <row r="27" spans="1:5">
      <c r="A27" s="1212"/>
    </row>
    <row r="28" spans="1:5">
      <c r="A28" s="1212"/>
    </row>
  </sheetData>
  <hyperlinks>
    <hyperlink ref="A7" r:id="rId1" xr:uid="{B7DEAD94-C1DA-4F9E-BEE0-0F02015B5709}"/>
  </hyperlinks>
  <pageMargins left="0.7" right="0.7" top="0.75" bottom="0.75" header="0.3" footer="0.3"/>
  <pageSetup paperSize="9" orientation="portrait"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ED7F2-7B8A-4713-974E-18AC83D2288F}">
  <sheetPr>
    <tabColor rgb="FFFFFF00"/>
    <pageSetUpPr fitToPage="1"/>
  </sheetPr>
  <dimension ref="A1:BA159"/>
  <sheetViews>
    <sheetView zoomScaleNormal="100" workbookViewId="0">
      <pane xSplit="1" topLeftCell="B1" activePane="topRight" state="frozen"/>
      <selection pane="topRight" activeCell="A7" sqref="A7"/>
    </sheetView>
  </sheetViews>
  <sheetFormatPr defaultColWidth="10.453125" defaultRowHeight="14.5"/>
  <cols>
    <col min="1" max="1" width="49.1796875" style="634" bestFit="1" customWidth="1"/>
    <col min="2" max="2" width="10.54296875" style="1" customWidth="1"/>
    <col min="3" max="4" width="10" style="1" customWidth="1"/>
    <col min="5" max="5" width="11.1796875" style="1" customWidth="1"/>
    <col min="6" max="6" width="12" style="1" bestFit="1" customWidth="1"/>
    <col min="7" max="7" width="11.453125" style="1" bestFit="1" customWidth="1"/>
    <col min="8" max="8" width="8.453125" style="1" bestFit="1" customWidth="1"/>
    <col min="9" max="10" width="12.453125" style="1" bestFit="1" customWidth="1"/>
    <col min="11" max="11" width="10.54296875" style="1" bestFit="1" customWidth="1"/>
    <col min="12" max="14" width="12.453125" style="1" bestFit="1" customWidth="1"/>
    <col min="15" max="16" width="14.453125" style="1" bestFit="1" customWidth="1"/>
    <col min="17" max="17" width="14.453125" style="492" bestFit="1" customWidth="1"/>
    <col min="18" max="18" width="27.54296875" style="505" customWidth="1"/>
    <col min="19" max="19" width="27.54296875" style="492" customWidth="1"/>
    <col min="20" max="20" width="22" style="1" customWidth="1"/>
    <col min="21" max="21" width="19.1796875" style="1" customWidth="1"/>
    <col min="22" max="16384" width="10.453125" style="1"/>
  </cols>
  <sheetData>
    <row r="1" spans="1:53">
      <c r="B1" s="1041" t="s">
        <v>325</v>
      </c>
      <c r="C1" s="1041" t="s">
        <v>188</v>
      </c>
      <c r="D1" s="1041" t="s">
        <v>189</v>
      </c>
      <c r="E1" s="1041" t="s">
        <v>681</v>
      </c>
      <c r="F1" s="1041" t="s">
        <v>245</v>
      </c>
      <c r="G1" s="1041" t="s">
        <v>192</v>
      </c>
      <c r="H1" s="1041" t="s">
        <v>193</v>
      </c>
      <c r="I1" s="1041" t="s">
        <v>165</v>
      </c>
      <c r="J1" s="1041" t="s">
        <v>167</v>
      </c>
      <c r="K1" s="1041" t="s">
        <v>168</v>
      </c>
      <c r="L1" s="1041" t="s">
        <v>169</v>
      </c>
      <c r="M1" s="1041" t="s">
        <v>170</v>
      </c>
      <c r="N1" s="1041" t="s">
        <v>171</v>
      </c>
      <c r="O1" s="1042" t="s">
        <v>172</v>
      </c>
      <c r="P1" s="1042" t="s">
        <v>173</v>
      </c>
      <c r="Q1" s="518" t="s">
        <v>174</v>
      </c>
      <c r="R1" s="1043" t="s">
        <v>18</v>
      </c>
      <c r="S1" s="1044" t="s">
        <v>181</v>
      </c>
    </row>
    <row r="2" spans="1:53" ht="15" thickBot="1"/>
    <row r="3" spans="1:53" ht="15" thickBot="1">
      <c r="A3" s="635" t="s">
        <v>653</v>
      </c>
      <c r="B3" s="359" t="s">
        <v>325</v>
      </c>
      <c r="C3" s="359" t="s">
        <v>188</v>
      </c>
      <c r="D3" s="359" t="s">
        <v>189</v>
      </c>
      <c r="E3" s="359" t="s">
        <v>681</v>
      </c>
      <c r="F3" s="359" t="s">
        <v>245</v>
      </c>
      <c r="G3" s="359" t="s">
        <v>192</v>
      </c>
      <c r="H3" s="359" t="s">
        <v>193</v>
      </c>
      <c r="I3" s="359" t="s">
        <v>165</v>
      </c>
      <c r="J3" s="359" t="s">
        <v>167</v>
      </c>
      <c r="K3" s="359" t="s">
        <v>168</v>
      </c>
      <c r="L3" s="359" t="s">
        <v>169</v>
      </c>
      <c r="M3" s="359" t="s">
        <v>170</v>
      </c>
      <c r="N3" s="359" t="s">
        <v>171</v>
      </c>
      <c r="O3" s="482" t="s">
        <v>172</v>
      </c>
      <c r="P3" s="482" t="s">
        <v>173</v>
      </c>
      <c r="Q3" s="493" t="s">
        <v>174</v>
      </c>
      <c r="R3" s="1045"/>
      <c r="S3" s="1046"/>
      <c r="T3" s="37" t="s">
        <v>6</v>
      </c>
      <c r="U3" s="3"/>
      <c r="V3" s="3"/>
      <c r="W3" s="1" t="s">
        <v>682</v>
      </c>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spans="1:53">
      <c r="T4" s="38" t="s">
        <v>7</v>
      </c>
      <c r="U4" s="3"/>
      <c r="V4" s="3"/>
    </row>
    <row r="5" spans="1:53">
      <c r="A5" s="636" t="s">
        <v>131</v>
      </c>
      <c r="B5" s="46"/>
      <c r="C5" s="46"/>
      <c r="D5" s="46"/>
      <c r="E5" s="46"/>
      <c r="F5" s="46"/>
      <c r="G5" s="46"/>
      <c r="H5" s="46"/>
      <c r="I5" s="46"/>
      <c r="J5" s="46"/>
      <c r="K5" s="46"/>
      <c r="L5" s="46"/>
      <c r="O5" s="10"/>
      <c r="P5" s="10"/>
      <c r="Q5" s="494"/>
      <c r="R5" s="506"/>
      <c r="T5" s="44" t="s">
        <v>8</v>
      </c>
      <c r="U5" s="3"/>
      <c r="V5" s="3"/>
    </row>
    <row r="6" spans="1:53">
      <c r="A6" s="634" t="s">
        <v>683</v>
      </c>
      <c r="B6" s="10">
        <f>B17+B48</f>
        <v>98.419471999999999</v>
      </c>
      <c r="C6" s="10">
        <f t="shared" ref="C6:Q6" si="0">C17+C48</f>
        <v>100.4182657547</v>
      </c>
      <c r="D6" s="10">
        <f t="shared" si="0"/>
        <v>102.84384659996036</v>
      </c>
      <c r="E6" s="10">
        <f t="shared" si="0"/>
        <v>105.22123510716945</v>
      </c>
      <c r="F6" s="10">
        <f t="shared" si="0"/>
        <v>109.77430665328011</v>
      </c>
      <c r="G6" s="10">
        <f t="shared" si="0"/>
        <v>113.344612</v>
      </c>
      <c r="H6" s="10">
        <f t="shared" si="0"/>
        <v>117.247606</v>
      </c>
      <c r="I6" s="10">
        <f t="shared" si="0"/>
        <v>121.556</v>
      </c>
      <c r="J6" s="10">
        <f t="shared" si="0"/>
        <v>125.15600000000001</v>
      </c>
      <c r="K6" s="10">
        <f t="shared" si="0"/>
        <v>128.39599999999999</v>
      </c>
      <c r="L6" s="10">
        <f t="shared" si="0"/>
        <v>138.45499999999998</v>
      </c>
      <c r="M6" s="10">
        <f t="shared" si="0"/>
        <v>190.61</v>
      </c>
      <c r="N6" s="10">
        <f t="shared" si="0"/>
        <v>187.274</v>
      </c>
      <c r="O6" s="10">
        <f t="shared" si="0"/>
        <v>181.69299999999998</v>
      </c>
      <c r="P6" s="10">
        <f t="shared" si="0"/>
        <v>185.59299999999999</v>
      </c>
      <c r="Q6" s="10">
        <f t="shared" si="0"/>
        <v>189.702</v>
      </c>
      <c r="R6" s="507" t="s">
        <v>684</v>
      </c>
      <c r="S6" s="901" t="s">
        <v>685</v>
      </c>
      <c r="U6" s="3"/>
      <c r="V6" s="3"/>
    </row>
    <row r="7" spans="1:53">
      <c r="A7" s="634" t="s">
        <v>683</v>
      </c>
      <c r="B7" s="10"/>
      <c r="C7" s="10"/>
      <c r="D7" s="10"/>
      <c r="E7" s="10"/>
      <c r="F7" s="10"/>
      <c r="G7" s="10"/>
      <c r="H7" s="10"/>
      <c r="I7" s="10"/>
      <c r="J7" s="10"/>
      <c r="K7" s="1016"/>
      <c r="L7" s="1016"/>
      <c r="M7" s="1016"/>
      <c r="N7" s="1016"/>
      <c r="O7" s="1016"/>
      <c r="P7" s="1016"/>
      <c r="Q7" s="1016"/>
      <c r="R7" s="507"/>
      <c r="S7" s="901"/>
      <c r="U7" s="3"/>
      <c r="V7" s="3"/>
    </row>
    <row r="8" spans="1:53">
      <c r="A8" s="1020" t="s">
        <v>686</v>
      </c>
      <c r="B8" s="10"/>
      <c r="C8" s="10"/>
      <c r="D8" s="10"/>
      <c r="E8" s="10"/>
      <c r="F8" s="10"/>
      <c r="G8" s="10"/>
      <c r="H8" s="10"/>
      <c r="I8" s="10"/>
      <c r="J8" s="10"/>
      <c r="K8" s="10"/>
      <c r="L8" s="10"/>
      <c r="M8" s="10">
        <f>'Comparison across fiscal events'!E33</f>
        <v>144.9</v>
      </c>
      <c r="N8" s="10">
        <f>'Comparison across fiscal events'!F34</f>
        <v>153.1</v>
      </c>
      <c r="O8" s="974"/>
      <c r="P8" s="974"/>
      <c r="Q8" s="974"/>
      <c r="R8" s="507" t="s">
        <v>262</v>
      </c>
      <c r="S8" s="907" t="s">
        <v>246</v>
      </c>
      <c r="T8" s="44"/>
      <c r="U8" s="3"/>
      <c r="V8" s="3"/>
    </row>
    <row r="9" spans="1:53">
      <c r="A9" s="1020" t="s">
        <v>687</v>
      </c>
      <c r="B9" s="10"/>
      <c r="C9" s="10"/>
      <c r="D9" s="10"/>
      <c r="E9" s="10"/>
      <c r="F9" s="10"/>
      <c r="G9" s="10"/>
      <c r="H9" s="10"/>
      <c r="I9" s="10"/>
      <c r="J9" s="10"/>
      <c r="K9" s="10"/>
      <c r="L9" s="10"/>
      <c r="M9" s="599">
        <f>M16+M47</f>
        <v>45.709999999999994</v>
      </c>
      <c r="N9" s="599">
        <f>N16+N47</f>
        <v>34.174000000000007</v>
      </c>
      <c r="O9" s="75"/>
      <c r="P9" s="75"/>
      <c r="Q9" s="75"/>
      <c r="R9" s="508" t="s">
        <v>688</v>
      </c>
      <c r="S9" s="524" t="s">
        <v>689</v>
      </c>
      <c r="T9" s="43" t="s">
        <v>9</v>
      </c>
      <c r="U9" s="3"/>
      <c r="V9" s="3"/>
    </row>
    <row r="10" spans="1:53">
      <c r="A10" s="637" t="s">
        <v>690</v>
      </c>
      <c r="B10" s="10"/>
      <c r="C10" s="10"/>
      <c r="D10" s="10"/>
      <c r="E10" s="10"/>
      <c r="F10" s="10"/>
      <c r="G10" s="10"/>
      <c r="H10" s="10"/>
      <c r="I10" s="10"/>
      <c r="J10" s="10"/>
      <c r="K10" s="10"/>
      <c r="L10" s="10"/>
      <c r="M10" s="341">
        <f>M6-192.951</f>
        <v>-2.3409999999999798</v>
      </c>
      <c r="N10" s="360">
        <f>N6-189.758</f>
        <v>-2.4840000000000089</v>
      </c>
      <c r="O10" s="289"/>
      <c r="P10" s="288"/>
      <c r="Q10" s="495"/>
      <c r="R10" s="508"/>
      <c r="S10" s="524"/>
      <c r="U10" s="3"/>
      <c r="V10" s="3"/>
    </row>
    <row r="11" spans="1:53" s="30" customFormat="1">
      <c r="A11" s="638" t="s">
        <v>691</v>
      </c>
      <c r="B11" s="536">
        <f>B6/'All dept spending'!B7</f>
        <v>0.25819751875103297</v>
      </c>
      <c r="C11" s="536">
        <f>C6/'All dept spending'!C7</f>
        <v>0.26415779703718317</v>
      </c>
      <c r="D11" s="536">
        <f>D6/'All dept spending'!D7</f>
        <v>0.28249613134304352</v>
      </c>
      <c r="E11" s="536">
        <f>E6/'All dept spending'!E7</f>
        <v>0.29554202227681375</v>
      </c>
      <c r="F11" s="536">
        <f>F6/'All dept spending'!F7</f>
        <v>0.30654394588506689</v>
      </c>
      <c r="G11" s="536">
        <f>G6/'All dept spending'!G7</f>
        <v>0.31395573110705471</v>
      </c>
      <c r="H11" s="536">
        <f>H6/'All dept spending'!H7</f>
        <v>0.32994871549538346</v>
      </c>
      <c r="I11" s="536">
        <f>I6/'All dept spending'!I7</f>
        <v>0.3365980765982427</v>
      </c>
      <c r="J11" s="536">
        <f>J6/'All dept spending'!J7</f>
        <v>0.33699890140663036</v>
      </c>
      <c r="K11" s="536">
        <f>K6/'All dept spending'!K7</f>
        <v>0.3346347311631786</v>
      </c>
      <c r="L11" s="536">
        <f>L6/'All dept spending'!L7</f>
        <v>0.33309275498297902</v>
      </c>
      <c r="M11" s="536">
        <f>M6/'All dept spending'!M7</f>
        <v>0.33681796173976969</v>
      </c>
      <c r="N11" s="536">
        <f>N6/'All dept spending'!N7</f>
        <v>0.34374816446402351</v>
      </c>
      <c r="O11" s="536">
        <f>O6/'All dept spending'!O7</f>
        <v>0.31982573490582639</v>
      </c>
      <c r="P11" s="536">
        <f>P6/'All dept spending'!P7</f>
        <v>0.32778700105969616</v>
      </c>
      <c r="Q11" s="536">
        <f>Q6/'All dept spending'!Q7</f>
        <v>0.33269379165205187</v>
      </c>
      <c r="R11" s="537"/>
      <c r="S11" s="520"/>
      <c r="U11" s="538"/>
      <c r="V11" s="538"/>
      <c r="AF11" s="538" t="s">
        <v>692</v>
      </c>
      <c r="AG11" s="538" t="s">
        <v>693</v>
      </c>
      <c r="AH11" s="30" t="s">
        <v>694</v>
      </c>
      <c r="AI11" s="30" t="s">
        <v>695</v>
      </c>
      <c r="AJ11" s="30" t="s">
        <v>692</v>
      </c>
    </row>
    <row r="12" spans="1:53" s="30" customFormat="1">
      <c r="A12" s="638" t="s">
        <v>696</v>
      </c>
      <c r="B12" s="536">
        <f>B8/'All dept spending'!B17</f>
        <v>0</v>
      </c>
      <c r="C12" s="536">
        <f>C8/'All dept spending'!C17</f>
        <v>0</v>
      </c>
      <c r="D12" s="536">
        <f>D8/'All dept spending'!D17</f>
        <v>0</v>
      </c>
      <c r="E12" s="536">
        <f>E8/'All dept spending'!E17</f>
        <v>0</v>
      </c>
      <c r="F12" s="536">
        <f>F8/'All dept spending'!F17</f>
        <v>0</v>
      </c>
      <c r="G12" s="536">
        <f>G8/'All dept spending'!G17</f>
        <v>0</v>
      </c>
      <c r="H12" s="536">
        <f>H8/'All dept spending'!H17</f>
        <v>0</v>
      </c>
      <c r="I12" s="536">
        <f>I8/'All dept spending'!I17</f>
        <v>0</v>
      </c>
      <c r="J12" s="536">
        <f>J8/'All dept spending'!J17</f>
        <v>0</v>
      </c>
      <c r="K12" s="536">
        <f>K8/'All dept spending'!K17</f>
        <v>0</v>
      </c>
      <c r="L12" s="536">
        <f>L8/'All dept spending'!L17</f>
        <v>0</v>
      </c>
      <c r="M12" s="536">
        <f>M8/'All dept spending'!M17</f>
        <v>0.33013301011132024</v>
      </c>
      <c r="N12" s="536">
        <f>N8/'All dept spending'!N17</f>
        <v>0.32623055614745367</v>
      </c>
      <c r="O12" s="536"/>
      <c r="P12" s="536"/>
      <c r="Q12" s="536"/>
      <c r="R12" s="537"/>
      <c r="S12" s="520"/>
      <c r="AE12" s="30" t="s">
        <v>245</v>
      </c>
      <c r="AF12" s="538">
        <v>93.695999999999998</v>
      </c>
      <c r="AG12" s="538"/>
    </row>
    <row r="13" spans="1:53">
      <c r="A13" s="639"/>
      <c r="B13" s="10"/>
      <c r="C13" s="10"/>
      <c r="D13" s="10"/>
      <c r="E13" s="10"/>
      <c r="F13" s="10"/>
      <c r="G13" s="10"/>
      <c r="H13" s="54"/>
      <c r="I13" s="54"/>
      <c r="J13" s="54"/>
      <c r="K13" s="54"/>
      <c r="L13" s="54"/>
      <c r="M13" s="10">
        <f>M8+M9-M6</f>
        <v>0</v>
      </c>
      <c r="N13" s="10">
        <f>N8+N9-N6</f>
        <v>0</v>
      </c>
      <c r="O13" s="158"/>
      <c r="P13" s="158"/>
      <c r="Q13" s="496"/>
      <c r="R13" s="508"/>
      <c r="S13" s="524"/>
      <c r="AE13" s="1" t="s">
        <v>192</v>
      </c>
      <c r="AF13" s="3">
        <v>97.097999999999999</v>
      </c>
      <c r="AG13" s="3"/>
    </row>
    <row r="14" spans="1:53">
      <c r="A14" s="640" t="s">
        <v>697</v>
      </c>
      <c r="O14" s="10"/>
      <c r="P14" s="10"/>
      <c r="Q14" s="494"/>
      <c r="R14" s="506"/>
      <c r="S14" s="531"/>
      <c r="AE14" s="1" t="s">
        <v>193</v>
      </c>
      <c r="AF14" s="3">
        <v>100.572</v>
      </c>
      <c r="AG14" s="3"/>
    </row>
    <row r="15" spans="1:53">
      <c r="A15" s="641" t="s">
        <v>698</v>
      </c>
      <c r="B15" s="8">
        <v>93.237196999999995</v>
      </c>
      <c r="C15" s="8">
        <v>95.373037754700007</v>
      </c>
      <c r="D15" s="8">
        <v>98.174857755873688</v>
      </c>
      <c r="E15" s="8">
        <v>100.51299589163999</v>
      </c>
      <c r="F15" s="806">
        <v>104.40736065328011</v>
      </c>
      <c r="G15" s="806">
        <v>108.373357</v>
      </c>
      <c r="H15" s="806">
        <v>112.595276</v>
      </c>
      <c r="I15" s="805">
        <v>117</v>
      </c>
      <c r="J15" s="806">
        <v>119.91800000000001</v>
      </c>
      <c r="K15" s="806">
        <f>'Comparison across fiscal events'!C5</f>
        <v>124.35899999999999</v>
      </c>
      <c r="L15" s="806">
        <f>'Comparison across fiscal events'!D5</f>
        <v>133.48400000000001</v>
      </c>
      <c r="M15" s="806">
        <f>'Comparison across fiscal events'!E5</f>
        <v>136.30000000000001</v>
      </c>
      <c r="N15" s="806">
        <f>'Comparison across fiscal events'!F5</f>
        <v>144.1</v>
      </c>
      <c r="O15" s="171"/>
      <c r="P15" s="805"/>
      <c r="Q15" s="807"/>
      <c r="R15" s="507"/>
      <c r="S15" s="528"/>
      <c r="AE15" s="1" t="s">
        <v>165</v>
      </c>
      <c r="AF15" s="3">
        <v>105.735</v>
      </c>
      <c r="AG15" s="3"/>
    </row>
    <row r="16" spans="1:53">
      <c r="A16" s="642" t="s">
        <v>699</v>
      </c>
      <c r="B16" s="46"/>
      <c r="C16" s="46"/>
      <c r="D16" s="46"/>
      <c r="E16" s="46"/>
      <c r="F16" s="808"/>
      <c r="G16" s="808"/>
      <c r="H16" s="808"/>
      <c r="I16" s="808"/>
      <c r="J16" s="808"/>
      <c r="K16" s="808"/>
      <c r="L16" s="808"/>
      <c r="M16" s="805">
        <f>M17-M15</f>
        <v>41.605999999999995</v>
      </c>
      <c r="N16" s="805">
        <f>N17-N15</f>
        <v>34.055000000000007</v>
      </c>
      <c r="O16" s="360"/>
      <c r="P16" s="360"/>
      <c r="Q16" s="809"/>
      <c r="R16" s="507"/>
      <c r="S16" s="524"/>
      <c r="AE16" s="1" t="s">
        <v>167</v>
      </c>
      <c r="AF16" s="3">
        <v>109.605</v>
      </c>
      <c r="AG16" s="3"/>
    </row>
    <row r="17" spans="1:40">
      <c r="A17" s="642" t="s">
        <v>700</v>
      </c>
      <c r="B17" s="46">
        <f t="shared" ref="B17:H17" si="1">SUM(B15:B16)</f>
        <v>93.237196999999995</v>
      </c>
      <c r="C17" s="46">
        <f t="shared" si="1"/>
        <v>95.373037754700007</v>
      </c>
      <c r="D17" s="46">
        <f t="shared" si="1"/>
        <v>98.174857755873688</v>
      </c>
      <c r="E17" s="46">
        <f t="shared" si="1"/>
        <v>100.51299589163999</v>
      </c>
      <c r="F17" s="808">
        <f t="shared" si="1"/>
        <v>104.40736065328011</v>
      </c>
      <c r="G17" s="808">
        <f t="shared" si="1"/>
        <v>108.373357</v>
      </c>
      <c r="H17" s="808">
        <f t="shared" si="1"/>
        <v>112.595276</v>
      </c>
      <c r="I17" s="360">
        <f>I15</f>
        <v>117</v>
      </c>
      <c r="J17" s="360">
        <f>J15</f>
        <v>119.91800000000001</v>
      </c>
      <c r="K17" s="360">
        <v>122.455</v>
      </c>
      <c r="L17" s="810">
        <v>131.44</v>
      </c>
      <c r="M17" s="811">
        <v>177.90600000000001</v>
      </c>
      <c r="N17" s="811">
        <v>178.155</v>
      </c>
      <c r="O17">
        <v>171.797</v>
      </c>
      <c r="P17">
        <v>173.505</v>
      </c>
      <c r="Q17">
        <v>177.06200000000001</v>
      </c>
      <c r="R17" s="747"/>
      <c r="S17" s="492" t="s">
        <v>701</v>
      </c>
      <c r="AE17" s="1" t="s">
        <v>168</v>
      </c>
      <c r="AF17" s="3">
        <v>114.5</v>
      </c>
      <c r="AG17" s="3"/>
    </row>
    <row r="18" spans="1:40">
      <c r="A18" s="642" t="s">
        <v>702</v>
      </c>
      <c r="B18" s="46"/>
      <c r="C18" s="46"/>
      <c r="D18" s="46"/>
      <c r="E18" s="46"/>
      <c r="F18" s="808"/>
      <c r="G18" s="808"/>
      <c r="H18" s="808"/>
      <c r="I18" s="360"/>
      <c r="K18" s="360">
        <v>125.279</v>
      </c>
      <c r="L18" s="810">
        <v>134.184</v>
      </c>
      <c r="M18" s="811">
        <v>181.441</v>
      </c>
      <c r="N18" s="811">
        <v>183.548</v>
      </c>
      <c r="O18" s="811">
        <v>176.631</v>
      </c>
      <c r="P18" s="811">
        <v>178.578</v>
      </c>
      <c r="Q18" s="811">
        <v>182.25200000000001</v>
      </c>
      <c r="R18" s="747"/>
      <c r="AF18" s="3"/>
      <c r="AG18" s="3"/>
    </row>
    <row r="19" spans="1:40">
      <c r="A19" s="643" t="s">
        <v>703</v>
      </c>
      <c r="B19" s="487" t="e">
        <f t="shared" ref="B19:N19" si="2">B15/B8</f>
        <v>#DIV/0!</v>
      </c>
      <c r="C19" s="487" t="e">
        <f t="shared" si="2"/>
        <v>#DIV/0!</v>
      </c>
      <c r="D19" s="487" t="e">
        <f t="shared" si="2"/>
        <v>#DIV/0!</v>
      </c>
      <c r="E19" s="487" t="e">
        <f t="shared" si="2"/>
        <v>#DIV/0!</v>
      </c>
      <c r="F19" s="487" t="e">
        <f t="shared" si="2"/>
        <v>#DIV/0!</v>
      </c>
      <c r="G19" s="487" t="e">
        <f t="shared" si="2"/>
        <v>#DIV/0!</v>
      </c>
      <c r="H19" s="487" t="e">
        <f t="shared" si="2"/>
        <v>#DIV/0!</v>
      </c>
      <c r="I19" s="487" t="e">
        <f t="shared" si="2"/>
        <v>#DIV/0!</v>
      </c>
      <c r="J19" s="487" t="e">
        <f t="shared" si="2"/>
        <v>#DIV/0!</v>
      </c>
      <c r="K19" s="487" t="e">
        <f t="shared" si="2"/>
        <v>#DIV/0!</v>
      </c>
      <c r="L19" s="487" t="e">
        <f t="shared" si="2"/>
        <v>#DIV/0!</v>
      </c>
      <c r="M19" s="487">
        <f t="shared" si="2"/>
        <v>0.94064872325741899</v>
      </c>
      <c r="N19" s="487">
        <f t="shared" si="2"/>
        <v>0.94121489222730237</v>
      </c>
      <c r="O19" s="488">
        <f>O17/O6</f>
        <v>0.94553450050359678</v>
      </c>
      <c r="P19" s="488">
        <f>P17/P6</f>
        <v>0.93486823317689782</v>
      </c>
      <c r="Q19" s="498">
        <f>Q17/Q6</f>
        <v>0.93336917902816008</v>
      </c>
      <c r="R19" s="509">
        <f>O17-'Comparison across fiscal events'!G5</f>
        <v>3.5970000000000084</v>
      </c>
      <c r="S19" s="494" t="s">
        <v>704</v>
      </c>
      <c r="AE19" s="1" t="s">
        <v>169</v>
      </c>
      <c r="AF19" s="3"/>
      <c r="AG19" s="1">
        <f>AL19/1000000000</f>
        <v>122.00303266722828</v>
      </c>
      <c r="AH19" s="1">
        <f>AM19/1000000000</f>
        <v>122.00303266722828</v>
      </c>
      <c r="AI19" s="1">
        <f>AN19/1000000000</f>
        <v>122.00303266722828</v>
      </c>
      <c r="AJ19" s="1">
        <v>123.377</v>
      </c>
      <c r="AL19" s="3">
        <v>122003032667.22829</v>
      </c>
      <c r="AM19" s="1">
        <v>122003032667.22829</v>
      </c>
      <c r="AN19" s="1">
        <v>122003032667.22829</v>
      </c>
    </row>
    <row r="20" spans="1:40">
      <c r="A20" s="637"/>
      <c r="B20" s="489"/>
      <c r="C20" s="489"/>
      <c r="D20" s="489"/>
      <c r="E20" s="489"/>
      <c r="F20" s="489"/>
      <c r="G20" s="489"/>
      <c r="H20" s="489"/>
      <c r="I20" s="489"/>
      <c r="J20" s="489"/>
      <c r="K20" s="489"/>
      <c r="L20" s="489"/>
      <c r="M20" s="489"/>
      <c r="N20" s="489"/>
      <c r="O20" s="490"/>
      <c r="P20" s="490"/>
      <c r="Q20" s="499"/>
      <c r="R20" s="509">
        <f>6.2-R19</f>
        <v>2.6029999999999918</v>
      </c>
      <c r="S20" s="494" t="s">
        <v>705</v>
      </c>
      <c r="AF20" s="3"/>
      <c r="AL20" s="3"/>
    </row>
    <row r="21" spans="1:40">
      <c r="A21" s="644" t="s">
        <v>706</v>
      </c>
      <c r="AE21" s="1" t="s">
        <v>170</v>
      </c>
      <c r="AF21" s="3"/>
      <c r="AG21" s="1">
        <f t="shared" ref="AG21:AI22" si="3">AL21/1000000000</f>
        <v>131.00256290711522</v>
      </c>
      <c r="AH21" s="1">
        <f t="shared" si="3"/>
        <v>131.00256290711522</v>
      </c>
      <c r="AI21" s="1">
        <f t="shared" si="3"/>
        <v>131.00256290711522</v>
      </c>
      <c r="AJ21" s="1">
        <v>149.47499999999999</v>
      </c>
      <c r="AL21" s="3">
        <v>131002562907.11522</v>
      </c>
      <c r="AM21" s="1">
        <v>131002562907.11522</v>
      </c>
      <c r="AN21" s="1">
        <v>131002562907.11522</v>
      </c>
    </row>
    <row r="22" spans="1:40">
      <c r="A22" s="645" t="s">
        <v>707</v>
      </c>
      <c r="AE22" s="1" t="s">
        <v>171</v>
      </c>
      <c r="AG22" s="1">
        <f t="shared" si="3"/>
        <v>137.45858284952092</v>
      </c>
      <c r="AH22" s="1">
        <f t="shared" si="3"/>
        <v>138.02573856834391</v>
      </c>
      <c r="AI22" s="1">
        <f t="shared" si="3"/>
        <v>136.27675731252802</v>
      </c>
      <c r="AJ22" s="1">
        <v>150.57799999999997</v>
      </c>
      <c r="AL22" s="1">
        <v>137458582849.52094</v>
      </c>
      <c r="AM22" s="1">
        <v>138025738568.3439</v>
      </c>
      <c r="AN22" s="1">
        <v>136276757312.52803</v>
      </c>
    </row>
    <row r="23" spans="1:40">
      <c r="A23" s="646" t="s">
        <v>708</v>
      </c>
      <c r="F23" s="10">
        <v>93.695999999999998</v>
      </c>
      <c r="G23" s="10">
        <v>97.097999999999999</v>
      </c>
      <c r="H23" s="10">
        <v>100.572</v>
      </c>
      <c r="I23" s="10">
        <v>105.735</v>
      </c>
      <c r="J23" s="10">
        <v>109.605</v>
      </c>
      <c r="K23" s="1">
        <f>'Comparison across fiscal events'!C12</f>
        <v>114.5</v>
      </c>
      <c r="L23" s="1">
        <v>120.807</v>
      </c>
      <c r="M23" s="1">
        <v>127.00700000000001</v>
      </c>
      <c r="N23" s="1">
        <v>133.28299999999999</v>
      </c>
      <c r="O23" s="10">
        <f>O24+O31</f>
        <v>158.387</v>
      </c>
      <c r="P23" s="10">
        <f>P24+P31</f>
        <v>164.4</v>
      </c>
      <c r="Q23" s="10">
        <f>Q24+Q31</f>
        <v>165.9</v>
      </c>
      <c r="AE23" s="1" t="s">
        <v>172</v>
      </c>
      <c r="AF23"/>
      <c r="AG23" s="1">
        <f>AL23/1000000000</f>
        <v>149.57857637005168</v>
      </c>
      <c r="AH23" s="1">
        <f>AM23/1000000000</f>
        <v>149.62026393735431</v>
      </c>
      <c r="AI23" s="1">
        <f>AN23/1000000000</f>
        <v>145.72983580296537</v>
      </c>
      <c r="AJ23" s="1">
        <v>152.595</v>
      </c>
      <c r="AL23">
        <v>149578576370.05167</v>
      </c>
      <c r="AM23" s="1">
        <v>149620263937.35431</v>
      </c>
      <c r="AN23" s="1">
        <v>145729835802.96536</v>
      </c>
    </row>
    <row r="24" spans="1:40">
      <c r="A24" s="646" t="s">
        <v>709</v>
      </c>
      <c r="F24" s="10"/>
      <c r="G24" s="10"/>
      <c r="H24" s="10"/>
      <c r="I24" s="10"/>
      <c r="J24" s="10"/>
      <c r="K24" s="1013">
        <v>112.42700000000001</v>
      </c>
      <c r="L24" s="1013">
        <v>121.70699999999999</v>
      </c>
      <c r="M24" s="1013">
        <v>141.02600000000001</v>
      </c>
      <c r="N24" s="1013">
        <v>146.68100000000001</v>
      </c>
      <c r="O24" s="10">
        <v>155.08699999999999</v>
      </c>
      <c r="P24" s="10">
        <v>161.1</v>
      </c>
      <c r="Q24">
        <v>162.5</v>
      </c>
      <c r="R24" s="1"/>
      <c r="S24" s="1"/>
      <c r="AF24"/>
      <c r="AL24"/>
    </row>
    <row r="25" spans="1:40">
      <c r="A25" s="646" t="s">
        <v>232</v>
      </c>
      <c r="F25" s="10"/>
      <c r="G25" s="10"/>
      <c r="H25" s="10"/>
      <c r="I25" s="10"/>
      <c r="J25" s="10"/>
      <c r="L25" s="129">
        <v>2.851</v>
      </c>
      <c r="M25" s="129">
        <v>2.851</v>
      </c>
      <c r="N25" s="129">
        <v>2.851</v>
      </c>
      <c r="O25" s="129">
        <v>2.851</v>
      </c>
      <c r="P25" s="129">
        <v>2.851</v>
      </c>
      <c r="Q25" s="129">
        <v>2.851</v>
      </c>
      <c r="AF25"/>
      <c r="AL25"/>
    </row>
    <row r="26" spans="1:40">
      <c r="A26" s="646" t="s">
        <v>710</v>
      </c>
      <c r="F26" s="10"/>
      <c r="G26" s="10"/>
      <c r="H26" s="10"/>
      <c r="I26" s="10"/>
      <c r="J26" s="10"/>
      <c r="K26" s="1013">
        <f>K24</f>
        <v>112.42700000000001</v>
      </c>
      <c r="L26" s="129">
        <f>L24-L25</f>
        <v>118.85599999999999</v>
      </c>
      <c r="M26" s="129">
        <f t="shared" ref="M26:Q26" si="4">M24-M25</f>
        <v>138.17500000000001</v>
      </c>
      <c r="N26" s="129">
        <f t="shared" si="4"/>
        <v>143.83000000000001</v>
      </c>
      <c r="O26" s="129">
        <f t="shared" si="4"/>
        <v>152.23599999999999</v>
      </c>
      <c r="P26" s="129">
        <f t="shared" si="4"/>
        <v>158.249</v>
      </c>
      <c r="Q26" s="129">
        <f t="shared" si="4"/>
        <v>159.649</v>
      </c>
      <c r="R26" s="1"/>
      <c r="S26" s="1"/>
      <c r="AF26"/>
      <c r="AL26"/>
    </row>
    <row r="27" spans="1:40">
      <c r="A27" s="1004" t="s">
        <v>286</v>
      </c>
      <c r="F27" s="10"/>
      <c r="G27" s="10"/>
      <c r="H27" s="10"/>
      <c r="I27" s="10"/>
      <c r="J27" s="10"/>
      <c r="K27" s="304"/>
      <c r="O27" s="10"/>
      <c r="P27" s="10"/>
      <c r="Q27" s="10"/>
      <c r="R27" s="1"/>
      <c r="S27" s="1"/>
      <c r="AF27"/>
      <c r="AL27"/>
    </row>
    <row r="28" spans="1:40">
      <c r="A28" t="s">
        <v>711</v>
      </c>
      <c r="F28" s="10"/>
      <c r="G28" s="10"/>
      <c r="H28" s="10"/>
      <c r="I28" s="10"/>
      <c r="J28" s="10"/>
      <c r="K28">
        <v>-8.5500000000000003E-3</v>
      </c>
      <c r="L28">
        <v>-8.5500000000000003E-3</v>
      </c>
      <c r="M28">
        <v>-8.5500000000000003E-3</v>
      </c>
      <c r="N28">
        <v>-8.5500000000000003E-3</v>
      </c>
      <c r="O28">
        <v>-8.5500000000000003E-3</v>
      </c>
      <c r="P28">
        <v>-8.5500000000000003E-3</v>
      </c>
      <c r="Q28">
        <v>-8.5500000000000003E-3</v>
      </c>
      <c r="R28" s="1"/>
      <c r="S28" s="1"/>
      <c r="AF28"/>
      <c r="AL28"/>
    </row>
    <row r="29" spans="1:40" customFormat="1">
      <c r="A29" s="646" t="s">
        <v>712</v>
      </c>
      <c r="B29" s="1"/>
      <c r="C29" s="1"/>
      <c r="D29" s="1"/>
      <c r="E29" s="1"/>
      <c r="F29" s="1"/>
      <c r="G29" s="1"/>
      <c r="H29" s="1"/>
      <c r="I29" s="1"/>
      <c r="J29" s="1"/>
      <c r="K29" s="1"/>
      <c r="L29" s="1"/>
      <c r="M29" s="10">
        <v>19.988</v>
      </c>
      <c r="N29" s="10">
        <v>16.295000000000002</v>
      </c>
      <c r="O29" s="1"/>
      <c r="P29" s="14"/>
      <c r="Q29" s="14"/>
    </row>
    <row r="30" spans="1:40" customFormat="1">
      <c r="A30" s="646" t="s">
        <v>713</v>
      </c>
      <c r="B30" s="1"/>
      <c r="C30" s="1"/>
      <c r="D30" s="1"/>
      <c r="E30" s="1"/>
      <c r="F30" s="1"/>
      <c r="G30" s="1"/>
      <c r="H30" s="1"/>
      <c r="I30" s="1"/>
      <c r="J30" s="1"/>
      <c r="K30" s="1"/>
      <c r="L30" s="1">
        <v>-0.28100000000000003</v>
      </c>
      <c r="M30" s="1">
        <v>-0.371</v>
      </c>
      <c r="N30" s="1">
        <v>-1.8149999999999999</v>
      </c>
      <c r="O30" s="1"/>
      <c r="P30" s="14"/>
      <c r="Q30" s="14"/>
    </row>
    <row r="31" spans="1:40">
      <c r="A31" s="646" t="s">
        <v>714</v>
      </c>
      <c r="F31" s="10"/>
      <c r="G31" s="10"/>
      <c r="H31" s="10"/>
      <c r="I31" s="10"/>
      <c r="J31" s="10"/>
      <c r="O31" s="129">
        <v>3.3</v>
      </c>
      <c r="P31" s="129">
        <v>3.3</v>
      </c>
      <c r="Q31" s="129">
        <v>3.4</v>
      </c>
      <c r="AF31"/>
      <c r="AL31"/>
    </row>
    <row r="32" spans="1:40">
      <c r="A32" s="646"/>
      <c r="F32" s="10"/>
      <c r="G32" s="10"/>
      <c r="H32" s="10"/>
      <c r="I32" s="10"/>
      <c r="J32" s="10"/>
      <c r="O32" s="129"/>
      <c r="P32" s="129"/>
      <c r="Q32" s="129"/>
      <c r="AF32"/>
      <c r="AL32"/>
    </row>
    <row r="33" spans="1:38">
      <c r="A33" s="646"/>
      <c r="F33" s="10"/>
      <c r="G33" s="10"/>
      <c r="H33" s="10"/>
      <c r="I33" s="10"/>
      <c r="J33" s="10"/>
      <c r="K33" s="10"/>
      <c r="L33" s="10"/>
      <c r="M33" s="10"/>
      <c r="N33" s="10"/>
      <c r="O33" s="10"/>
      <c r="P33" s="10"/>
      <c r="Q33" s="14"/>
      <c r="AF33"/>
      <c r="AL33"/>
    </row>
    <row r="34" spans="1:38" s="30" customFormat="1">
      <c r="A34" s="643" t="s">
        <v>715</v>
      </c>
      <c r="B34" s="539"/>
      <c r="C34" s="539"/>
      <c r="D34" s="539"/>
      <c r="E34" s="539"/>
      <c r="F34" s="540">
        <f t="shared" ref="F34:N34" si="5">F23/F15</f>
        <v>0.89740799320796161</v>
      </c>
      <c r="G34" s="540">
        <f t="shared" si="5"/>
        <v>0.89595821969416334</v>
      </c>
      <c r="H34" s="540">
        <f t="shared" si="5"/>
        <v>0.89321686995109817</v>
      </c>
      <c r="I34" s="540">
        <f t="shared" si="5"/>
        <v>0.90371794871794875</v>
      </c>
      <c r="J34" s="540">
        <f t="shared" si="5"/>
        <v>0.91399956637035307</v>
      </c>
      <c r="K34" s="540">
        <f t="shared" si="5"/>
        <v>0.92072145964505991</v>
      </c>
      <c r="L34" s="540">
        <f t="shared" si="5"/>
        <v>0.9050298163075724</v>
      </c>
      <c r="M34" s="540">
        <f t="shared" si="5"/>
        <v>0.93181951577402788</v>
      </c>
      <c r="N34" s="540">
        <f t="shared" si="5"/>
        <v>0.92493407356002766</v>
      </c>
      <c r="O34" s="541" t="e">
        <f>#REF!/O17</f>
        <v>#REF!</v>
      </c>
      <c r="P34" s="541" t="e">
        <f>#REF!/P17</f>
        <v>#REF!</v>
      </c>
      <c r="Q34" s="541" t="e">
        <f>#REF!/Q17</f>
        <v>#REF!</v>
      </c>
      <c r="R34" s="537"/>
      <c r="S34" s="520"/>
    </row>
    <row r="35" spans="1:38" s="30" customFormat="1">
      <c r="A35" s="643" t="s">
        <v>716</v>
      </c>
      <c r="B35" s="539"/>
      <c r="C35" s="539"/>
      <c r="D35" s="539"/>
      <c r="E35" s="539"/>
      <c r="F35" s="540"/>
      <c r="G35" s="540"/>
      <c r="H35" s="540"/>
      <c r="I35" s="540"/>
      <c r="J35" s="540"/>
      <c r="K35" s="540"/>
      <c r="L35" s="540"/>
      <c r="M35" s="540"/>
      <c r="N35" s="540"/>
      <c r="O35" s="973">
        <v>2.3180000000000001</v>
      </c>
      <c r="P35" s="973">
        <v>3.0209999999999999</v>
      </c>
      <c r="Q35" s="973">
        <v>3.1219999999999999</v>
      </c>
      <c r="R35" s="537"/>
      <c r="S35" s="520"/>
    </row>
    <row r="36" spans="1:38" s="30" customFormat="1">
      <c r="A36" s="643" t="s">
        <v>717</v>
      </c>
      <c r="B36" s="539"/>
      <c r="C36" s="539"/>
      <c r="D36" s="539"/>
      <c r="E36" s="539"/>
      <c r="F36" s="540"/>
      <c r="G36" s="540"/>
      <c r="H36" s="540"/>
      <c r="I36" s="540"/>
      <c r="J36" s="540"/>
      <c r="K36" s="540"/>
      <c r="L36" s="540"/>
      <c r="M36" s="973"/>
      <c r="N36" s="973"/>
      <c r="O36" s="973">
        <v>6.6410000000000036</v>
      </c>
      <c r="P36" s="973">
        <v>3.0609999999999937</v>
      </c>
      <c r="Q36" s="973">
        <v>1.5612559672965602</v>
      </c>
      <c r="R36" s="537"/>
      <c r="S36" s="520"/>
    </row>
    <row r="37" spans="1:38">
      <c r="V37" s="1">
        <v>105.735</v>
      </c>
    </row>
    <row r="38" spans="1:38">
      <c r="A38" s="647" t="s">
        <v>718</v>
      </c>
      <c r="B38" s="10"/>
      <c r="C38" s="10"/>
      <c r="D38" s="10"/>
      <c r="E38" s="10"/>
      <c r="F38" s="10">
        <f>F15-F23</f>
        <v>10.71136065328011</v>
      </c>
      <c r="G38" s="10">
        <f>G15-G23</f>
        <v>11.275357</v>
      </c>
      <c r="H38" s="10">
        <f>H15-H23</f>
        <v>12.023275999999996</v>
      </c>
      <c r="I38" s="10">
        <f>I15-I23</f>
        <v>11.265000000000001</v>
      </c>
      <c r="J38" s="10" t="e">
        <f>J17-#REF!</f>
        <v>#REF!</v>
      </c>
      <c r="K38" s="10">
        <f>K15-K23</f>
        <v>9.8589999999999947</v>
      </c>
      <c r="L38" s="10" t="e">
        <f>L17-#REF!</f>
        <v>#REF!</v>
      </c>
      <c r="M38" s="10" t="e">
        <f>M17-#REF!</f>
        <v>#REF!</v>
      </c>
      <c r="N38" s="10" t="e">
        <f>N17-#REF!</f>
        <v>#REF!</v>
      </c>
      <c r="O38" s="10" t="e">
        <f>O17-#REF!</f>
        <v>#REF!</v>
      </c>
      <c r="P38" s="10" t="e">
        <f>P17-#REF!</f>
        <v>#REF!</v>
      </c>
      <c r="Q38" s="10" t="e">
        <f>Q17-#REF!</f>
        <v>#REF!</v>
      </c>
      <c r="U38" s="3"/>
      <c r="V38" s="3">
        <v>109.605</v>
      </c>
    </row>
    <row r="39" spans="1:38">
      <c r="A39" s="648" t="s">
        <v>301</v>
      </c>
      <c r="B39" s="46"/>
      <c r="C39" s="46"/>
      <c r="D39" s="46"/>
      <c r="E39" s="46"/>
      <c r="F39" s="46"/>
      <c r="G39" s="46"/>
      <c r="H39" s="46"/>
      <c r="I39" s="46"/>
      <c r="J39" s="46"/>
      <c r="K39" s="46"/>
      <c r="L39" s="46"/>
      <c r="M39" s="10"/>
      <c r="P39" s="484"/>
      <c r="Q39" s="494"/>
      <c r="U39" s="3"/>
      <c r="V39" s="3">
        <v>114.5</v>
      </c>
    </row>
    <row r="40" spans="1:38">
      <c r="A40" s="649" t="s">
        <v>719</v>
      </c>
      <c r="B40" s="468"/>
      <c r="C40" s="468"/>
      <c r="D40" s="468"/>
      <c r="E40" s="468"/>
      <c r="F40" s="468">
        <f>4877/1000</f>
        <v>4.8769999999999998</v>
      </c>
      <c r="G40" s="468">
        <f>4907/1000</f>
        <v>4.907</v>
      </c>
      <c r="H40" s="468">
        <f>4870/1000</f>
        <v>4.87</v>
      </c>
      <c r="I40" s="468">
        <f>4979/1000</f>
        <v>4.9790000000000001</v>
      </c>
      <c r="J40" s="468">
        <f>4823/1000</f>
        <v>4.8230000000000004</v>
      </c>
      <c r="K40" s="468">
        <f>4445/1000</f>
        <v>4.4450000000000003</v>
      </c>
      <c r="L40" s="479">
        <f>4103/1000</f>
        <v>4.1029999999999998</v>
      </c>
      <c r="M40" s="455">
        <v>4.2830000000000004</v>
      </c>
      <c r="N40" s="452">
        <v>5.0091000000000001</v>
      </c>
      <c r="O40" s="452">
        <v>5.5114000000000001</v>
      </c>
      <c r="P40" s="447">
        <v>5.048</v>
      </c>
      <c r="Q40" s="708">
        <v>5.048</v>
      </c>
      <c r="R40" s="510" t="s">
        <v>720</v>
      </c>
      <c r="S40" s="532" t="s">
        <v>721</v>
      </c>
      <c r="T40" s="480" t="s">
        <v>722</v>
      </c>
      <c r="U40" s="3"/>
      <c r="V40" s="3">
        <v>123.75</v>
      </c>
    </row>
    <row r="41" spans="1:38">
      <c r="A41" s="649" t="s">
        <v>723</v>
      </c>
      <c r="B41" s="468"/>
      <c r="C41" s="468"/>
      <c r="D41" s="468"/>
      <c r="E41" s="468"/>
      <c r="F41" s="468">
        <v>2.511844</v>
      </c>
      <c r="G41" s="468">
        <v>2.7368519999999998</v>
      </c>
      <c r="H41" s="468">
        <f>3465799.1761287/1000000</f>
        <v>3.4657991761286997</v>
      </c>
      <c r="I41" s="544">
        <v>3.3879999999999999</v>
      </c>
      <c r="J41" s="544">
        <v>3.0910000000000002</v>
      </c>
      <c r="K41" s="545">
        <v>3.0110000000000001</v>
      </c>
      <c r="L41" s="545">
        <v>2.9319999999999999</v>
      </c>
      <c r="M41" s="546">
        <v>4.2060000000000004</v>
      </c>
      <c r="N41" s="452">
        <v>3.8530000000000002</v>
      </c>
      <c r="O41" s="547">
        <v>3.4169999999999998</v>
      </c>
      <c r="P41" s="547">
        <v>3.5</v>
      </c>
      <c r="Q41" s="1003">
        <v>3.5</v>
      </c>
      <c r="R41" s="510" t="s">
        <v>216</v>
      </c>
      <c r="S41" s="525"/>
      <c r="T41" s="485">
        <v>0</v>
      </c>
      <c r="U41" s="3"/>
      <c r="V41" s="3">
        <v>147.96299999999999</v>
      </c>
    </row>
    <row r="42" spans="1:38">
      <c r="A42" s="649" t="s">
        <v>16</v>
      </c>
      <c r="B42" s="468"/>
      <c r="C42" s="468"/>
      <c r="D42" s="468"/>
      <c r="E42" s="468"/>
      <c r="F42" s="468"/>
      <c r="G42" s="468"/>
      <c r="H42" s="468"/>
      <c r="I42" s="544">
        <f>I38-(SUM(I40:I41))</f>
        <v>2.8979999999999997</v>
      </c>
      <c r="J42" s="544" t="e">
        <f t="shared" ref="J42:Q42" si="6">J38-(SUM(J40:J41))</f>
        <v>#REF!</v>
      </c>
      <c r="K42" s="544">
        <f t="shared" si="6"/>
        <v>2.4029999999999943</v>
      </c>
      <c r="L42" s="544" t="e">
        <f t="shared" si="6"/>
        <v>#REF!</v>
      </c>
      <c r="M42" s="544" t="e">
        <f t="shared" si="6"/>
        <v>#REF!</v>
      </c>
      <c r="N42" s="544" t="e">
        <f t="shared" si="6"/>
        <v>#REF!</v>
      </c>
      <c r="O42" s="544" t="e">
        <f t="shared" si="6"/>
        <v>#REF!</v>
      </c>
      <c r="P42" s="544" t="e">
        <f t="shared" si="6"/>
        <v>#REF!</v>
      </c>
      <c r="Q42" s="544" t="e">
        <f t="shared" si="6"/>
        <v>#REF!</v>
      </c>
      <c r="R42" s="510"/>
      <c r="S42" s="525"/>
      <c r="T42" s="485"/>
      <c r="U42" s="3"/>
      <c r="V42" s="3"/>
    </row>
    <row r="43" spans="1:38" s="30" customFormat="1">
      <c r="A43" s="643" t="s">
        <v>724</v>
      </c>
      <c r="B43" s="539"/>
      <c r="C43" s="539"/>
      <c r="D43" s="539"/>
      <c r="E43" s="539"/>
      <c r="F43" s="540">
        <f t="shared" ref="F43:N43" si="7">F38/F15</f>
        <v>0.10259200679203835</v>
      </c>
      <c r="G43" s="540">
        <f t="shared" si="7"/>
        <v>0.10404178030583661</v>
      </c>
      <c r="H43" s="540">
        <f t="shared" si="7"/>
        <v>0.10678313004890183</v>
      </c>
      <c r="I43" s="540">
        <f t="shared" si="7"/>
        <v>9.6282051282051292E-2</v>
      </c>
      <c r="J43" s="540" t="e">
        <f t="shared" si="7"/>
        <v>#REF!</v>
      </c>
      <c r="K43" s="540">
        <f t="shared" si="7"/>
        <v>7.92785403549401E-2</v>
      </c>
      <c r="L43" s="540" t="e">
        <f t="shared" si="7"/>
        <v>#REF!</v>
      </c>
      <c r="M43" s="540" t="e">
        <f t="shared" si="7"/>
        <v>#REF!</v>
      </c>
      <c r="N43" s="540" t="e">
        <f t="shared" si="7"/>
        <v>#REF!</v>
      </c>
      <c r="O43" s="541" t="e">
        <f>O38/O17</f>
        <v>#REF!</v>
      </c>
      <c r="P43" s="541" t="e">
        <f>P38/P17</f>
        <v>#REF!</v>
      </c>
      <c r="Q43" s="541" t="e">
        <f>Q38/Q17</f>
        <v>#REF!</v>
      </c>
      <c r="R43" s="537"/>
      <c r="S43" s="520"/>
      <c r="V43" s="30">
        <v>150.614</v>
      </c>
    </row>
    <row r="44" spans="1:38">
      <c r="U44" s="3"/>
      <c r="V44" s="3">
        <v>155.4</v>
      </c>
    </row>
    <row r="45" spans="1:38">
      <c r="A45" s="640" t="s">
        <v>130</v>
      </c>
      <c r="B45" s="8"/>
      <c r="C45" s="8"/>
      <c r="D45" s="8"/>
      <c r="E45" s="8"/>
      <c r="F45" s="8"/>
      <c r="G45" s="8"/>
      <c r="H45" s="8"/>
      <c r="I45" s="8"/>
      <c r="J45" s="8"/>
      <c r="K45" s="8"/>
      <c r="L45" s="97"/>
      <c r="M45" s="8"/>
      <c r="N45" s="8"/>
      <c r="O45" s="29"/>
      <c r="P45" s="362"/>
      <c r="Q45" s="500"/>
      <c r="R45" s="814"/>
      <c r="S45" s="494"/>
      <c r="T45" s="163"/>
      <c r="V45" s="1">
        <v>160.4</v>
      </c>
    </row>
    <row r="46" spans="1:38">
      <c r="A46" s="634" t="s">
        <v>725</v>
      </c>
      <c r="B46" s="486">
        <v>5.1822749999999997</v>
      </c>
      <c r="C46" s="486">
        <v>5.0452279999999998</v>
      </c>
      <c r="D46" s="486">
        <v>4.6689888440866669</v>
      </c>
      <c r="E46" s="486">
        <v>4.7082392155294608</v>
      </c>
      <c r="F46" s="486">
        <v>5.3669460000000004</v>
      </c>
      <c r="G46" s="486">
        <v>4.9712550000000002</v>
      </c>
      <c r="H46" s="486">
        <v>4.6523300000000001</v>
      </c>
      <c r="I46" s="96">
        <v>4.556</v>
      </c>
      <c r="J46" s="96">
        <v>5.2380000000000004</v>
      </c>
      <c r="K46" s="96">
        <f>'Comparison across fiscal events'!C27</f>
        <v>5.9409999999999998</v>
      </c>
      <c r="L46" s="96">
        <f>'Comparison across fiscal events'!D27</f>
        <v>7.0149999999999997</v>
      </c>
      <c r="M46" s="96">
        <f>'Comparison across fiscal events'!E27</f>
        <v>8.6</v>
      </c>
      <c r="N46" s="96">
        <f>'Comparison across fiscal events'!F27</f>
        <v>9</v>
      </c>
      <c r="O46" s="363"/>
      <c r="P46" s="363"/>
      <c r="Q46" s="501"/>
      <c r="R46" s="507"/>
      <c r="T46" s="10"/>
      <c r="U46" s="3"/>
      <c r="V46" s="3">
        <v>165.9</v>
      </c>
      <c r="AD46" s="46"/>
    </row>
    <row r="47" spans="1:38">
      <c r="A47" s="634" t="s">
        <v>726</v>
      </c>
      <c r="B47" s="46"/>
      <c r="C47" s="46"/>
      <c r="D47" s="46"/>
      <c r="E47" s="46"/>
      <c r="F47" s="46"/>
      <c r="G47" s="46"/>
      <c r="H47" s="46"/>
      <c r="I47" s="46"/>
      <c r="J47" s="46"/>
      <c r="K47" s="46"/>
      <c r="L47" s="46"/>
      <c r="M47" s="676">
        <f>M48-M46</f>
        <v>4.104000000000001</v>
      </c>
      <c r="N47" s="676">
        <f>N48-N46</f>
        <v>0.11899999999999977</v>
      </c>
      <c r="O47" s="364"/>
      <c r="P47" s="364"/>
      <c r="Q47" s="813">
        <f>Q48-O48</f>
        <v>2.7439999999999998</v>
      </c>
      <c r="R47" s="507"/>
      <c r="T47" s="10"/>
      <c r="U47" s="3"/>
      <c r="V47" s="3"/>
    </row>
    <row r="48" spans="1:38">
      <c r="A48" s="634" t="s">
        <v>727</v>
      </c>
      <c r="B48" s="46">
        <f t="shared" ref="B48:J48" si="8">SUM(B46:B47)</f>
        <v>5.1822749999999997</v>
      </c>
      <c r="C48" s="46">
        <f t="shared" si="8"/>
        <v>5.0452279999999998</v>
      </c>
      <c r="D48" s="46">
        <f t="shared" si="8"/>
        <v>4.6689888440866669</v>
      </c>
      <c r="E48" s="46">
        <f t="shared" si="8"/>
        <v>4.7082392155294608</v>
      </c>
      <c r="F48" s="46">
        <f t="shared" si="8"/>
        <v>5.3669460000000004</v>
      </c>
      <c r="G48" s="46">
        <f t="shared" si="8"/>
        <v>4.9712550000000002</v>
      </c>
      <c r="H48" s="46">
        <f t="shared" si="8"/>
        <v>4.6523300000000001</v>
      </c>
      <c r="I48" s="46">
        <f t="shared" si="8"/>
        <v>4.556</v>
      </c>
      <c r="J48" s="46">
        <f t="shared" si="8"/>
        <v>5.2380000000000004</v>
      </c>
      <c r="K48" s="46">
        <v>5.9409999999999998</v>
      </c>
      <c r="L48" s="46">
        <v>7.0149999999999997</v>
      </c>
      <c r="M48" s="46">
        <v>12.704000000000001</v>
      </c>
      <c r="N48" s="46">
        <v>9.1189999999999998</v>
      </c>
      <c r="O48">
        <v>9.8960000000000008</v>
      </c>
      <c r="P48">
        <v>12.087999999999999</v>
      </c>
      <c r="Q48">
        <v>12.64</v>
      </c>
      <c r="S48" s="931" t="s">
        <v>246</v>
      </c>
      <c r="T48" s="10"/>
      <c r="U48" s="3"/>
      <c r="V48" s="3"/>
    </row>
    <row r="49" spans="1:22" s="30" customFormat="1">
      <c r="A49" s="643" t="s">
        <v>728</v>
      </c>
      <c r="B49" s="487" t="e">
        <f t="shared" ref="B49:N49" si="9">B46/B8</f>
        <v>#DIV/0!</v>
      </c>
      <c r="C49" s="487" t="e">
        <f t="shared" si="9"/>
        <v>#DIV/0!</v>
      </c>
      <c r="D49" s="487" t="e">
        <f t="shared" si="9"/>
        <v>#DIV/0!</v>
      </c>
      <c r="E49" s="487" t="e">
        <f t="shared" si="9"/>
        <v>#DIV/0!</v>
      </c>
      <c r="F49" s="487" t="e">
        <f t="shared" si="9"/>
        <v>#DIV/0!</v>
      </c>
      <c r="G49" s="487" t="e">
        <f t="shared" si="9"/>
        <v>#DIV/0!</v>
      </c>
      <c r="H49" s="487" t="e">
        <f t="shared" si="9"/>
        <v>#DIV/0!</v>
      </c>
      <c r="I49" s="487" t="e">
        <f t="shared" si="9"/>
        <v>#DIV/0!</v>
      </c>
      <c r="J49" s="487" t="e">
        <f t="shared" si="9"/>
        <v>#DIV/0!</v>
      </c>
      <c r="K49" s="487" t="e">
        <f t="shared" si="9"/>
        <v>#DIV/0!</v>
      </c>
      <c r="L49" s="487" t="e">
        <f t="shared" si="9"/>
        <v>#DIV/0!</v>
      </c>
      <c r="M49" s="487">
        <f t="shared" si="9"/>
        <v>5.9351276742581088E-2</v>
      </c>
      <c r="N49" s="487">
        <f t="shared" si="9"/>
        <v>5.8785107772697583E-2</v>
      </c>
      <c r="O49" s="487">
        <f>O48/O6</f>
        <v>5.446549949640328E-2</v>
      </c>
      <c r="P49" s="487">
        <f>P48/P6</f>
        <v>6.5131766823102163E-2</v>
      </c>
      <c r="Q49" s="487">
        <f>Q48/Q6</f>
        <v>6.6630820971840046E-2</v>
      </c>
      <c r="R49" s="804"/>
      <c r="S49" s="520" t="s">
        <v>704</v>
      </c>
      <c r="T49" s="361"/>
      <c r="U49" s="538"/>
      <c r="V49" s="538"/>
    </row>
    <row r="50" spans="1:22">
      <c r="A50" s="650"/>
      <c r="B50" s="46"/>
      <c r="C50" s="46"/>
      <c r="D50" s="46"/>
      <c r="E50" s="46"/>
      <c r="F50" s="46"/>
      <c r="G50" s="46"/>
      <c r="H50" s="46"/>
      <c r="I50" s="46"/>
      <c r="J50" s="46"/>
      <c r="K50" s="46"/>
      <c r="L50" s="46"/>
      <c r="M50" s="46"/>
      <c r="N50" s="46"/>
      <c r="O50" s="46"/>
      <c r="P50" s="46"/>
      <c r="Q50" s="494"/>
      <c r="T50" s="10"/>
      <c r="U50" s="3"/>
      <c r="V50" s="3"/>
    </row>
    <row r="51" spans="1:22" ht="15" thickBot="1">
      <c r="U51" s="3"/>
      <c r="V51" s="3"/>
    </row>
    <row r="52" spans="1:22" s="491" customFormat="1" ht="15" thickBot="1">
      <c r="A52" s="651" t="s">
        <v>729</v>
      </c>
      <c r="B52" s="725">
        <v>84.6</v>
      </c>
      <c r="C52" s="725">
        <v>86.174999999999997</v>
      </c>
      <c r="D52" s="725">
        <v>87.675000000000011</v>
      </c>
      <c r="E52" s="725">
        <v>89.3</v>
      </c>
      <c r="F52" s="725">
        <v>91.025000000000006</v>
      </c>
      <c r="G52" s="725">
        <v>92.125</v>
      </c>
      <c r="H52" s="725">
        <v>92.8</v>
      </c>
      <c r="I52" s="725">
        <v>94.9</v>
      </c>
      <c r="J52" s="725">
        <v>96.375</v>
      </c>
      <c r="K52" s="725">
        <v>98.4</v>
      </c>
      <c r="L52" s="725">
        <v>100.72499999999999</v>
      </c>
      <c r="M52" s="725">
        <v>106.19999999999999</v>
      </c>
      <c r="N52" s="725">
        <v>105.375</v>
      </c>
      <c r="O52" s="725">
        <v>112.4</v>
      </c>
      <c r="P52" s="725">
        <v>119.2549027044208</v>
      </c>
      <c r="Q52" s="725">
        <v>121.25506271536932</v>
      </c>
      <c r="R52" s="511"/>
      <c r="S52" s="526"/>
    </row>
    <row r="53" spans="1:22" s="936" customFormat="1">
      <c r="A53" s="932"/>
      <c r="B53" s="933"/>
      <c r="C53" s="937">
        <f>C52/B52-1</f>
        <v>1.8617021276595702E-2</v>
      </c>
      <c r="D53" s="937">
        <f t="shared" ref="D53:Q53" si="10">D52/C52-1</f>
        <v>1.7406440382941923E-2</v>
      </c>
      <c r="E53" s="937">
        <f t="shared" si="10"/>
        <v>1.8534359851724913E-2</v>
      </c>
      <c r="F53" s="937">
        <f t="shared" si="10"/>
        <v>1.9316909294512907E-2</v>
      </c>
      <c r="G53" s="937">
        <f t="shared" si="10"/>
        <v>1.2084592145015005E-2</v>
      </c>
      <c r="H53" s="937">
        <f t="shared" si="10"/>
        <v>7.3270013568520476E-3</v>
      </c>
      <c r="I53" s="937">
        <f t="shared" si="10"/>
        <v>2.2629310344827624E-2</v>
      </c>
      <c r="J53" s="937">
        <f t="shared" si="10"/>
        <v>1.5542676501580477E-2</v>
      </c>
      <c r="K53" s="937">
        <f t="shared" si="10"/>
        <v>2.101167315175112E-2</v>
      </c>
      <c r="L53" s="937">
        <f t="shared" si="10"/>
        <v>2.3628048780487632E-2</v>
      </c>
      <c r="M53" s="937">
        <f t="shared" si="10"/>
        <v>5.4355919583022994E-2</v>
      </c>
      <c r="N53" s="937">
        <f t="shared" si="10"/>
        <v>-7.7683615819208462E-3</v>
      </c>
      <c r="O53" s="937">
        <f t="shared" si="10"/>
        <v>6.6666666666666652E-2</v>
      </c>
      <c r="P53" s="937">
        <f t="shared" si="10"/>
        <v>6.0986678864953792E-2</v>
      </c>
      <c r="Q53" s="937">
        <f t="shared" si="10"/>
        <v>1.6772140730398455E-2</v>
      </c>
      <c r="R53" s="934"/>
      <c r="S53" s="935"/>
    </row>
    <row r="54" spans="1:22" ht="15" thickBot="1"/>
    <row r="55" spans="1:22" ht="15" thickBot="1">
      <c r="A55" s="635" t="s">
        <v>730</v>
      </c>
      <c r="B55" s="326" t="str">
        <f t="shared" ref="B55:M55" si="11">B3</f>
        <v>2009-10</v>
      </c>
      <c r="C55" s="326" t="str">
        <f t="shared" si="11"/>
        <v>2010-11</v>
      </c>
      <c r="D55" s="326" t="str">
        <f t="shared" si="11"/>
        <v>2011-12</v>
      </c>
      <c r="E55" s="326" t="str">
        <f t="shared" si="11"/>
        <v xml:space="preserve">2012-13 </v>
      </c>
      <c r="F55" s="326" t="str">
        <f t="shared" si="11"/>
        <v xml:space="preserve"> 2013-14 </v>
      </c>
      <c r="G55" s="326" t="str">
        <f t="shared" si="11"/>
        <v>2014-15</v>
      </c>
      <c r="H55" s="326" t="str">
        <f t="shared" si="11"/>
        <v>2015-16</v>
      </c>
      <c r="I55" s="326" t="str">
        <f t="shared" si="11"/>
        <v>2016-17</v>
      </c>
      <c r="J55" s="326" t="str">
        <f t="shared" si="11"/>
        <v>2017-18</v>
      </c>
      <c r="K55" s="326" t="str">
        <f t="shared" si="11"/>
        <v>2018-19</v>
      </c>
      <c r="L55" s="326" t="str">
        <f t="shared" si="11"/>
        <v>2019-20</v>
      </c>
      <c r="M55" s="327" t="str">
        <f t="shared" si="11"/>
        <v>2020-21</v>
      </c>
      <c r="N55" s="327" t="s">
        <v>171</v>
      </c>
      <c r="O55" s="328" t="s">
        <v>172</v>
      </c>
      <c r="P55" s="328" t="s">
        <v>173</v>
      </c>
      <c r="Q55" s="502" t="s">
        <v>174</v>
      </c>
      <c r="R55" s="1047"/>
      <c r="S55" s="1048"/>
      <c r="T55" s="20"/>
    </row>
    <row r="56" spans="1:22">
      <c r="B56" s="2"/>
      <c r="C56" s="2"/>
      <c r="D56" s="2"/>
      <c r="E56" s="2"/>
      <c r="F56" s="2"/>
      <c r="G56" s="2"/>
      <c r="H56" s="2"/>
      <c r="I56" s="2"/>
      <c r="J56" s="2"/>
      <c r="K56" s="2"/>
      <c r="L56" s="2"/>
      <c r="M56" s="2"/>
      <c r="N56" s="2"/>
      <c r="O56" s="2"/>
      <c r="P56" s="2"/>
      <c r="R56" s="512"/>
      <c r="S56" s="533"/>
      <c r="T56" s="20"/>
    </row>
    <row r="57" spans="1:22">
      <c r="A57" s="652" t="s">
        <v>131</v>
      </c>
      <c r="B57" s="10"/>
      <c r="C57" s="10"/>
      <c r="D57" s="10"/>
      <c r="E57" s="10"/>
      <c r="F57" s="10"/>
      <c r="G57" s="10"/>
      <c r="H57" s="10"/>
      <c r="I57" s="10"/>
      <c r="J57" s="10"/>
      <c r="K57" s="10"/>
      <c r="L57" s="10"/>
      <c r="M57" s="10"/>
      <c r="N57" s="10"/>
      <c r="O57" s="10"/>
      <c r="P57" s="10"/>
      <c r="Q57" s="503"/>
      <c r="S57" s="533"/>
      <c r="T57" s="29"/>
    </row>
    <row r="58" spans="1:22">
      <c r="A58" s="634" t="s">
        <v>686</v>
      </c>
      <c r="B58" s="10">
        <f t="shared" ref="B58:Q58" si="12">(B8/B$52)*$P$52</f>
        <v>0</v>
      </c>
      <c r="C58" s="10">
        <f t="shared" si="12"/>
        <v>0</v>
      </c>
      <c r="D58" s="10">
        <f t="shared" si="12"/>
        <v>0</v>
      </c>
      <c r="E58" s="10">
        <f t="shared" si="12"/>
        <v>0</v>
      </c>
      <c r="F58" s="10">
        <f t="shared" si="12"/>
        <v>0</v>
      </c>
      <c r="G58" s="10">
        <f t="shared" si="12"/>
        <v>0</v>
      </c>
      <c r="H58" s="10">
        <f t="shared" si="12"/>
        <v>0</v>
      </c>
      <c r="I58" s="10">
        <f t="shared" si="12"/>
        <v>0</v>
      </c>
      <c r="J58" s="10">
        <f t="shared" si="12"/>
        <v>0</v>
      </c>
      <c r="K58" s="10">
        <f t="shared" si="12"/>
        <v>0</v>
      </c>
      <c r="L58" s="10">
        <f t="shared" si="12"/>
        <v>0</v>
      </c>
      <c r="M58" s="10">
        <f t="shared" si="12"/>
        <v>162.7121977577267</v>
      </c>
      <c r="N58" s="10">
        <f t="shared" si="12"/>
        <v>173.2661979031727</v>
      </c>
      <c r="O58" s="10">
        <f t="shared" si="12"/>
        <v>0</v>
      </c>
      <c r="P58" s="10">
        <f t="shared" si="12"/>
        <v>0</v>
      </c>
      <c r="Q58" s="10">
        <f t="shared" si="12"/>
        <v>0</v>
      </c>
      <c r="R58" s="513"/>
      <c r="S58" s="534"/>
      <c r="T58" s="29"/>
      <c r="U58" s="3"/>
      <c r="V58" s="3"/>
    </row>
    <row r="59" spans="1:22">
      <c r="A59" s="634" t="s">
        <v>687</v>
      </c>
      <c r="B59" s="10">
        <f t="shared" ref="B59:N59" si="13">(B9/B$52)*$P$52</f>
        <v>0</v>
      </c>
      <c r="C59" s="10">
        <f t="shared" si="13"/>
        <v>0</v>
      </c>
      <c r="D59" s="10">
        <f t="shared" si="13"/>
        <v>0</v>
      </c>
      <c r="E59" s="10">
        <f t="shared" si="13"/>
        <v>0</v>
      </c>
      <c r="F59" s="10">
        <f t="shared" si="13"/>
        <v>0</v>
      </c>
      <c r="G59" s="10">
        <f t="shared" si="13"/>
        <v>0</v>
      </c>
      <c r="H59" s="10">
        <f t="shared" si="13"/>
        <v>0</v>
      </c>
      <c r="I59" s="10">
        <f t="shared" si="13"/>
        <v>0</v>
      </c>
      <c r="J59" s="10">
        <f t="shared" si="13"/>
        <v>0</v>
      </c>
      <c r="K59" s="10">
        <f t="shared" si="13"/>
        <v>0</v>
      </c>
      <c r="L59" s="10">
        <f t="shared" si="13"/>
        <v>0</v>
      </c>
      <c r="M59" s="10">
        <f t="shared" si="13"/>
        <v>51.329016973814262</v>
      </c>
      <c r="N59" s="10">
        <f t="shared" si="13"/>
        <v>38.675369347766328</v>
      </c>
      <c r="O59" s="10"/>
      <c r="P59" s="10"/>
      <c r="Q59" s="10"/>
      <c r="R59" s="514"/>
      <c r="S59" s="533"/>
      <c r="U59" s="3"/>
      <c r="V59" s="3"/>
    </row>
    <row r="60" spans="1:22">
      <c r="A60" s="634" t="s">
        <v>683</v>
      </c>
      <c r="B60" s="10">
        <f t="shared" ref="B60:Q60" si="14">(B6/B$52)*$P$52</f>
        <v>138.73527845839797</v>
      </c>
      <c r="C60" s="10">
        <f t="shared" si="14"/>
        <v>138.965715257597</v>
      </c>
      <c r="D60" s="10">
        <f t="shared" si="14"/>
        <v>139.8874584548235</v>
      </c>
      <c r="E60" s="10">
        <f t="shared" si="14"/>
        <v>140.51677665335365</v>
      </c>
      <c r="F60" s="10">
        <f t="shared" si="14"/>
        <v>143.81899763122408</v>
      </c>
      <c r="G60" s="10">
        <f t="shared" si="14"/>
        <v>146.72348088065485</v>
      </c>
      <c r="H60" s="10">
        <f t="shared" si="14"/>
        <v>150.67189489069253</v>
      </c>
      <c r="I60" s="10">
        <f t="shared" si="14"/>
        <v>152.75183301515884</v>
      </c>
      <c r="J60" s="10">
        <f t="shared" si="14"/>
        <v>154.86865476393763</v>
      </c>
      <c r="K60" s="10">
        <f t="shared" si="14"/>
        <v>155.60825698817897</v>
      </c>
      <c r="L60" s="10">
        <f t="shared" si="14"/>
        <v>163.92591267252996</v>
      </c>
      <c r="M60" s="10">
        <f t="shared" si="14"/>
        <v>214.041214731541</v>
      </c>
      <c r="N60" s="10">
        <f t="shared" si="14"/>
        <v>211.94156725093904</v>
      </c>
      <c r="O60" s="10">
        <f t="shared" si="14"/>
        <v>192.77385264301003</v>
      </c>
      <c r="P60" s="10">
        <f t="shared" si="14"/>
        <v>185.59299999999999</v>
      </c>
      <c r="Q60" s="10">
        <f t="shared" si="14"/>
        <v>186.5727751585793</v>
      </c>
      <c r="R60" s="514">
        <f>(P60/K60)^(1/COUNTA(L60:P60))-1</f>
        <v>3.5871276528142149E-2</v>
      </c>
      <c r="S60" s="533"/>
      <c r="T60" s="14"/>
      <c r="U60" s="3"/>
      <c r="V60" s="3"/>
    </row>
    <row r="61" spans="1:22">
      <c r="A61" s="639"/>
      <c r="B61" s="10"/>
      <c r="C61" s="10"/>
      <c r="D61" s="10"/>
      <c r="E61" s="10"/>
      <c r="F61" s="10"/>
      <c r="G61" s="10"/>
      <c r="H61" s="10"/>
      <c r="I61" s="10"/>
      <c r="J61" s="10"/>
      <c r="K61" s="10"/>
      <c r="L61" s="10"/>
      <c r="M61" s="10"/>
      <c r="N61" s="10"/>
      <c r="O61" s="10"/>
      <c r="P61" s="10"/>
      <c r="Q61" s="494"/>
      <c r="R61" s="515"/>
      <c r="S61" s="533"/>
    </row>
    <row r="62" spans="1:22">
      <c r="A62" s="653" t="s">
        <v>128</v>
      </c>
      <c r="B62" s="10"/>
      <c r="C62" s="10"/>
      <c r="D62" s="10"/>
      <c r="E62" s="10"/>
      <c r="F62" s="10"/>
      <c r="G62" s="10"/>
      <c r="H62" s="10"/>
      <c r="I62" s="10"/>
      <c r="J62" s="10"/>
      <c r="K62" s="10"/>
      <c r="L62" s="10"/>
      <c r="M62" s="10"/>
      <c r="N62" s="10"/>
      <c r="O62" s="10"/>
      <c r="P62" s="10"/>
      <c r="Q62" s="494"/>
      <c r="R62" s="515"/>
      <c r="S62" s="527"/>
    </row>
    <row r="63" spans="1:22">
      <c r="A63" s="641" t="s">
        <v>698</v>
      </c>
      <c r="B63" s="341">
        <f t="shared" ref="B63:N63" si="15">(B15/B$52)*$P$52</f>
        <v>131.43017561073185</v>
      </c>
      <c r="C63" s="341">
        <f t="shared" si="15"/>
        <v>131.98378112053149</v>
      </c>
      <c r="D63" s="341">
        <f t="shared" si="15"/>
        <v>133.53673350096454</v>
      </c>
      <c r="E63" s="341">
        <f t="shared" si="15"/>
        <v>134.22919983860442</v>
      </c>
      <c r="F63" s="341">
        <f t="shared" si="15"/>
        <v>136.78758183281838</v>
      </c>
      <c r="G63" s="341">
        <f t="shared" si="15"/>
        <v>140.28824037760066</v>
      </c>
      <c r="H63" s="341">
        <f t="shared" si="15"/>
        <v>144.69330478833413</v>
      </c>
      <c r="I63" s="341">
        <f t="shared" si="15"/>
        <v>147.0265923753133</v>
      </c>
      <c r="J63" s="341">
        <f t="shared" si="15"/>
        <v>148.38712760060943</v>
      </c>
      <c r="K63" s="341">
        <f t="shared" si="15"/>
        <v>150.71565493312059</v>
      </c>
      <c r="L63" s="341">
        <f t="shared" si="15"/>
        <v>158.0404212717489</v>
      </c>
      <c r="M63" s="341">
        <f t="shared" si="15"/>
        <v>153.0550210792143</v>
      </c>
      <c r="N63" s="341">
        <f t="shared" si="15"/>
        <v>163.08072578606914</v>
      </c>
      <c r="O63" s="341"/>
      <c r="P63" s="341"/>
      <c r="Q63" s="341"/>
      <c r="R63" s="516"/>
      <c r="S63" s="528"/>
      <c r="T63" s="124"/>
    </row>
    <row r="64" spans="1:22">
      <c r="A64" s="642" t="s">
        <v>699</v>
      </c>
      <c r="B64" s="341"/>
      <c r="C64" s="341"/>
      <c r="D64" s="341"/>
      <c r="E64" s="341"/>
      <c r="F64" s="341"/>
      <c r="G64" s="341"/>
      <c r="H64" s="341"/>
      <c r="I64" s="341"/>
      <c r="J64" s="341"/>
      <c r="K64" s="341"/>
      <c r="L64" s="341"/>
      <c r="M64" s="341">
        <f>(M16/M$52)*$P$52</f>
        <v>46.720522428626481</v>
      </c>
      <c r="N64" s="341">
        <f>(N16/N$52)*$P$52</f>
        <v>38.540694771995739</v>
      </c>
      <c r="O64" s="341"/>
      <c r="P64" s="341"/>
      <c r="Q64" s="341"/>
      <c r="R64" s="516"/>
      <c r="S64" s="528"/>
      <c r="T64" s="124"/>
    </row>
    <row r="65" spans="1:31">
      <c r="A65" s="642" t="s">
        <v>731</v>
      </c>
      <c r="B65" s="341">
        <f t="shared" ref="B65:L65" si="16">(B17/B$52)*$P$52</f>
        <v>131.43017561073185</v>
      </c>
      <c r="C65" s="341">
        <f t="shared" si="16"/>
        <v>131.98378112053149</v>
      </c>
      <c r="D65" s="341">
        <f t="shared" si="16"/>
        <v>133.53673350096454</v>
      </c>
      <c r="E65" s="341">
        <f t="shared" si="16"/>
        <v>134.22919983860442</v>
      </c>
      <c r="F65" s="341">
        <f t="shared" si="16"/>
        <v>136.78758183281838</v>
      </c>
      <c r="G65" s="341">
        <f t="shared" si="16"/>
        <v>140.28824037760066</v>
      </c>
      <c r="H65" s="341">
        <f t="shared" si="16"/>
        <v>144.69330478833413</v>
      </c>
      <c r="I65" s="341">
        <f t="shared" si="16"/>
        <v>147.0265923753133</v>
      </c>
      <c r="J65" s="341">
        <f t="shared" si="16"/>
        <v>148.38712760060943</v>
      </c>
      <c r="K65" s="341">
        <f t="shared" si="16"/>
        <v>148.40812104339275</v>
      </c>
      <c r="L65" s="341">
        <f t="shared" si="16"/>
        <v>155.62039624193667</v>
      </c>
      <c r="M65" s="341">
        <f>(M17/M$52)*$P$52</f>
        <v>199.77554350784075</v>
      </c>
      <c r="N65" s="341">
        <f>(N17/N$52)*$P$52</f>
        <v>201.6214205580649</v>
      </c>
      <c r="O65" s="341">
        <f>(O17/O$52)*$P$52</f>
        <v>182.27432846896244</v>
      </c>
      <c r="P65" s="341">
        <f>(P17/P$52)*$P$52</f>
        <v>173.505</v>
      </c>
      <c r="Q65" s="341">
        <f>(Q17/Q$52)*$P$52</f>
        <v>174.14127797876867</v>
      </c>
      <c r="R65" s="514">
        <f>(P65/K65)^(1/COUNTA(L65:P65))-1</f>
        <v>3.1741419159670103E-2</v>
      </c>
      <c r="S65" s="528"/>
      <c r="U65" s="10"/>
      <c r="V65" s="10"/>
      <c r="W65" s="10"/>
      <c r="X65" s="10"/>
      <c r="Y65" s="10"/>
      <c r="Z65" s="18"/>
      <c r="AA65" s="18"/>
      <c r="AB65" s="18"/>
      <c r="AC65" s="18"/>
      <c r="AD65" s="18"/>
      <c r="AE65" s="2"/>
    </row>
    <row r="66" spans="1:31">
      <c r="A66" s="641"/>
      <c r="B66" s="10"/>
      <c r="C66" s="29"/>
      <c r="D66" s="29"/>
      <c r="E66" s="29"/>
      <c r="F66" s="29"/>
      <c r="G66" s="29"/>
      <c r="H66" s="29"/>
      <c r="I66" s="29"/>
      <c r="J66" s="29"/>
      <c r="K66" s="29"/>
      <c r="L66" s="29"/>
      <c r="M66" s="54"/>
      <c r="N66" s="10"/>
      <c r="O66" s="10"/>
      <c r="P66" s="10"/>
      <c r="Q66" s="494"/>
      <c r="U66" s="22"/>
      <c r="V66" s="23"/>
      <c r="W66" s="23"/>
      <c r="X66" s="23"/>
      <c r="Y66" s="21"/>
      <c r="Z66" s="21"/>
      <c r="AA66" s="21"/>
      <c r="AB66" s="21"/>
      <c r="AC66" s="21"/>
      <c r="AD66" s="21"/>
      <c r="AE66" s="10"/>
    </row>
    <row r="67" spans="1:31">
      <c r="A67" s="644" t="s">
        <v>706</v>
      </c>
    </row>
    <row r="68" spans="1:31">
      <c r="A68" s="645" t="s">
        <v>707</v>
      </c>
      <c r="C68" s="10"/>
    </row>
    <row r="69" spans="1:31">
      <c r="A69" s="646" t="s">
        <v>708</v>
      </c>
      <c r="B69" s="10">
        <v>122.75426930835937</v>
      </c>
      <c r="C69" s="10">
        <v>14.033312524459003</v>
      </c>
      <c r="D69" s="10">
        <v>7.0314157984057166</v>
      </c>
      <c r="F69" s="10">
        <f t="shared" ref="F69:Q69" si="17">F23/F$52*$P$52</f>
        <v>122.75426930835937</v>
      </c>
      <c r="G69" s="10">
        <f t="shared" si="17"/>
        <v>125.69240209274194</v>
      </c>
      <c r="H69" s="10">
        <f t="shared" si="17"/>
        <v>129.24250080591605</v>
      </c>
      <c r="I69" s="10">
        <f t="shared" si="17"/>
        <v>132.87057046840815</v>
      </c>
      <c r="J69" s="10">
        <f t="shared" si="17"/>
        <v>135.62577028189929</v>
      </c>
      <c r="K69" s="10">
        <f t="shared" si="17"/>
        <v>138.76713780138397</v>
      </c>
      <c r="L69" s="10">
        <f t="shared" si="17"/>
        <v>143.03129343274227</v>
      </c>
      <c r="M69" s="10">
        <f t="shared" si="17"/>
        <v>142.61965562881707</v>
      </c>
      <c r="N69" s="10">
        <f t="shared" si="17"/>
        <v>150.83892002043478</v>
      </c>
      <c r="O69" s="10">
        <f t="shared" si="17"/>
        <v>168.04649710538342</v>
      </c>
      <c r="P69" s="10">
        <f t="shared" si="17"/>
        <v>164.4</v>
      </c>
      <c r="Q69" s="10">
        <f t="shared" si="17"/>
        <v>163.16340048501496</v>
      </c>
      <c r="R69" s="514">
        <f>(P69/K69)^(1/COUNTA(L69:P69))-1</f>
        <v>3.4482233839908227E-2</v>
      </c>
      <c r="S69" s="503">
        <f>(Q69/K69)^(1/COUNTA(L69:Q69))-1</f>
        <v>2.736007954835773E-2</v>
      </c>
    </row>
    <row r="70" spans="1:31">
      <c r="A70" s="646" t="s">
        <v>710</v>
      </c>
      <c r="B70" s="10">
        <v>125.69240209274194</v>
      </c>
      <c r="C70" s="10">
        <v>14.595838284858724</v>
      </c>
      <c r="D70" s="10">
        <v>6.4352405030541702</v>
      </c>
      <c r="F70" s="10">
        <f t="shared" ref="F70:Q70" si="18">F24/F$52*$P$52</f>
        <v>0</v>
      </c>
      <c r="G70" s="10">
        <f t="shared" si="18"/>
        <v>0</v>
      </c>
      <c r="H70" s="10">
        <f t="shared" si="18"/>
        <v>0</v>
      </c>
      <c r="I70" s="10">
        <f t="shared" si="18"/>
        <v>0</v>
      </c>
      <c r="J70" s="10">
        <f t="shared" si="18"/>
        <v>0</v>
      </c>
      <c r="K70" s="10">
        <f t="shared" si="18"/>
        <v>136.25478604014143</v>
      </c>
      <c r="L70" s="10">
        <f t="shared" si="18"/>
        <v>144.09686218363805</v>
      </c>
      <c r="M70" s="10">
        <f t="shared" si="18"/>
        <v>158.3619765423131</v>
      </c>
      <c r="N70" s="10">
        <f t="shared" si="18"/>
        <v>166.00169284542966</v>
      </c>
      <c r="O70" s="10">
        <f t="shared" si="18"/>
        <v>164.54524106512906</v>
      </c>
      <c r="P70" s="10">
        <f t="shared" si="18"/>
        <v>161.1</v>
      </c>
      <c r="Q70" s="10">
        <f t="shared" si="18"/>
        <v>159.8194851043697</v>
      </c>
      <c r="R70" s="514">
        <f>(P70/K70)^(1/COUNTA(L70:P70))-1</f>
        <v>3.4067181146887338E-2</v>
      </c>
      <c r="S70" s="514">
        <f>(Q70/L70)^(1/COUNTA(M70:Q70))-1</f>
        <v>2.0927825367260455E-2</v>
      </c>
    </row>
    <row r="71" spans="1:31">
      <c r="A71" s="646" t="s">
        <v>712</v>
      </c>
      <c r="B71" s="10">
        <v>129.24250080591605</v>
      </c>
      <c r="C71" s="10">
        <v>15.450803982418073</v>
      </c>
      <c r="D71" s="10">
        <v>5.9785901023583836</v>
      </c>
      <c r="F71" s="10">
        <f t="shared" ref="F71:Q71" si="19">F25/F$52*$P$52</f>
        <v>0</v>
      </c>
      <c r="G71" s="10">
        <f t="shared" si="19"/>
        <v>0</v>
      </c>
      <c r="H71" s="10">
        <f t="shared" si="19"/>
        <v>0</v>
      </c>
      <c r="I71" s="10">
        <f t="shared" si="19"/>
        <v>0</v>
      </c>
      <c r="J71" s="10">
        <f t="shared" si="19"/>
        <v>0</v>
      </c>
      <c r="K71" s="10">
        <f t="shared" si="19"/>
        <v>0</v>
      </c>
      <c r="L71" s="10">
        <f t="shared" si="19"/>
        <v>3.3754850097821172</v>
      </c>
      <c r="M71" s="10">
        <f t="shared" si="19"/>
        <v>3.2014663616789427</v>
      </c>
      <c r="N71" s="10">
        <f t="shared" si="19"/>
        <v>3.2265312228735819</v>
      </c>
      <c r="O71" s="10">
        <f t="shared" si="19"/>
        <v>3.024873021443983</v>
      </c>
      <c r="P71" s="10">
        <f t="shared" si="19"/>
        <v>2.851</v>
      </c>
      <c r="Q71" s="10">
        <f t="shared" si="19"/>
        <v>2.8039713971234339</v>
      </c>
      <c r="R71" s="514"/>
      <c r="S71" s="503"/>
    </row>
    <row r="72" spans="1:31">
      <c r="A72" s="646" t="s">
        <v>713</v>
      </c>
      <c r="B72" s="10">
        <v>132.87057046840815</v>
      </c>
      <c r="C72" s="10">
        <v>14.156021906905167</v>
      </c>
      <c r="D72" s="10">
        <v>5.7252406398455333</v>
      </c>
      <c r="F72" s="10">
        <f t="shared" ref="F72:Q72" si="20">F26/F$52*$P$52</f>
        <v>0</v>
      </c>
      <c r="G72" s="10">
        <f t="shared" si="20"/>
        <v>0</v>
      </c>
      <c r="H72" s="10">
        <f t="shared" si="20"/>
        <v>0</v>
      </c>
      <c r="I72" s="10">
        <f t="shared" si="20"/>
        <v>0</v>
      </c>
      <c r="J72" s="10">
        <f t="shared" si="20"/>
        <v>0</v>
      </c>
      <c r="K72" s="10">
        <f t="shared" si="20"/>
        <v>136.25478604014143</v>
      </c>
      <c r="L72" s="10">
        <f t="shared" si="20"/>
        <v>140.72137717385596</v>
      </c>
      <c r="M72" s="10">
        <f t="shared" si="20"/>
        <v>155.16051018063413</v>
      </c>
      <c r="N72" s="10">
        <f t="shared" si="20"/>
        <v>162.77516162255606</v>
      </c>
      <c r="O72" s="10">
        <f t="shared" si="20"/>
        <v>161.52036804368507</v>
      </c>
      <c r="P72" s="10">
        <f t="shared" si="20"/>
        <v>158.249</v>
      </c>
      <c r="Q72" s="10">
        <f t="shared" si="20"/>
        <v>157.01551370724627</v>
      </c>
      <c r="R72" s="514"/>
      <c r="S72" s="503"/>
    </row>
    <row r="73" spans="1:31">
      <c r="A73" s="646" t="s">
        <v>232</v>
      </c>
      <c r="B73" s="10">
        <v>135.62577028189929</v>
      </c>
      <c r="C73" s="10">
        <v>12.761357318710163</v>
      </c>
      <c r="D73" s="10">
        <v>6.4815271633282094</v>
      </c>
      <c r="F73" s="10">
        <f t="shared" ref="F73:Q73" si="21">F27/F$52*$P$52</f>
        <v>0</v>
      </c>
      <c r="G73" s="10">
        <f t="shared" si="21"/>
        <v>0</v>
      </c>
      <c r="H73" s="10">
        <f t="shared" si="21"/>
        <v>0</v>
      </c>
      <c r="I73" s="10">
        <f t="shared" si="21"/>
        <v>0</v>
      </c>
      <c r="J73" s="10">
        <f t="shared" si="21"/>
        <v>0</v>
      </c>
      <c r="K73" s="10">
        <f t="shared" si="21"/>
        <v>0</v>
      </c>
      <c r="L73" s="10">
        <f t="shared" si="21"/>
        <v>0</v>
      </c>
      <c r="M73" s="10">
        <f t="shared" si="21"/>
        <v>0</v>
      </c>
      <c r="N73" s="10">
        <f t="shared" si="21"/>
        <v>0</v>
      </c>
      <c r="O73" s="10">
        <f t="shared" si="21"/>
        <v>0</v>
      </c>
      <c r="P73" s="10">
        <f t="shared" si="21"/>
        <v>0</v>
      </c>
      <c r="Q73" s="10">
        <f t="shared" si="21"/>
        <v>0</v>
      </c>
      <c r="R73" s="514"/>
      <c r="S73" s="503"/>
    </row>
    <row r="74" spans="1:31">
      <c r="A74" s="646" t="s">
        <v>714</v>
      </c>
      <c r="C74" s="10"/>
      <c r="F74" s="10">
        <f t="shared" ref="F74:Q74" si="22">F28/F$52*$P$52</f>
        <v>0</v>
      </c>
      <c r="G74" s="10">
        <f t="shared" si="22"/>
        <v>0</v>
      </c>
      <c r="H74" s="10">
        <f t="shared" si="22"/>
        <v>0</v>
      </c>
      <c r="I74" s="10">
        <f t="shared" si="22"/>
        <v>0</v>
      </c>
      <c r="J74" s="10">
        <f t="shared" si="22"/>
        <v>0</v>
      </c>
      <c r="K74" s="10">
        <f t="shared" si="22"/>
        <v>-1.0362087582548758E-2</v>
      </c>
      <c r="L74" s="10">
        <f t="shared" si="22"/>
        <v>-1.0122903133510032E-2</v>
      </c>
      <c r="M74" s="10">
        <f t="shared" si="22"/>
        <v>-9.6010303024745575E-3</v>
      </c>
      <c r="N74" s="10">
        <f t="shared" si="22"/>
        <v>-9.6761985112483791E-3</v>
      </c>
      <c r="O74" s="10">
        <f t="shared" si="22"/>
        <v>-9.071436104295354E-3</v>
      </c>
      <c r="P74" s="10">
        <f t="shared" si="22"/>
        <v>-8.5500000000000003E-3</v>
      </c>
      <c r="Q74" s="10">
        <f t="shared" si="22"/>
        <v>-8.4089636777991451E-3</v>
      </c>
      <c r="R74" s="514"/>
      <c r="S74" s="503"/>
    </row>
    <row r="75" spans="1:31">
      <c r="A75" s="646" t="s">
        <v>732</v>
      </c>
      <c r="C75" s="10"/>
      <c r="F75" s="10">
        <f t="shared" ref="F75:Q75" si="23">F29/F$52*$P$52</f>
        <v>0</v>
      </c>
      <c r="G75" s="10">
        <f t="shared" si="23"/>
        <v>0</v>
      </c>
      <c r="H75" s="10">
        <f t="shared" si="23"/>
        <v>0</v>
      </c>
      <c r="I75" s="10">
        <f t="shared" si="23"/>
        <v>0</v>
      </c>
      <c r="J75" s="10">
        <f t="shared" si="23"/>
        <v>0</v>
      </c>
      <c r="K75" s="10">
        <f t="shared" si="23"/>
        <v>0</v>
      </c>
      <c r="L75" s="10">
        <f t="shared" si="23"/>
        <v>0</v>
      </c>
      <c r="M75" s="10">
        <f t="shared" si="23"/>
        <v>22.445075284896074</v>
      </c>
      <c r="N75" s="10">
        <f t="shared" si="23"/>
        <v>18.441363127578054</v>
      </c>
      <c r="O75" s="10">
        <f t="shared" si="23"/>
        <v>0</v>
      </c>
      <c r="P75" s="10">
        <f t="shared" si="23"/>
        <v>0</v>
      </c>
      <c r="Q75" s="10">
        <f t="shared" si="23"/>
        <v>0</v>
      </c>
      <c r="R75" s="514" t="e">
        <f t="shared" ref="R75:R77" si="24">(P75/K75)^(1/COUNTA(L75:P75))-1</f>
        <v>#DIV/0!</v>
      </c>
      <c r="S75" s="503" t="e">
        <f>(Q75/L75)^(1/COUNTA(M75:Q75))-1</f>
        <v>#DIV/0!</v>
      </c>
    </row>
    <row r="76" spans="1:31">
      <c r="A76" s="646" t="s">
        <v>733</v>
      </c>
      <c r="F76" s="10">
        <f t="shared" ref="F76:Q76" si="25">F30/F$52*$P$52</f>
        <v>0</v>
      </c>
      <c r="G76" s="10">
        <f t="shared" si="25"/>
        <v>0</v>
      </c>
      <c r="H76" s="10">
        <f t="shared" si="25"/>
        <v>0</v>
      </c>
      <c r="I76" s="10">
        <f t="shared" si="25"/>
        <v>0</v>
      </c>
      <c r="J76" s="10">
        <f t="shared" si="25"/>
        <v>0</v>
      </c>
      <c r="K76" s="10">
        <f t="shared" si="25"/>
        <v>0</v>
      </c>
      <c r="L76" s="10">
        <f t="shared" si="25"/>
        <v>-0.33269424333524195</v>
      </c>
      <c r="M76" s="10">
        <f t="shared" si="25"/>
        <v>-0.41660611020094274</v>
      </c>
      <c r="N76" s="10">
        <f t="shared" si="25"/>
        <v>-2.0540702102825503</v>
      </c>
      <c r="O76" s="10">
        <f t="shared" si="25"/>
        <v>0</v>
      </c>
      <c r="P76" s="10">
        <f t="shared" si="25"/>
        <v>0</v>
      </c>
      <c r="Q76" s="10">
        <f t="shared" si="25"/>
        <v>0</v>
      </c>
      <c r="R76" s="514" t="e">
        <f t="shared" si="24"/>
        <v>#DIV/0!</v>
      </c>
      <c r="S76" s="503">
        <f>(Q76/L76)^(1/COUNTA(M76:Q76))-1</f>
        <v>-1</v>
      </c>
    </row>
    <row r="77" spans="1:31">
      <c r="A77" s="646" t="s">
        <v>734</v>
      </c>
      <c r="F77" s="10">
        <f t="shared" ref="F77:Q77" si="26">F31/F$52*$P$52</f>
        <v>0</v>
      </c>
      <c r="G77" s="10">
        <f t="shared" si="26"/>
        <v>0</v>
      </c>
      <c r="H77" s="10">
        <f t="shared" si="26"/>
        <v>0</v>
      </c>
      <c r="I77" s="10">
        <f t="shared" si="26"/>
        <v>0</v>
      </c>
      <c r="J77" s="10">
        <f t="shared" si="26"/>
        <v>0</v>
      </c>
      <c r="K77" s="10">
        <f t="shared" si="26"/>
        <v>0</v>
      </c>
      <c r="L77" s="10">
        <f t="shared" si="26"/>
        <v>0</v>
      </c>
      <c r="M77" s="10">
        <f t="shared" si="26"/>
        <v>0</v>
      </c>
      <c r="N77" s="10">
        <f t="shared" si="26"/>
        <v>0</v>
      </c>
      <c r="O77" s="10">
        <f t="shared" si="26"/>
        <v>3.5012560402543467</v>
      </c>
      <c r="P77" s="10">
        <f t="shared" si="26"/>
        <v>3.3</v>
      </c>
      <c r="Q77" s="10">
        <f t="shared" si="26"/>
        <v>3.3439153806452735</v>
      </c>
      <c r="R77" s="514" t="e">
        <f t="shared" si="24"/>
        <v>#DIV/0!</v>
      </c>
      <c r="S77" s="503" t="e">
        <f>(Q77/L77)^(1/COUNTA(M77:Q77))-1</f>
        <v>#DIV/0!</v>
      </c>
    </row>
    <row r="78" spans="1:31">
      <c r="A78" s="646"/>
      <c r="L78" s="899"/>
      <c r="Q78" s="1"/>
      <c r="R78" s="509"/>
    </row>
    <row r="79" spans="1:31">
      <c r="A79" s="654" t="s">
        <v>718</v>
      </c>
      <c r="B79" s="10"/>
      <c r="C79" s="10"/>
      <c r="D79" s="10"/>
      <c r="E79" s="10"/>
      <c r="F79" s="10">
        <f>(F38/F$52)*$P$52</f>
        <v>14.033312524459003</v>
      </c>
      <c r="G79" s="10">
        <f t="shared" ref="G79:Q79" si="27">(G38/G$52)*$P$52</f>
        <v>14.595838284858724</v>
      </c>
      <c r="H79" s="10">
        <f t="shared" si="27"/>
        <v>15.450803982418073</v>
      </c>
      <c r="I79" s="10">
        <f t="shared" si="27"/>
        <v>14.156021906905167</v>
      </c>
      <c r="J79" s="10" t="e">
        <f t="shared" si="27"/>
        <v>#REF!</v>
      </c>
      <c r="K79" s="10">
        <f t="shared" si="27"/>
        <v>11.948517131736626</v>
      </c>
      <c r="L79" s="10" t="e">
        <f t="shared" si="27"/>
        <v>#REF!</v>
      </c>
      <c r="M79" s="10" t="e">
        <f t="shared" si="27"/>
        <v>#REF!</v>
      </c>
      <c r="N79" s="10" t="e">
        <f t="shared" si="27"/>
        <v>#REF!</v>
      </c>
      <c r="O79" s="10" t="e">
        <f t="shared" si="27"/>
        <v>#REF!</v>
      </c>
      <c r="P79" s="10" t="e">
        <f t="shared" si="27"/>
        <v>#REF!</v>
      </c>
      <c r="Q79" s="10" t="e">
        <f t="shared" si="27"/>
        <v>#REF!</v>
      </c>
      <c r="R79" s="514" t="e">
        <f>(P79/K79)^(1/COUNTA(L79:P79))-1</f>
        <v>#REF!</v>
      </c>
      <c r="T79" s="10">
        <v>123.33700048920747</v>
      </c>
      <c r="U79" s="19"/>
    </row>
    <row r="80" spans="1:31">
      <c r="A80" s="648" t="s">
        <v>301</v>
      </c>
      <c r="F80" s="10">
        <f t="shared" ref="F80:Q82" si="28">(F39/F$52)*$P$52</f>
        <v>0</v>
      </c>
      <c r="G80" s="10">
        <f t="shared" si="28"/>
        <v>0</v>
      </c>
      <c r="H80" s="10">
        <f t="shared" si="28"/>
        <v>0</v>
      </c>
      <c r="I80" s="10">
        <f t="shared" si="28"/>
        <v>0</v>
      </c>
      <c r="J80" s="10">
        <f t="shared" si="28"/>
        <v>0</v>
      </c>
      <c r="K80" s="10">
        <f t="shared" si="28"/>
        <v>0</v>
      </c>
      <c r="L80" s="10">
        <f t="shared" si="28"/>
        <v>0</v>
      </c>
      <c r="M80" s="10">
        <f t="shared" si="28"/>
        <v>0</v>
      </c>
      <c r="N80" s="10">
        <f t="shared" si="28"/>
        <v>0</v>
      </c>
      <c r="O80" s="10">
        <f t="shared" si="28"/>
        <v>0</v>
      </c>
      <c r="P80" s="10">
        <f t="shared" si="28"/>
        <v>0</v>
      </c>
      <c r="Q80" s="10">
        <f t="shared" si="28"/>
        <v>0</v>
      </c>
      <c r="R80" s="514"/>
      <c r="T80" s="10">
        <v>124.0827563439714</v>
      </c>
    </row>
    <row r="81" spans="1:25">
      <c r="A81" s="655" t="s">
        <v>719</v>
      </c>
      <c r="B81" s="10"/>
      <c r="C81" s="10"/>
      <c r="D81" s="10"/>
      <c r="E81" s="10"/>
      <c r="F81" s="10">
        <f t="shared" si="28"/>
        <v>6.3895211259484777</v>
      </c>
      <c r="G81" s="10">
        <f t="shared" si="28"/>
        <v>6.3520630401149836</v>
      </c>
      <c r="H81" s="10">
        <f t="shared" si="28"/>
        <v>6.2583122432169107</v>
      </c>
      <c r="I81" s="10">
        <f t="shared" si="28"/>
        <v>6.2567983199716668</v>
      </c>
      <c r="J81" s="10">
        <f t="shared" si="28"/>
        <v>5.9680041062871245</v>
      </c>
      <c r="K81" s="10">
        <f t="shared" si="28"/>
        <v>5.3870736028572201</v>
      </c>
      <c r="L81" s="10">
        <f t="shared" si="28"/>
        <v>4.8578095388060412</v>
      </c>
      <c r="M81" s="10">
        <f t="shared" si="28"/>
        <v>4.8094985714033367</v>
      </c>
      <c r="N81" s="10">
        <f t="shared" si="28"/>
        <v>5.6688942646426028</v>
      </c>
      <c r="O81" s="10">
        <f t="shared" si="28"/>
        <v>5.847521981896306</v>
      </c>
      <c r="P81" s="10">
        <f t="shared" si="28"/>
        <v>5.048</v>
      </c>
      <c r="Q81" s="10">
        <f t="shared" si="28"/>
        <v>4.9647308357345121</v>
      </c>
      <c r="R81" s="514">
        <f>(P81/K81)^(1/COUNTA(L81:P81))-1</f>
        <v>-1.2917874960787668E-2</v>
      </c>
      <c r="T81" s="10">
        <v>125.47824120760107</v>
      </c>
      <c r="U81" s="19"/>
    </row>
    <row r="82" spans="1:25">
      <c r="A82" s="655" t="s">
        <v>723</v>
      </c>
      <c r="B82" s="10"/>
      <c r="C82" s="10"/>
      <c r="D82" s="10"/>
      <c r="E82" s="10"/>
      <c r="F82" s="10">
        <f t="shared" si="28"/>
        <v>3.2908509950967662</v>
      </c>
      <c r="G82" s="10">
        <f t="shared" si="28"/>
        <v>3.5428278857682436</v>
      </c>
      <c r="H82" s="10">
        <f t="shared" si="28"/>
        <v>4.4538097364470888</v>
      </c>
      <c r="I82" s="10">
        <f t="shared" si="28"/>
        <v>4.2574879911757391</v>
      </c>
      <c r="J82" s="10">
        <f t="shared" si="28"/>
        <v>3.8248187212385441</v>
      </c>
      <c r="K82" s="10">
        <f t="shared" si="28"/>
        <v>3.6491515451525509</v>
      </c>
      <c r="L82" s="10">
        <f t="shared" si="28"/>
        <v>3.471386197362738</v>
      </c>
      <c r="M82" s="10">
        <f t="shared" si="28"/>
        <v>4.7230331523050282</v>
      </c>
      <c r="N82" s="10">
        <f t="shared" si="28"/>
        <v>4.3605137852444447</v>
      </c>
      <c r="O82" s="10">
        <f t="shared" si="28"/>
        <v>3.6253914816815467</v>
      </c>
      <c r="P82" s="10">
        <f t="shared" si="28"/>
        <v>3.5</v>
      </c>
      <c r="Q82" s="10">
        <f t="shared" si="28"/>
        <v>3.4422658330171934</v>
      </c>
      <c r="R82" s="514">
        <f>(P82/K82)^(1/COUNTA(L82:P82))-1</f>
        <v>-8.3116097132481803E-3</v>
      </c>
      <c r="T82" s="10">
        <v>126.31356616486408</v>
      </c>
    </row>
    <row r="83" spans="1:25">
      <c r="A83" s="656"/>
      <c r="B83" s="10"/>
      <c r="C83" s="10"/>
      <c r="D83" s="10"/>
      <c r="E83" s="10"/>
      <c r="F83" s="10"/>
      <c r="G83" s="10"/>
      <c r="H83" s="10"/>
      <c r="I83" s="10"/>
      <c r="J83" s="10"/>
      <c r="K83" s="54"/>
      <c r="L83" s="10"/>
      <c r="M83" s="10"/>
      <c r="N83" s="10"/>
      <c r="O83" s="10"/>
      <c r="P83" s="10"/>
      <c r="T83" s="10">
        <v>128.51521330961771</v>
      </c>
    </row>
    <row r="84" spans="1:25">
      <c r="A84" s="653" t="s">
        <v>130</v>
      </c>
      <c r="B84" s="10"/>
      <c r="C84" s="10"/>
      <c r="D84" s="10"/>
      <c r="E84" s="10"/>
      <c r="F84" s="10"/>
      <c r="G84" s="10"/>
      <c r="H84" s="10"/>
      <c r="I84" s="10"/>
      <c r="J84" s="10"/>
      <c r="K84" s="10"/>
      <c r="L84" s="10"/>
      <c r="M84" s="10"/>
      <c r="N84" s="10"/>
      <c r="O84" s="10"/>
      <c r="P84" s="10"/>
      <c r="R84" s="509"/>
      <c r="T84" s="10">
        <v>131.91718319124163</v>
      </c>
    </row>
    <row r="85" spans="1:25">
      <c r="A85" s="634" t="s">
        <v>725</v>
      </c>
      <c r="B85" s="10">
        <f t="shared" ref="B85:N85" si="29">(B46/B$52)*$P$52</f>
        <v>7.3051028476661033</v>
      </c>
      <c r="C85" s="10">
        <f t="shared" si="29"/>
        <v>6.981934137065501</v>
      </c>
      <c r="D85" s="10">
        <f t="shared" si="29"/>
        <v>6.3507249538589283</v>
      </c>
      <c r="E85" s="10">
        <f t="shared" si="29"/>
        <v>6.287576814749209</v>
      </c>
      <c r="F85" s="10">
        <f t="shared" si="29"/>
        <v>7.0314157984057166</v>
      </c>
      <c r="G85" s="10">
        <f t="shared" si="29"/>
        <v>6.4352405030541702</v>
      </c>
      <c r="H85" s="10">
        <f t="shared" si="29"/>
        <v>5.9785901023583836</v>
      </c>
      <c r="I85" s="10">
        <f t="shared" si="29"/>
        <v>5.7252406398455333</v>
      </c>
      <c r="J85" s="10">
        <f t="shared" si="29"/>
        <v>6.4815271633282094</v>
      </c>
      <c r="K85" s="10">
        <f t="shared" si="29"/>
        <v>7.2001359447862185</v>
      </c>
      <c r="L85" s="10">
        <f t="shared" si="29"/>
        <v>8.3055164305933165</v>
      </c>
      <c r="M85" s="10">
        <f t="shared" si="29"/>
        <v>9.6571766785124193</v>
      </c>
      <c r="N85" s="10">
        <f t="shared" si="29"/>
        <v>10.185472117103556</v>
      </c>
      <c r="O85" s="10"/>
      <c r="P85" s="10"/>
      <c r="Q85" s="10"/>
      <c r="R85" s="516"/>
      <c r="T85" s="10">
        <v>136.02580444861195</v>
      </c>
    </row>
    <row r="86" spans="1:25">
      <c r="A86" s="634" t="s">
        <v>726</v>
      </c>
      <c r="B86" s="10"/>
      <c r="C86" s="10"/>
      <c r="D86" s="10"/>
      <c r="E86" s="10"/>
      <c r="F86" s="10"/>
      <c r="G86" s="10"/>
      <c r="H86" s="10"/>
      <c r="I86" s="10"/>
      <c r="J86" s="10"/>
      <c r="K86" s="10"/>
      <c r="L86" s="10"/>
      <c r="M86" s="10">
        <f>(M47/M$52)*$P$52</f>
        <v>4.6084945451877886</v>
      </c>
      <c r="N86" s="10">
        <f>(N47/N$52)*$P$52</f>
        <v>0.13467457577059119</v>
      </c>
      <c r="O86" s="10"/>
      <c r="P86" s="10"/>
      <c r="Q86" s="10">
        <f>(Q47/Q$52)*$P$52</f>
        <v>2.6987364130854794</v>
      </c>
      <c r="T86" s="10">
        <v>138.52018745509221</v>
      </c>
    </row>
    <row r="87" spans="1:25">
      <c r="A87" s="634" t="s">
        <v>727</v>
      </c>
      <c r="B87" s="10">
        <f t="shared" ref="B87:L87" si="30">(B48/B$52)*$P$52</f>
        <v>7.3051028476661033</v>
      </c>
      <c r="C87" s="10">
        <f t="shared" si="30"/>
        <v>6.981934137065501</v>
      </c>
      <c r="D87" s="10">
        <f t="shared" si="30"/>
        <v>6.3507249538589283</v>
      </c>
      <c r="E87" s="10">
        <f t="shared" si="30"/>
        <v>6.287576814749209</v>
      </c>
      <c r="F87" s="10">
        <f t="shared" si="30"/>
        <v>7.0314157984057166</v>
      </c>
      <c r="G87" s="10">
        <f t="shared" si="30"/>
        <v>6.4352405030541702</v>
      </c>
      <c r="H87" s="10">
        <f t="shared" si="30"/>
        <v>5.9785901023583836</v>
      </c>
      <c r="I87" s="10">
        <f t="shared" si="30"/>
        <v>5.7252406398455333</v>
      </c>
      <c r="J87" s="10">
        <f t="shared" si="30"/>
        <v>6.4815271633282094</v>
      </c>
      <c r="K87" s="10">
        <f t="shared" si="30"/>
        <v>7.2001359447862185</v>
      </c>
      <c r="L87" s="10">
        <f t="shared" si="30"/>
        <v>8.3055164305933165</v>
      </c>
      <c r="M87" s="10">
        <f>(M48/M$52)*$P$52</f>
        <v>14.265671223700208</v>
      </c>
      <c r="N87" s="10">
        <f>(N48/N$52)*$P$52</f>
        <v>10.320146692874147</v>
      </c>
      <c r="O87" s="10">
        <f>(O48/O$52)*$P$52</f>
        <v>10.499524174047583</v>
      </c>
      <c r="P87" s="10">
        <f>(P48/P$52)*$P$52</f>
        <v>12.087999999999999</v>
      </c>
      <c r="Q87" s="10">
        <f>(Q48/Q$52)*$P$52</f>
        <v>12.431497179810664</v>
      </c>
      <c r="R87" s="514">
        <f>(P87/K87)^(1/COUNTA(L87:P87))-1</f>
        <v>0.10918184123776764</v>
      </c>
      <c r="T87" s="10">
        <v>139.62335339383273</v>
      </c>
    </row>
    <row r="88" spans="1:25">
      <c r="B88" s="10"/>
      <c r="C88" s="29"/>
      <c r="D88" s="29"/>
      <c r="E88" s="29"/>
      <c r="F88" s="29"/>
      <c r="G88" s="29"/>
      <c r="H88" s="29"/>
      <c r="I88" s="29"/>
      <c r="J88" s="29"/>
      <c r="K88" s="29">
        <f t="shared" ref="K88:Q88" si="31">(K65/$K65)-1</f>
        <v>0</v>
      </c>
      <c r="L88" s="29">
        <f t="shared" si="31"/>
        <v>4.8597577732522712E-2</v>
      </c>
      <c r="M88" s="29">
        <f t="shared" si="31"/>
        <v>0.34612271958775609</v>
      </c>
      <c r="N88" s="29">
        <f t="shared" si="31"/>
        <v>0.35856056353623145</v>
      </c>
      <c r="O88" s="29">
        <f t="shared" si="31"/>
        <v>0.22819645709056324</v>
      </c>
      <c r="P88" s="29">
        <f t="shared" si="31"/>
        <v>0.16910718079416442</v>
      </c>
      <c r="Q88" s="29">
        <f t="shared" si="31"/>
        <v>0.17339453363102586</v>
      </c>
      <c r="T88" s="10">
        <v>142.21770662201038</v>
      </c>
    </row>
    <row r="89" spans="1:25" ht="15" thickBot="1">
      <c r="K89" s="29">
        <f>(K87/$K87)-1</f>
        <v>0</v>
      </c>
      <c r="L89" s="29">
        <f t="shared" ref="L89:Q89" si="32">(L87/$K87)-1</f>
        <v>0.15352216878731695</v>
      </c>
      <c r="M89" s="29">
        <f t="shared" si="32"/>
        <v>0.98130581604230738</v>
      </c>
      <c r="N89" s="29">
        <f t="shared" si="32"/>
        <v>0.43332664438748525</v>
      </c>
      <c r="O89" s="29">
        <f t="shared" si="32"/>
        <v>0.45823971305021338</v>
      </c>
      <c r="P89" s="29">
        <f t="shared" si="32"/>
        <v>0.6788571900164182</v>
      </c>
      <c r="Q89" s="29">
        <f t="shared" si="32"/>
        <v>0.7265642308896394</v>
      </c>
      <c r="T89" s="10">
        <v>148.79517900555476</v>
      </c>
      <c r="U89" s="26"/>
    </row>
    <row r="90" spans="1:25" ht="15" thickBot="1">
      <c r="A90" s="635" t="s">
        <v>735</v>
      </c>
      <c r="B90" s="326" t="s">
        <v>325</v>
      </c>
      <c r="C90" s="326" t="s">
        <v>188</v>
      </c>
      <c r="D90" s="326" t="s">
        <v>189</v>
      </c>
      <c r="E90" s="326" t="s">
        <v>681</v>
      </c>
      <c r="F90" s="326" t="s">
        <v>245</v>
      </c>
      <c r="G90" s="326" t="s">
        <v>192</v>
      </c>
      <c r="H90" s="326" t="s">
        <v>193</v>
      </c>
      <c r="I90" s="326" t="s">
        <v>165</v>
      </c>
      <c r="J90" s="326" t="s">
        <v>167</v>
      </c>
      <c r="K90" s="326" t="s">
        <v>168</v>
      </c>
      <c r="L90" s="326" t="s">
        <v>169</v>
      </c>
      <c r="M90" s="327" t="s">
        <v>170</v>
      </c>
      <c r="N90" s="327" t="s">
        <v>171</v>
      </c>
      <c r="O90" s="328" t="s">
        <v>172</v>
      </c>
      <c r="P90" s="328" t="s">
        <v>173</v>
      </c>
      <c r="Q90" s="502" t="s">
        <v>174</v>
      </c>
      <c r="R90" s="1045"/>
      <c r="S90" s="1046"/>
      <c r="T90" s="10">
        <v>142.97187575947706</v>
      </c>
      <c r="U90" s="19">
        <v>45</v>
      </c>
    </row>
    <row r="91" spans="1:25">
      <c r="B91" s="2"/>
      <c r="C91" s="2"/>
      <c r="D91" s="2"/>
      <c r="E91" s="2"/>
      <c r="F91" s="2"/>
      <c r="G91" s="2"/>
      <c r="H91" s="2"/>
      <c r="I91" s="2"/>
      <c r="J91" s="2"/>
      <c r="K91" s="2"/>
      <c r="L91" s="2"/>
      <c r="M91" s="2"/>
      <c r="N91" s="2"/>
      <c r="O91" s="2"/>
      <c r="P91" s="2"/>
      <c r="T91" s="10">
        <v>152.28991213398021</v>
      </c>
      <c r="U91" s="19">
        <v>41.4</v>
      </c>
    </row>
    <row r="92" spans="1:25">
      <c r="A92" s="657" t="s">
        <v>131</v>
      </c>
      <c r="B92" s="48" t="str">
        <f>IFERROR((B58-A58)/A58,"")</f>
        <v/>
      </c>
      <c r="C92" s="48"/>
      <c r="D92" s="48"/>
      <c r="E92" s="48"/>
      <c r="F92" s="48"/>
      <c r="G92" s="48"/>
      <c r="H92" s="48"/>
      <c r="I92" s="48"/>
      <c r="J92" s="48"/>
      <c r="K92" s="48"/>
      <c r="L92" s="48"/>
      <c r="M92" s="48"/>
      <c r="N92" s="48"/>
      <c r="O92" s="48"/>
      <c r="P92" s="48"/>
      <c r="Q92" s="504"/>
      <c r="S92" s="535"/>
      <c r="T92" s="360">
        <v>173.9</v>
      </c>
    </row>
    <row r="93" spans="1:25">
      <c r="A93" s="634" t="s">
        <v>736</v>
      </c>
      <c r="B93" s="48" t="str">
        <f>IFERROR((B59-A59)/A59,"")</f>
        <v/>
      </c>
      <c r="C93" s="48" t="e">
        <f t="shared" ref="C93:N93" si="33">C58/B58-1</f>
        <v>#DIV/0!</v>
      </c>
      <c r="D93" s="48" t="e">
        <f t="shared" si="33"/>
        <v>#DIV/0!</v>
      </c>
      <c r="E93" s="48" t="e">
        <f t="shared" si="33"/>
        <v>#DIV/0!</v>
      </c>
      <c r="F93" s="48" t="e">
        <f t="shared" si="33"/>
        <v>#DIV/0!</v>
      </c>
      <c r="G93" s="48" t="e">
        <f t="shared" si="33"/>
        <v>#DIV/0!</v>
      </c>
      <c r="H93" s="48" t="e">
        <f t="shared" si="33"/>
        <v>#DIV/0!</v>
      </c>
      <c r="I93" s="48" t="e">
        <f t="shared" si="33"/>
        <v>#DIV/0!</v>
      </c>
      <c r="J93" s="48" t="e">
        <f t="shared" si="33"/>
        <v>#DIV/0!</v>
      </c>
      <c r="K93" s="48" t="e">
        <f t="shared" si="33"/>
        <v>#DIV/0!</v>
      </c>
      <c r="L93" s="48" t="e">
        <f t="shared" si="33"/>
        <v>#DIV/0!</v>
      </c>
      <c r="M93" s="519" t="e">
        <f t="shared" si="33"/>
        <v>#DIV/0!</v>
      </c>
      <c r="N93" s="519">
        <f t="shared" si="33"/>
        <v>6.4862993007817282E-2</v>
      </c>
      <c r="O93" s="519">
        <f>O60/N58-1</f>
        <v>0.11258776943174409</v>
      </c>
      <c r="P93" s="48">
        <f>P60/O60-1</f>
        <v>-3.7250138151816548E-2</v>
      </c>
      <c r="Q93" s="504">
        <f>Q60/P60-1</f>
        <v>5.2791600899781965E-3</v>
      </c>
      <c r="S93" s="535"/>
      <c r="T93" s="360">
        <v>171.86111639734204</v>
      </c>
      <c r="U93" s="3"/>
      <c r="V93" s="3"/>
      <c r="W93" s="3"/>
      <c r="X93" s="3"/>
      <c r="Y93" s="3"/>
    </row>
    <row r="94" spans="1:25">
      <c r="A94" s="634" t="s">
        <v>737</v>
      </c>
      <c r="B94" s="48" t="str">
        <f>IFERROR((#REF!-#REF!)/#REF!,"")</f>
        <v/>
      </c>
      <c r="C94" s="48">
        <f t="shared" ref="C94:Q94" si="34">C60/B60-1</f>
        <v>1.66098199217668E-3</v>
      </c>
      <c r="D94" s="48">
        <f t="shared" si="34"/>
        <v>6.6328820422929535E-3</v>
      </c>
      <c r="E94" s="48">
        <f t="shared" si="34"/>
        <v>4.4987463885719503E-3</v>
      </c>
      <c r="F94" s="48">
        <f t="shared" si="34"/>
        <v>2.3500546031003822E-2</v>
      </c>
      <c r="G94" s="48">
        <f t="shared" si="34"/>
        <v>2.0195407402840759E-2</v>
      </c>
      <c r="H94" s="48">
        <f t="shared" si="34"/>
        <v>2.6910580272078821E-2</v>
      </c>
      <c r="I94" s="48">
        <f t="shared" si="34"/>
        <v>1.3804420034507769E-2</v>
      </c>
      <c r="J94" s="48">
        <f t="shared" si="34"/>
        <v>1.3857913892062479E-2</v>
      </c>
      <c r="K94" s="48">
        <f t="shared" si="34"/>
        <v>4.7756741050581919E-3</v>
      </c>
      <c r="L94" s="48">
        <f t="shared" si="34"/>
        <v>5.3452534237838467E-2</v>
      </c>
      <c r="M94" s="519">
        <f t="shared" si="34"/>
        <v>0.30571921938372815</v>
      </c>
      <c r="N94" s="519">
        <f t="shared" si="34"/>
        <v>-9.8095475828587908E-3</v>
      </c>
      <c r="O94" s="519">
        <f t="shared" si="34"/>
        <v>-9.0438675416769088E-2</v>
      </c>
      <c r="P94" s="48">
        <f t="shared" si="34"/>
        <v>-3.7250138151816548E-2</v>
      </c>
      <c r="Q94" s="504">
        <f t="shared" si="34"/>
        <v>5.2791600899781965E-3</v>
      </c>
      <c r="S94" s="535"/>
      <c r="T94" s="360">
        <v>173.33472742883788</v>
      </c>
    </row>
    <row r="95" spans="1:25">
      <c r="B95" s="48" t="str">
        <f>IFERROR((#REF!-#REF!)/#REF!,"")</f>
        <v/>
      </c>
      <c r="C95" s="48"/>
      <c r="D95" s="48"/>
      <c r="E95" s="48"/>
      <c r="F95" s="48"/>
      <c r="G95" s="48"/>
      <c r="H95" s="48"/>
      <c r="I95" s="48"/>
      <c r="J95" s="48"/>
      <c r="K95" s="48"/>
      <c r="L95" s="48"/>
      <c r="M95" s="48"/>
      <c r="N95" s="48"/>
      <c r="O95" s="48"/>
      <c r="P95" s="48"/>
      <c r="Q95" s="504"/>
      <c r="S95" s="535"/>
      <c r="U95" s="11"/>
    </row>
    <row r="96" spans="1:25">
      <c r="A96" s="639"/>
      <c r="B96" s="48" t="str">
        <f>IFERROR((B62-A62)/A62,"")</f>
        <v/>
      </c>
      <c r="C96" s="48"/>
      <c r="D96" s="48"/>
      <c r="E96" s="48"/>
      <c r="F96" s="48"/>
      <c r="G96" s="48"/>
      <c r="H96" s="48"/>
      <c r="I96" s="48"/>
      <c r="J96" s="48"/>
      <c r="K96" s="48"/>
      <c r="L96" s="48"/>
      <c r="M96" s="48"/>
      <c r="N96" s="48"/>
      <c r="O96" s="48"/>
      <c r="P96" s="48" t="str">
        <f>IFERROR((#REF!-#REF!)/#REF!,"")</f>
        <v/>
      </c>
      <c r="U96" s="11"/>
    </row>
    <row r="97" spans="1:24">
      <c r="A97" s="658" t="s">
        <v>128</v>
      </c>
      <c r="B97" s="48" t="str">
        <f>IFERROR((B63-A63)/A63,"")</f>
        <v/>
      </c>
      <c r="C97" s="48"/>
      <c r="D97" s="48"/>
      <c r="E97" s="48"/>
      <c r="F97" s="48"/>
      <c r="G97" s="48"/>
      <c r="H97" s="48"/>
      <c r="I97" s="48"/>
      <c r="J97" s="48"/>
      <c r="K97" s="48"/>
      <c r="L97" s="48"/>
      <c r="M97" s="48"/>
      <c r="N97" s="48"/>
      <c r="O97" s="48"/>
      <c r="P97" s="48"/>
      <c r="T97" s="196"/>
      <c r="U97" s="98"/>
    </row>
    <row r="98" spans="1:24">
      <c r="A98" s="634" t="s">
        <v>736</v>
      </c>
      <c r="B98" s="48" t="str">
        <f>IFERROR((B64-A64)/A64,"")</f>
        <v/>
      </c>
      <c r="C98" s="48">
        <f t="shared" ref="C98:N98" si="35">C63/B63-1</f>
        <v>4.2121644228743094E-3</v>
      </c>
      <c r="D98" s="48">
        <f t="shared" si="35"/>
        <v>1.1766236481851156E-2</v>
      </c>
      <c r="E98" s="48">
        <f t="shared" si="35"/>
        <v>5.1855869129437959E-3</v>
      </c>
      <c r="F98" s="48">
        <f t="shared" si="35"/>
        <v>1.9059802168903017E-2</v>
      </c>
      <c r="G98" s="48">
        <f t="shared" si="35"/>
        <v>2.559193238068036E-2</v>
      </c>
      <c r="H98" s="48">
        <f t="shared" si="35"/>
        <v>3.1400097391461879E-2</v>
      </c>
      <c r="I98" s="48">
        <f t="shared" si="35"/>
        <v>1.6125746733011814E-2</v>
      </c>
      <c r="J98" s="48">
        <f t="shared" si="35"/>
        <v>9.2536676754577663E-3</v>
      </c>
      <c r="K98" s="48">
        <f t="shared" si="35"/>
        <v>1.5692246154791034E-2</v>
      </c>
      <c r="L98" s="48">
        <f t="shared" si="35"/>
        <v>4.8599903851253234E-2</v>
      </c>
      <c r="M98" s="519">
        <f t="shared" si="35"/>
        <v>-3.1545095567432457E-2</v>
      </c>
      <c r="N98" s="519">
        <f t="shared" si="35"/>
        <v>6.5503925556718468E-2</v>
      </c>
      <c r="O98" s="519">
        <f>O65/N63-1</f>
        <v>0.11769387578070778</v>
      </c>
      <c r="P98" s="523">
        <f>P65/O65-1</f>
        <v>-4.811060637348985E-2</v>
      </c>
      <c r="Q98" s="530">
        <f>Q65/P65-1</f>
        <v>3.6672025519073337E-3</v>
      </c>
      <c r="R98" s="517"/>
      <c r="S98" s="529"/>
      <c r="T98" s="197"/>
      <c r="U98" s="98"/>
    </row>
    <row r="99" spans="1:24">
      <c r="A99" s="634" t="s">
        <v>737</v>
      </c>
      <c r="B99" s="48" t="str">
        <f>IFERROR((B66-A66)/A66,"")</f>
        <v/>
      </c>
      <c r="C99" s="48">
        <f t="shared" ref="C99:Q99" si="36">C65/B65-1</f>
        <v>4.2121644228743094E-3</v>
      </c>
      <c r="D99" s="48">
        <f t="shared" si="36"/>
        <v>1.1766236481851156E-2</v>
      </c>
      <c r="E99" s="48">
        <f t="shared" si="36"/>
        <v>5.1855869129437959E-3</v>
      </c>
      <c r="F99" s="48">
        <f t="shared" si="36"/>
        <v>1.9059802168903017E-2</v>
      </c>
      <c r="G99" s="48">
        <f t="shared" si="36"/>
        <v>2.559193238068036E-2</v>
      </c>
      <c r="H99" s="48">
        <f t="shared" si="36"/>
        <v>3.1400097391461879E-2</v>
      </c>
      <c r="I99" s="48">
        <f t="shared" si="36"/>
        <v>1.6125746733011814E-2</v>
      </c>
      <c r="J99" s="48">
        <f t="shared" si="36"/>
        <v>9.2536676754577663E-3</v>
      </c>
      <c r="K99" s="48">
        <f t="shared" si="36"/>
        <v>1.41477519800981E-4</v>
      </c>
      <c r="L99" s="48">
        <f t="shared" si="36"/>
        <v>4.8597577732522712E-2</v>
      </c>
      <c r="M99" s="519">
        <f t="shared" si="36"/>
        <v>0.28373624751127013</v>
      </c>
      <c r="N99" s="519">
        <f t="shared" si="36"/>
        <v>9.2397548659488571E-3</v>
      </c>
      <c r="O99" s="519">
        <f t="shared" si="36"/>
        <v>-9.5957522943504348E-2</v>
      </c>
      <c r="P99" s="48">
        <f t="shared" si="36"/>
        <v>-4.811060637348985E-2</v>
      </c>
      <c r="Q99" s="504">
        <f t="shared" si="36"/>
        <v>3.6672025519073337E-3</v>
      </c>
      <c r="R99" s="517"/>
      <c r="S99" s="529"/>
      <c r="T99" s="197"/>
      <c r="U99" s="98"/>
    </row>
    <row r="100" spans="1:24">
      <c r="A100" s="641"/>
      <c r="B100" s="48" t="str">
        <f>IFERROR(('NHSE details'!B31-'NHSE details'!A31)/'NHSE details'!A31,"")</f>
        <v/>
      </c>
      <c r="C100" s="48"/>
      <c r="D100" s="48"/>
      <c r="E100" s="48"/>
      <c r="F100" s="48"/>
      <c r="G100" s="48"/>
      <c r="H100" s="48"/>
      <c r="I100" s="48"/>
      <c r="J100" s="48"/>
      <c r="K100" s="48"/>
      <c r="L100" s="48"/>
      <c r="M100" s="48"/>
      <c r="N100" s="48"/>
      <c r="O100" s="48"/>
      <c r="P100" s="48"/>
      <c r="R100" s="517"/>
      <c r="S100" s="529"/>
      <c r="T100" s="197"/>
      <c r="U100" s="98"/>
    </row>
    <row r="101" spans="1:24">
      <c r="A101" s="659" t="s">
        <v>129</v>
      </c>
      <c r="B101" s="48" t="str">
        <f>IFERROR(('NHSE details'!B32-'NHSE details'!A32)/'NHSE details'!A32,"")</f>
        <v/>
      </c>
      <c r="C101" s="48"/>
      <c r="D101" s="48"/>
      <c r="E101" s="48"/>
      <c r="F101" s="48"/>
      <c r="G101" s="48"/>
      <c r="H101" s="48"/>
      <c r="I101" s="48"/>
      <c r="J101" s="48"/>
      <c r="K101" s="48"/>
      <c r="L101" s="48"/>
      <c r="M101" s="48"/>
      <c r="N101" s="48"/>
      <c r="O101" s="48"/>
      <c r="P101" s="48"/>
      <c r="R101" s="517"/>
      <c r="S101" s="529"/>
      <c r="T101" s="197"/>
      <c r="U101" s="98"/>
    </row>
    <row r="102" spans="1:24">
      <c r="A102" s="646" t="s">
        <v>736</v>
      </c>
      <c r="B102" s="48" t="str">
        <f>IFERROR(('NHSE details'!B33-'NHSE details'!A33)/'NHSE details'!A33,"")</f>
        <v/>
      </c>
      <c r="C102" s="48"/>
      <c r="D102" s="48"/>
      <c r="E102" s="48"/>
      <c r="F102" s="48"/>
      <c r="G102" s="48"/>
      <c r="H102" s="48"/>
      <c r="I102" s="48"/>
      <c r="J102" s="48"/>
      <c r="K102" s="48"/>
      <c r="L102" s="48" t="e">
        <f>L74/K73-1</f>
        <v>#DIV/0!</v>
      </c>
      <c r="M102" s="48">
        <f>M74/L74-1</f>
        <v>-5.1553672316384191E-2</v>
      </c>
      <c r="N102" s="48">
        <f t="shared" ref="N102:Q102" si="37">N74/M74-1</f>
        <v>7.8291814946618299E-3</v>
      </c>
      <c r="O102" s="48">
        <f t="shared" si="37"/>
        <v>-6.2500000000000111E-2</v>
      </c>
      <c r="P102" s="48">
        <f t="shared" si="37"/>
        <v>-5.748109762339082E-2</v>
      </c>
      <c r="Q102" s="48">
        <f t="shared" si="37"/>
        <v>-1.6495476280801724E-2</v>
      </c>
      <c r="R102" s="517"/>
      <c r="S102" s="529"/>
      <c r="T102" s="197"/>
      <c r="U102" s="98"/>
    </row>
    <row r="103" spans="1:24">
      <c r="A103" s="646"/>
      <c r="B103" s="48" t="str">
        <f>IFERROR((#REF!-#REF!)/#REF!,"")</f>
        <v/>
      </c>
      <c r="C103" s="48"/>
      <c r="D103" s="48"/>
      <c r="E103" s="48"/>
      <c r="F103" s="48"/>
      <c r="G103" s="48"/>
      <c r="H103" s="48"/>
      <c r="I103" s="48"/>
      <c r="J103" s="48"/>
      <c r="K103" s="48"/>
      <c r="L103" s="48"/>
      <c r="M103" s="48"/>
      <c r="N103" s="48"/>
      <c r="O103" s="48"/>
      <c r="P103" s="48"/>
      <c r="R103" s="517"/>
      <c r="S103" s="529"/>
      <c r="U103" s="32" t="s">
        <v>718</v>
      </c>
      <c r="V103" s="1" t="s">
        <v>719</v>
      </c>
      <c r="W103" s="1" t="s">
        <v>723</v>
      </c>
      <c r="X103" s="1" t="s">
        <v>16</v>
      </c>
    </row>
    <row r="104" spans="1:24">
      <c r="A104" s="646"/>
      <c r="B104" s="48"/>
      <c r="C104" s="48"/>
      <c r="D104" s="48"/>
      <c r="E104" s="48"/>
      <c r="F104" s="48"/>
      <c r="G104" s="48"/>
      <c r="H104" s="48"/>
      <c r="I104" s="48"/>
      <c r="J104" s="48"/>
      <c r="K104" s="48"/>
      <c r="L104" s="48"/>
      <c r="M104" s="48"/>
      <c r="N104" s="48"/>
      <c r="O104" s="48"/>
      <c r="P104" s="48"/>
      <c r="R104" s="517"/>
      <c r="S104" s="529"/>
      <c r="T104" s="1" t="s">
        <v>168</v>
      </c>
      <c r="U104" s="197">
        <v>9.0863402209048623</v>
      </c>
      <c r="V104" s="1">
        <v>5.0771567921963694</v>
      </c>
      <c r="W104" s="1">
        <v>3.4392168956812754</v>
      </c>
      <c r="X104" s="993">
        <f>U104-(V104+W104)</f>
        <v>0.56996653302721789</v>
      </c>
    </row>
    <row r="105" spans="1:24">
      <c r="A105" s="660" t="s">
        <v>718</v>
      </c>
      <c r="C105" s="48"/>
      <c r="D105" s="48"/>
      <c r="E105" s="48"/>
      <c r="F105" s="48"/>
      <c r="G105" s="48">
        <f>G79/F79-1</f>
        <v>4.0085030488651974E-2</v>
      </c>
      <c r="H105" s="48">
        <f t="shared" ref="H105:M105" si="38">H79/G79-1</f>
        <v>5.8575991380108938E-2</v>
      </c>
      <c r="I105" s="48">
        <f t="shared" si="38"/>
        <v>-8.3800304306900553E-2</v>
      </c>
      <c r="J105" s="48" t="e">
        <f t="shared" si="38"/>
        <v>#REF!</v>
      </c>
      <c r="K105" s="48" t="e">
        <f t="shared" si="38"/>
        <v>#REF!</v>
      </c>
      <c r="L105" s="48" t="e">
        <f t="shared" si="38"/>
        <v>#REF!</v>
      </c>
      <c r="M105" s="48" t="e">
        <f t="shared" si="38"/>
        <v>#REF!</v>
      </c>
      <c r="N105" s="48" t="e">
        <f>N79/M79-1</f>
        <v>#REF!</v>
      </c>
      <c r="O105" s="48" t="e">
        <f>O79/N79-1</f>
        <v>#REF!</v>
      </c>
      <c r="P105" s="48" t="e">
        <f t="shared" ref="P105:Q105" si="39">P79/O79-1</f>
        <v>#REF!</v>
      </c>
      <c r="Q105" s="504" t="e">
        <f t="shared" si="39"/>
        <v>#REF!</v>
      </c>
      <c r="S105" s="1"/>
      <c r="T105" s="1" t="s">
        <v>169</v>
      </c>
      <c r="U105" s="196">
        <v>8.997277271915733</v>
      </c>
      <c r="V105" s="1">
        <v>4.5784234958043211</v>
      </c>
      <c r="W105" s="1">
        <v>3.271737189787538</v>
      </c>
      <c r="X105" s="993">
        <f t="shared" ref="X105:X109" si="40">U105-(V105+W105)</f>
        <v>1.1471165863238735</v>
      </c>
    </row>
    <row r="106" spans="1:24">
      <c r="A106" s="648" t="s">
        <v>301</v>
      </c>
      <c r="C106" s="48"/>
      <c r="D106" s="48"/>
      <c r="E106" s="48"/>
      <c r="F106" s="48"/>
      <c r="G106" s="48"/>
      <c r="H106" s="48"/>
      <c r="I106" s="48"/>
      <c r="J106" s="48"/>
      <c r="K106" s="48"/>
      <c r="L106" s="48"/>
      <c r="M106" s="48"/>
      <c r="N106" s="48"/>
      <c r="O106" s="48"/>
      <c r="S106" s="1"/>
      <c r="T106" s="1" t="s">
        <v>170</v>
      </c>
      <c r="U106" s="196">
        <v>30.086955969611456</v>
      </c>
      <c r="V106" s="1">
        <v>4.5324621862701218</v>
      </c>
      <c r="W106" s="1">
        <v>4.450977341922048</v>
      </c>
      <c r="X106" s="993">
        <f t="shared" si="40"/>
        <v>21.103516441419288</v>
      </c>
    </row>
    <row r="107" spans="1:24">
      <c r="A107" s="655" t="s">
        <v>719</v>
      </c>
      <c r="C107" s="48"/>
      <c r="D107" s="48"/>
      <c r="E107" s="48"/>
      <c r="F107" s="48"/>
      <c r="G107" s="48">
        <f t="shared" ref="G107:N108" si="41">G81/F81-1</f>
        <v>-5.8624246003934344E-3</v>
      </c>
      <c r="H107" s="48">
        <f t="shared" si="41"/>
        <v>-1.4759109962544703E-2</v>
      </c>
      <c r="I107" s="48">
        <f t="shared" si="41"/>
        <v>-2.4190599420548242E-4</v>
      </c>
      <c r="J107" s="48">
        <f t="shared" si="41"/>
        <v>-4.6156867924400324E-2</v>
      </c>
      <c r="K107" s="48">
        <f t="shared" si="41"/>
        <v>-9.7340835073808085E-2</v>
      </c>
      <c r="L107" s="48">
        <f t="shared" si="41"/>
        <v>-9.8247045254860721E-2</v>
      </c>
      <c r="M107" s="48">
        <f t="shared" si="41"/>
        <v>-9.9450106095716473E-3</v>
      </c>
      <c r="N107" s="48">
        <f t="shared" si="41"/>
        <v>0.17868717091405806</v>
      </c>
      <c r="O107" s="48"/>
      <c r="P107" s="48"/>
      <c r="Q107" s="504"/>
      <c r="S107" s="1"/>
      <c r="T107" s="1" t="s">
        <v>171</v>
      </c>
      <c r="U107" s="196">
        <v>29.379573723624443</v>
      </c>
      <c r="V107" s="1">
        <v>5.3434959783234834</v>
      </c>
      <c r="W107" s="1">
        <v>4.1102174052185791</v>
      </c>
      <c r="X107" s="993">
        <f t="shared" si="40"/>
        <v>19.92586034008238</v>
      </c>
    </row>
    <row r="108" spans="1:24">
      <c r="A108" s="655" t="s">
        <v>723</v>
      </c>
      <c r="C108" s="48"/>
      <c r="D108" s="48"/>
      <c r="E108" s="48"/>
      <c r="F108" s="48"/>
      <c r="G108" s="48">
        <f t="shared" si="41"/>
        <v>7.656891516720532E-2</v>
      </c>
      <c r="H108" s="48">
        <f t="shared" si="41"/>
        <v>0.25713409740798165</v>
      </c>
      <c r="I108" s="48">
        <f t="shared" si="41"/>
        <v>-4.4079508755118124E-2</v>
      </c>
      <c r="J108" s="48">
        <f t="shared" si="41"/>
        <v>-0.10162548217022915</v>
      </c>
      <c r="K108" s="48">
        <f t="shared" si="41"/>
        <v>-4.5928235790769434E-2</v>
      </c>
      <c r="L108" s="48">
        <f t="shared" si="41"/>
        <v>-4.8714158781909767E-2</v>
      </c>
      <c r="M108" s="48">
        <f t="shared" si="41"/>
        <v>0.36056113718870697</v>
      </c>
      <c r="N108" s="48">
        <f t="shared" si="41"/>
        <v>-7.6755626177144154E-2</v>
      </c>
      <c r="O108" s="48">
        <f>O82/N82-1</f>
        <v>-0.16858616662341042</v>
      </c>
      <c r="P108" s="48">
        <f>P82/O82-1</f>
        <v>-3.4587018344122922E-2</v>
      </c>
      <c r="Q108" s="504">
        <f>Q82/P82-1</f>
        <v>-1.6495476280801946E-2</v>
      </c>
      <c r="S108" s="1"/>
      <c r="T108" s="1" t="s">
        <v>172</v>
      </c>
      <c r="U108" s="196">
        <v>13.275999999999982</v>
      </c>
      <c r="V108" s="1">
        <v>5.5114000000000001</v>
      </c>
      <c r="W108" s="1">
        <v>3.4169999999999998</v>
      </c>
      <c r="X108" s="993">
        <f t="shared" si="40"/>
        <v>4.3475999999999821</v>
      </c>
    </row>
    <row r="109" spans="1:24">
      <c r="A109" s="646"/>
      <c r="B109" s="48"/>
      <c r="C109" s="48"/>
      <c r="D109" s="48"/>
      <c r="E109" s="48"/>
      <c r="F109" s="48"/>
      <c r="G109" s="48"/>
      <c r="H109" s="48"/>
      <c r="I109" s="48"/>
      <c r="J109" s="48"/>
      <c r="K109" s="48"/>
      <c r="L109" s="48"/>
      <c r="M109" s="48"/>
      <c r="N109" s="48"/>
      <c r="O109" s="48"/>
      <c r="P109" s="48"/>
      <c r="R109" s="517"/>
      <c r="S109" s="529"/>
      <c r="T109" s="1" t="s">
        <v>173</v>
      </c>
      <c r="U109" s="197">
        <v>9.9537042726156244</v>
      </c>
      <c r="V109" s="1">
        <v>4.9236941860033072</v>
      </c>
      <c r="W109" s="1">
        <v>3.5289999999999999</v>
      </c>
      <c r="X109" s="993">
        <f t="shared" si="40"/>
        <v>1.5010100866123182</v>
      </c>
    </row>
    <row r="110" spans="1:24">
      <c r="A110" s="658" t="s">
        <v>130</v>
      </c>
      <c r="B110" s="48" t="str">
        <f>IFERROR((#REF!-#REF!)/#REF!,"")</f>
        <v/>
      </c>
      <c r="C110" s="48"/>
      <c r="D110" s="48"/>
      <c r="E110" s="48"/>
      <c r="F110" s="48"/>
      <c r="G110" s="48"/>
      <c r="H110" s="48"/>
      <c r="I110" s="48"/>
      <c r="J110" s="48"/>
      <c r="K110" s="48"/>
      <c r="L110" s="48"/>
      <c r="M110" s="48"/>
      <c r="N110" s="48"/>
      <c r="O110" s="48"/>
      <c r="P110" s="48"/>
      <c r="Q110" s="504"/>
      <c r="R110" s="517"/>
      <c r="S110" s="529"/>
      <c r="T110" s="32"/>
    </row>
    <row r="111" spans="1:24">
      <c r="A111" s="634" t="s">
        <v>736</v>
      </c>
      <c r="B111" s="48" t="str">
        <f>IFERROR((#REF!-#REF!)/#REF!,"")</f>
        <v/>
      </c>
      <c r="C111" s="48">
        <f t="shared" ref="C111:N111" si="42">C85/B85-1</f>
        <v>-4.4238762593719172E-2</v>
      </c>
      <c r="D111" s="48">
        <f t="shared" si="42"/>
        <v>-9.04060638234363E-2</v>
      </c>
      <c r="E111" s="48">
        <f t="shared" si="42"/>
        <v>-9.9434536322263734E-3</v>
      </c>
      <c r="F111" s="48">
        <f t="shared" si="42"/>
        <v>0.11830296560538756</v>
      </c>
      <c r="G111" s="48">
        <f t="shared" si="42"/>
        <v>-8.4787376034101358E-2</v>
      </c>
      <c r="H111" s="48">
        <f t="shared" si="42"/>
        <v>-7.096089112428039E-2</v>
      </c>
      <c r="I111" s="48">
        <f t="shared" si="42"/>
        <v>-4.2376121823924917E-2</v>
      </c>
      <c r="J111" s="48">
        <f t="shared" si="42"/>
        <v>0.13209689706651018</v>
      </c>
      <c r="K111" s="48">
        <f t="shared" si="42"/>
        <v>0.11087028771920004</v>
      </c>
      <c r="L111" s="48">
        <f t="shared" si="42"/>
        <v>0.15352216878731695</v>
      </c>
      <c r="M111" s="519">
        <f t="shared" si="42"/>
        <v>0.16274246872118292</v>
      </c>
      <c r="N111" s="519">
        <f t="shared" si="42"/>
        <v>5.4704957378134633E-2</v>
      </c>
      <c r="O111" s="519">
        <f>O87/N85-1</f>
        <v>3.0833333333333268E-2</v>
      </c>
      <c r="P111" s="530">
        <f>P87/O87-1</f>
        <v>0.15129026797983514</v>
      </c>
      <c r="Q111" s="530">
        <f>Q87/P87-1</f>
        <v>2.8416378210677218E-2</v>
      </c>
      <c r="R111" s="517"/>
      <c r="S111" s="529"/>
      <c r="T111" s="32"/>
    </row>
    <row r="112" spans="1:24">
      <c r="A112" s="634" t="s">
        <v>737</v>
      </c>
      <c r="B112" s="48" t="str">
        <f>IFERROR((#REF!-#REF!)/#REF!,"")</f>
        <v/>
      </c>
      <c r="C112" s="48">
        <f t="shared" ref="C112:N112" si="43">C87/B87-1</f>
        <v>-4.4238762593719172E-2</v>
      </c>
      <c r="D112" s="48">
        <f t="shared" si="43"/>
        <v>-9.04060638234363E-2</v>
      </c>
      <c r="E112" s="48">
        <f t="shared" si="43"/>
        <v>-9.9434536322263734E-3</v>
      </c>
      <c r="F112" s="48">
        <f t="shared" si="43"/>
        <v>0.11830296560538756</v>
      </c>
      <c r="G112" s="48">
        <f t="shared" si="43"/>
        <v>-8.4787376034101358E-2</v>
      </c>
      <c r="H112" s="48">
        <f t="shared" si="43"/>
        <v>-7.096089112428039E-2</v>
      </c>
      <c r="I112" s="48">
        <f t="shared" si="43"/>
        <v>-4.2376121823924917E-2</v>
      </c>
      <c r="J112" s="48">
        <f t="shared" si="43"/>
        <v>0.13209689706651018</v>
      </c>
      <c r="K112" s="48">
        <f t="shared" si="43"/>
        <v>0.11087028771920004</v>
      </c>
      <c r="L112" s="48">
        <f t="shared" si="43"/>
        <v>0.15352216878731695</v>
      </c>
      <c r="M112" s="519">
        <f t="shared" si="43"/>
        <v>0.71761399100394274</v>
      </c>
      <c r="N112" s="519">
        <f t="shared" si="43"/>
        <v>-0.27657475550615396</v>
      </c>
      <c r="O112" s="519">
        <f t="shared" ref="O112" si="44">O87/N87-1</f>
        <v>1.7381291808312493E-2</v>
      </c>
      <c r="P112" s="530">
        <f>P88/O88-1</f>
        <v>-0.25894037554206351</v>
      </c>
      <c r="Q112" s="530">
        <f>Q88/P88-1</f>
        <v>2.5352872756361222E-2</v>
      </c>
      <c r="R112" s="517"/>
      <c r="S112" s="529"/>
      <c r="T112" s="32"/>
    </row>
    <row r="113" spans="1:21">
      <c r="B113" s="48" t="str">
        <f>IFERROR((#REF!-#REF!)/#REF!,"")</f>
        <v/>
      </c>
      <c r="C113" s="48"/>
      <c r="D113" s="48"/>
      <c r="E113" s="48"/>
      <c r="F113" s="48"/>
      <c r="G113" s="48"/>
      <c r="H113" s="48"/>
      <c r="I113" s="48"/>
      <c r="J113" s="48"/>
      <c r="K113" s="48"/>
      <c r="L113" s="48"/>
      <c r="M113" s="48"/>
      <c r="N113" s="48"/>
      <c r="O113" s="48"/>
      <c r="P113" s="48"/>
      <c r="R113" s="517"/>
      <c r="S113" s="529"/>
      <c r="T113" s="32"/>
      <c r="U113" s="29"/>
    </row>
    <row r="114" spans="1:21">
      <c r="A114" s="661"/>
      <c r="C114" s="48"/>
      <c r="D114" s="48"/>
      <c r="E114" s="48"/>
      <c r="F114" s="48"/>
      <c r="G114" s="48"/>
      <c r="H114" s="48"/>
      <c r="I114" s="48"/>
      <c r="J114" s="48"/>
      <c r="K114" s="48"/>
      <c r="L114" s="48"/>
      <c r="M114" s="48"/>
      <c r="N114" s="48"/>
      <c r="O114" s="48"/>
      <c r="P114" s="48"/>
      <c r="U114" s="11"/>
    </row>
    <row r="126" spans="1:21">
      <c r="U126" s="30"/>
    </row>
    <row r="127" spans="1:21">
      <c r="U127" s="31"/>
    </row>
    <row r="128" spans="1:21">
      <c r="U128" s="31"/>
    </row>
    <row r="159" spans="1:16" ht="15" thickBot="1">
      <c r="A159" s="662"/>
      <c r="B159" s="71"/>
      <c r="C159" s="68"/>
      <c r="D159" s="68"/>
      <c r="E159" s="68"/>
      <c r="F159" s="68"/>
      <c r="G159" s="68"/>
      <c r="H159" s="68"/>
      <c r="I159" s="68"/>
      <c r="J159" s="68"/>
      <c r="K159" s="68"/>
      <c r="L159" s="68"/>
      <c r="M159" s="68"/>
      <c r="N159" s="68"/>
      <c r="O159" s="68"/>
      <c r="P159" s="71"/>
    </row>
  </sheetData>
  <phoneticPr fontId="21" type="noConversion"/>
  <hyperlinks>
    <hyperlink ref="R40" r:id="rId1" location="departmental-settlements" display="https://www.gov.uk/government/publications/spending-round-2019-document/spending-round-2019 - departmental-settlements" xr:uid="{9DAAE380-B6EF-4673-A95C-8CB8E8B156BB}"/>
    <hyperlink ref="R41" r:id="rId2" display="Latest" xr:uid="{1E2D14AD-0FBB-4ECB-9215-630E274F8E6C}"/>
    <hyperlink ref="S40" r:id="rId3" xr:uid="{02B8A720-BCC4-4C5E-A7CC-E3345A29D8F1}"/>
    <hyperlink ref="R6" r:id="rId4" xr:uid="{83BC5A78-4389-4BFB-ADC1-CCA1490F95F2}"/>
    <hyperlink ref="R8" r:id="rId5" xr:uid="{C22CACB9-AAC2-4B2C-B5BA-3C697CD674F0}"/>
  </hyperlinks>
  <pageMargins left="0.7" right="0.7" top="0.75" bottom="0.75" header="0.3" footer="0.3"/>
  <pageSetup paperSize="8" scale="65" orientation="landscape" r:id="rId6"/>
  <legacyDrawing r:id="rId7"/>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C843-A9F7-464D-92C9-FB4EF0EA09B8}">
  <dimension ref="A1:CL101"/>
  <sheetViews>
    <sheetView zoomScale="40" zoomScaleNormal="70" workbookViewId="0">
      <pane xSplit="1" topLeftCell="B1" activePane="topRight" state="frozen"/>
      <selection activeCell="O57" activeCellId="2" sqref="O27 O47 O57"/>
      <selection pane="topRight" activeCell="H25" sqref="H25"/>
    </sheetView>
  </sheetViews>
  <sheetFormatPr defaultColWidth="8.54296875" defaultRowHeight="18.75" customHeight="1"/>
  <cols>
    <col min="1" max="1" width="32.453125" style="102" customWidth="1"/>
    <col min="2" max="2" width="42.54296875" style="102" customWidth="1"/>
    <col min="3" max="3" width="32.1796875" style="102" customWidth="1"/>
    <col min="4" max="4" width="39.453125" style="102" bestFit="1" customWidth="1"/>
    <col min="5" max="5" width="32.453125" style="102" bestFit="1" customWidth="1"/>
    <col min="6" max="7" width="20.54296875" style="102" customWidth="1"/>
    <col min="8" max="8" width="29.453125" style="102" bestFit="1" customWidth="1"/>
    <col min="9" max="9" width="29.453125" style="102" customWidth="1"/>
    <col min="10" max="10" width="31.54296875" style="102" customWidth="1"/>
    <col min="11" max="11" width="25.453125" style="182" bestFit="1" customWidth="1"/>
    <col min="12" max="12" width="25.453125" style="182" customWidth="1"/>
    <col min="13" max="13" width="27.81640625" style="182" bestFit="1" customWidth="1"/>
    <col min="14" max="14" width="27.81640625" style="182" customWidth="1"/>
    <col min="15" max="19" width="23" style="182" customWidth="1"/>
    <col min="20" max="21" width="27.81640625" style="182" customWidth="1"/>
    <col min="22" max="23" width="17.81640625" style="182" customWidth="1"/>
    <col min="24" max="24" width="21.1796875" style="182" bestFit="1" customWidth="1"/>
    <col min="25" max="25" width="12.54296875" style="182" bestFit="1" customWidth="1"/>
    <col min="26" max="26" width="21.1796875" style="182" customWidth="1"/>
    <col min="27" max="28" width="18.54296875" style="102" customWidth="1"/>
    <col min="29" max="29" width="34.54296875" style="711" customWidth="1"/>
    <col min="30" max="32" width="18.54296875" style="102" customWidth="1"/>
    <col min="33" max="34" width="31.453125" style="182" customWidth="1"/>
    <col min="35" max="35" width="18.54296875" style="102" customWidth="1"/>
    <col min="36" max="37" width="31.453125" style="182" customWidth="1"/>
    <col min="38" max="38" width="18.54296875" style="102" customWidth="1"/>
    <col min="39" max="40" width="31.453125" style="182" customWidth="1"/>
    <col min="41" max="42" width="18.54296875" style="102" customWidth="1"/>
    <col min="43" max="43" width="7" style="102" bestFit="1" customWidth="1"/>
    <col min="44" max="45" width="18.54296875" style="102" customWidth="1"/>
    <col min="46" max="46" width="28.453125" style="182" bestFit="1" customWidth="1"/>
    <col min="47" max="47" width="35.1796875" style="182" bestFit="1" customWidth="1"/>
    <col min="48" max="48" width="23.453125" style="182" bestFit="1" customWidth="1"/>
    <col min="49" max="51" width="23.453125" style="182" customWidth="1"/>
    <col min="52" max="52" width="27.81640625" style="182" customWidth="1"/>
    <col min="53" max="58" width="31.453125" style="182" customWidth="1"/>
    <col min="59" max="63" width="27.81640625" style="182" customWidth="1"/>
    <col min="64" max="64" width="31.453125" style="182" customWidth="1"/>
    <col min="65" max="65" width="16.453125" style="182" customWidth="1"/>
    <col min="66" max="66" width="10.54296875" style="182" customWidth="1"/>
    <col min="67" max="67" width="18.54296875" style="182" customWidth="1"/>
    <col min="68" max="69" width="10.54296875" style="182" customWidth="1"/>
    <col min="70" max="70" width="23.453125" style="182" customWidth="1"/>
    <col min="71" max="71" width="26.81640625" style="182" customWidth="1"/>
    <col min="72" max="72" width="17.453125" style="182" customWidth="1"/>
    <col min="73" max="73" width="12.453125" style="182" customWidth="1"/>
    <col min="74" max="74" width="15.453125" style="182" customWidth="1"/>
    <col min="75" max="76" width="18.54296875" style="102" customWidth="1"/>
    <col min="77" max="78" width="8.54296875" style="102" bestFit="1"/>
    <col min="79" max="79" width="65" style="102" bestFit="1" customWidth="1"/>
    <col min="80" max="80" width="31" style="102" bestFit="1" customWidth="1"/>
    <col min="81" max="81" width="31.453125" style="102" bestFit="1" customWidth="1"/>
    <col min="82" max="82" width="8.54296875" style="102" bestFit="1"/>
    <col min="83" max="83" width="56.54296875" style="102" bestFit="1" customWidth="1"/>
    <col min="84" max="89" width="8.54296875" style="102" bestFit="1"/>
    <col min="90" max="16384" width="8.54296875" style="102"/>
  </cols>
  <sheetData>
    <row r="1" spans="1:83" ht="106">
      <c r="A1" s="100"/>
      <c r="B1" s="1719" t="s">
        <v>738</v>
      </c>
      <c r="C1" s="1719" t="s">
        <v>739</v>
      </c>
      <c r="D1" s="1719" t="s">
        <v>740</v>
      </c>
      <c r="E1" s="1719" t="s">
        <v>741</v>
      </c>
      <c r="F1" s="1720" t="s">
        <v>742</v>
      </c>
      <c r="G1" s="1720"/>
      <c r="H1" s="1720" t="s">
        <v>729</v>
      </c>
      <c r="I1" s="1721"/>
      <c r="J1" s="1722" t="s">
        <v>743</v>
      </c>
      <c r="K1" s="1720" t="s">
        <v>251</v>
      </c>
      <c r="L1" s="909" t="s">
        <v>744</v>
      </c>
      <c r="M1" s="1720" t="s">
        <v>745</v>
      </c>
      <c r="N1" s="909" t="s">
        <v>744</v>
      </c>
      <c r="O1" s="175" t="s">
        <v>746</v>
      </c>
      <c r="P1" s="909"/>
      <c r="Q1" s="909"/>
      <c r="R1" s="909"/>
      <c r="S1" s="909"/>
      <c r="T1" s="175" t="s">
        <v>747</v>
      </c>
      <c r="U1" s="909" t="s">
        <v>744</v>
      </c>
      <c r="V1" s="175" t="s">
        <v>748</v>
      </c>
      <c r="W1" s="175" t="s">
        <v>749</v>
      </c>
      <c r="X1" s="175" t="s">
        <v>341</v>
      </c>
      <c r="Y1" s="175" t="s">
        <v>750</v>
      </c>
      <c r="Z1" s="175" t="s">
        <v>751</v>
      </c>
      <c r="AA1" s="709"/>
      <c r="AB1" s="709"/>
      <c r="AC1" s="709" t="s">
        <v>752</v>
      </c>
      <c r="AD1" s="102" t="s">
        <v>753</v>
      </c>
      <c r="AE1" s="102" t="s">
        <v>754</v>
      </c>
      <c r="AF1" s="709" t="s">
        <v>755</v>
      </c>
      <c r="AG1" s="175"/>
      <c r="AH1" s="175"/>
      <c r="AI1" s="102" t="s">
        <v>756</v>
      </c>
      <c r="AJ1" s="175"/>
      <c r="AK1" s="175"/>
      <c r="AL1" s="102" t="s">
        <v>757</v>
      </c>
      <c r="AM1" s="175"/>
      <c r="AN1" s="175"/>
      <c r="AO1" s="709" t="s">
        <v>758</v>
      </c>
      <c r="AP1" s="709"/>
      <c r="AQ1" s="102" t="s">
        <v>759</v>
      </c>
      <c r="AR1" s="102" t="s">
        <v>760</v>
      </c>
      <c r="AT1" s="175" t="s">
        <v>761</v>
      </c>
      <c r="AU1" s="175" t="s">
        <v>762</v>
      </c>
      <c r="AV1" s="175" t="s">
        <v>763</v>
      </c>
      <c r="AW1" s="175"/>
      <c r="AX1" s="175"/>
      <c r="AY1" s="175"/>
      <c r="AZ1" s="175" t="s">
        <v>764</v>
      </c>
      <c r="BA1" s="175" t="s">
        <v>765</v>
      </c>
      <c r="BB1" s="175"/>
      <c r="BC1" s="175"/>
      <c r="BD1" s="175"/>
      <c r="BE1" s="175" t="s">
        <v>766</v>
      </c>
      <c r="BF1" s="175"/>
      <c r="BG1" s="175" t="s">
        <v>767</v>
      </c>
      <c r="BH1" s="175" t="s">
        <v>768</v>
      </c>
      <c r="BI1" s="175" t="s">
        <v>769</v>
      </c>
      <c r="BJ1" s="175" t="s">
        <v>770</v>
      </c>
      <c r="BK1" s="175"/>
      <c r="BL1" s="175" t="s">
        <v>771</v>
      </c>
      <c r="BM1" s="175" t="s">
        <v>772</v>
      </c>
      <c r="BN1" s="175" t="s">
        <v>773</v>
      </c>
      <c r="BO1" s="175" t="s">
        <v>774</v>
      </c>
      <c r="BP1" s="175" t="s">
        <v>775</v>
      </c>
      <c r="BQ1" s="175"/>
      <c r="BR1" s="175" t="s">
        <v>776</v>
      </c>
      <c r="BS1" s="175" t="s">
        <v>777</v>
      </c>
      <c r="BT1" s="175" t="s">
        <v>145</v>
      </c>
      <c r="BU1" s="101" t="s">
        <v>778</v>
      </c>
      <c r="BV1" s="175" t="s">
        <v>779</v>
      </c>
    </row>
    <row r="2" spans="1:83" ht="19" thickBot="1">
      <c r="A2" s="103" t="s">
        <v>780</v>
      </c>
      <c r="B2" s="103"/>
      <c r="C2" s="103"/>
      <c r="D2" s="103"/>
      <c r="E2" s="103"/>
      <c r="F2" s="370">
        <v>0.43294138670478921</v>
      </c>
      <c r="G2" s="370"/>
      <c r="H2" s="371">
        <f t="shared" ref="H2:H6" si="0">H3/(1+I3)</f>
        <v>2.8129442475707696</v>
      </c>
      <c r="I2" s="371"/>
      <c r="J2" s="371"/>
      <c r="K2" s="367">
        <f t="shared" ref="K2:K33" si="1">(F2/H2)*H$75</f>
        <v>15.391040440231727</v>
      </c>
      <c r="L2" s="367">
        <f t="shared" ref="L2:L65" si="2">K2</f>
        <v>15.391040440231727</v>
      </c>
      <c r="M2" s="175"/>
      <c r="N2" s="175"/>
      <c r="O2" s="175"/>
      <c r="P2" s="198"/>
      <c r="Q2" s="198"/>
      <c r="R2" s="198"/>
      <c r="S2" s="198"/>
      <c r="T2" s="175"/>
      <c r="U2" s="198" t="e">
        <f>((L2/#REF!)^(1/COUNT(L1:L2)))-1</f>
        <v>#REF!</v>
      </c>
      <c r="V2" s="175"/>
      <c r="W2" s="175"/>
      <c r="X2" s="902">
        <v>50331000</v>
      </c>
      <c r="Y2" s="902">
        <f t="shared" ref="Y2:Y33" si="3">(F2*1000000000)/X2</f>
        <v>8.6018832668691108</v>
      </c>
      <c r="Z2" s="902">
        <f t="shared" ref="Z2:Z33" si="4">(K2*1000000000)/X2</f>
        <v>305.79643639569503</v>
      </c>
      <c r="AA2" s="903"/>
      <c r="AB2" s="903"/>
      <c r="AC2" s="889"/>
      <c r="AD2" s="889">
        <v>5.2690000000000001</v>
      </c>
      <c r="AE2" s="889">
        <v>4.4939999999999998</v>
      </c>
      <c r="AF2" s="367"/>
      <c r="AG2" s="175"/>
      <c r="AH2" s="175"/>
      <c r="AI2" s="367">
        <f>(AD2/$H2)*$H$72</f>
        <v>167.77536551162186</v>
      </c>
      <c r="AJ2" s="175"/>
      <c r="AK2" s="175"/>
      <c r="AL2" s="367">
        <f>(AE2/$H2)*$H$72</f>
        <v>143.09783499890463</v>
      </c>
      <c r="AM2" s="175"/>
      <c r="AN2" s="175"/>
      <c r="AO2" s="903">
        <f t="shared" ref="AO2:AO33" si="5">(AF2*1000000000)/X2</f>
        <v>0</v>
      </c>
      <c r="AP2" s="903"/>
      <c r="AQ2" s="903">
        <f t="shared" ref="AQ2:AQ33" si="6">(AI2*1000000000)/X2</f>
        <v>3333.4399378439102</v>
      </c>
      <c r="AR2" s="903">
        <f t="shared" ref="AR2:AR33" si="7">(AL2*1000000000)/X2</f>
        <v>2843.1351453161001</v>
      </c>
      <c r="AS2" s="889"/>
      <c r="AT2" s="250">
        <v>467069</v>
      </c>
      <c r="AU2" s="175"/>
      <c r="AV2" s="175"/>
      <c r="AW2" s="175"/>
      <c r="AX2" s="175"/>
      <c r="AY2" s="175"/>
      <c r="AZ2" s="175"/>
      <c r="BA2" s="175"/>
      <c r="BB2" s="175"/>
      <c r="BC2" s="175"/>
      <c r="BD2" s="175"/>
      <c r="BE2" s="175"/>
      <c r="BF2" s="175"/>
      <c r="BG2" s="175"/>
      <c r="BH2" s="175"/>
      <c r="BI2" s="175"/>
      <c r="BJ2" s="175"/>
      <c r="BK2" s="175"/>
      <c r="BL2" s="175"/>
      <c r="BM2" s="177">
        <v>12.343</v>
      </c>
      <c r="BN2" s="183">
        <f t="shared" ref="BN2:BN33" si="8">F2/BM2</f>
        <v>3.5075863785529383E-2</v>
      </c>
      <c r="BO2" s="176">
        <v>4.7910000000000004</v>
      </c>
      <c r="BP2" s="184">
        <f t="shared" ref="BP2:BP33" si="9">F2/BO2</f>
        <v>9.0365557650759584E-2</v>
      </c>
      <c r="BQ2" s="184"/>
      <c r="BR2" s="184">
        <v>0.12985644472249225</v>
      </c>
      <c r="BS2" s="179">
        <v>3.3340000000000001</v>
      </c>
      <c r="BT2" s="106">
        <v>0.5</v>
      </c>
      <c r="BU2" s="107">
        <v>0.51900000000000002</v>
      </c>
      <c r="BV2" s="105">
        <v>0.438</v>
      </c>
      <c r="BW2" s="889"/>
      <c r="BX2" s="889"/>
      <c r="CA2" s="100" t="s">
        <v>781</v>
      </c>
    </row>
    <row r="3" spans="1:83" ht="18.5">
      <c r="A3" s="103" t="s">
        <v>782</v>
      </c>
      <c r="B3" s="103"/>
      <c r="C3" s="103"/>
      <c r="D3" s="103"/>
      <c r="E3" s="103"/>
      <c r="F3" s="370">
        <v>0.45933434596140105</v>
      </c>
      <c r="G3" s="370"/>
      <c r="H3" s="371">
        <f t="shared" si="0"/>
        <v>2.8986436537839708</v>
      </c>
      <c r="I3" s="913">
        <v>3.0466087725418145E-2</v>
      </c>
      <c r="J3" s="908">
        <f t="shared" ref="J3:J7" si="10">H3/H2-1</f>
        <v>3.0466087725418145E-2</v>
      </c>
      <c r="K3" s="367">
        <f t="shared" si="1"/>
        <v>15.846526887214063</v>
      </c>
      <c r="L3" s="367">
        <f t="shared" si="2"/>
        <v>15.846526887214063</v>
      </c>
      <c r="M3" s="108">
        <f t="shared" ref="M3:M34" si="11">K3/K2-1</f>
        <v>2.9594259644182941E-2</v>
      </c>
      <c r="N3" s="108">
        <f t="shared" ref="N3:N34" si="12">L3/L2-1</f>
        <v>2.9594259644182941E-2</v>
      </c>
      <c r="O3" s="175"/>
      <c r="P3" s="198"/>
      <c r="Q3" s="198"/>
      <c r="R3" s="198"/>
      <c r="S3" s="198"/>
      <c r="T3" s="108"/>
      <c r="U3" s="198" t="e">
        <f t="shared" ref="U3:U34" si="13">((L3/L1)^(1/COUNT(L2:L3)))-1</f>
        <v>#VALUE!</v>
      </c>
      <c r="V3" s="175"/>
      <c r="W3" s="175"/>
      <c r="X3" s="886">
        <v>50381500</v>
      </c>
      <c r="Y3" s="902">
        <f t="shared" si="3"/>
        <v>9.1171232686879318</v>
      </c>
      <c r="Z3" s="902">
        <f t="shared" si="4"/>
        <v>314.53066874178148</v>
      </c>
      <c r="AA3" s="903"/>
      <c r="AB3" s="903"/>
      <c r="AC3" s="889"/>
      <c r="AD3" s="889">
        <v>5.4580000000000002</v>
      </c>
      <c r="AE3" s="889">
        <v>4.5960000000000001</v>
      </c>
      <c r="AF3" s="367"/>
      <c r="AG3" s="175"/>
      <c r="AH3" s="175"/>
      <c r="AI3" s="367">
        <f t="shared" ref="AI3:AI34" si="14">(AD3/$H3)*$H$72</f>
        <v>168.65523361652734</v>
      </c>
      <c r="AJ3" s="175"/>
      <c r="AK3" s="175"/>
      <c r="AL3" s="367">
        <f t="shared" ref="AL3:AL34" si="15">(AE3/$H3)*$H$72</f>
        <v>142.01895450743123</v>
      </c>
      <c r="AM3" s="175"/>
      <c r="AN3" s="175"/>
      <c r="AO3" s="903">
        <f t="shared" si="5"/>
        <v>0</v>
      </c>
      <c r="AP3" s="903"/>
      <c r="AQ3" s="903">
        <f t="shared" si="6"/>
        <v>3347.5627684075971</v>
      </c>
      <c r="AR3" s="903">
        <f t="shared" si="7"/>
        <v>2818.8711036279437</v>
      </c>
      <c r="AS3" s="889"/>
      <c r="AT3" s="249">
        <v>500148</v>
      </c>
      <c r="AU3" s="108"/>
      <c r="AV3" s="108"/>
      <c r="AW3" s="108"/>
      <c r="AX3" s="108"/>
      <c r="AY3" s="108"/>
      <c r="AZ3" s="108"/>
      <c r="BA3" s="175"/>
      <c r="BB3" s="175"/>
      <c r="BC3" s="175"/>
      <c r="BD3" s="175"/>
      <c r="BE3" s="175"/>
      <c r="BF3" s="175"/>
      <c r="BG3" s="252">
        <v>72978377.889787391</v>
      </c>
      <c r="BH3" s="251">
        <f t="shared" ref="BH3:BH44" si="16">AT3/BG3</f>
        <v>6.8533723886728213E-3</v>
      </c>
      <c r="BI3" s="252"/>
      <c r="BJ3" s="252"/>
      <c r="BK3" s="198"/>
      <c r="BL3" s="175"/>
      <c r="BM3" s="177">
        <v>12.92</v>
      </c>
      <c r="BN3" s="183">
        <f t="shared" si="8"/>
        <v>3.5552193959860763E-2</v>
      </c>
      <c r="BO3" s="176">
        <v>5.1059999999999999</v>
      </c>
      <c r="BP3" s="184">
        <f t="shared" si="9"/>
        <v>8.9959723063337452E-2</v>
      </c>
      <c r="BQ3" s="184"/>
      <c r="BR3" s="184">
        <v>0.12741590734019445</v>
      </c>
      <c r="BS3" s="179">
        <v>3.6050000000000004</v>
      </c>
      <c r="BT3" s="106">
        <v>0.5</v>
      </c>
      <c r="BU3" s="107">
        <v>0.53100000000000003</v>
      </c>
      <c r="BV3" s="105">
        <v>0.47</v>
      </c>
      <c r="BW3" s="889"/>
      <c r="BX3" s="889"/>
      <c r="CA3" s="100" t="s">
        <v>783</v>
      </c>
    </row>
    <row r="4" spans="1:83" ht="18.5">
      <c r="A4" s="103" t="s">
        <v>784</v>
      </c>
      <c r="B4" s="103"/>
      <c r="C4" s="103"/>
      <c r="D4" s="103"/>
      <c r="E4" s="103"/>
      <c r="F4" s="370">
        <v>0.46750647784131527</v>
      </c>
      <c r="G4" s="370"/>
      <c r="H4" s="371">
        <f t="shared" si="0"/>
        <v>3.1241552431297941</v>
      </c>
      <c r="I4" s="913">
        <v>7.7799004045024267E-2</v>
      </c>
      <c r="J4" s="908">
        <f t="shared" si="10"/>
        <v>7.7799004045024267E-2</v>
      </c>
      <c r="K4" s="367">
        <f t="shared" si="1"/>
        <v>14.964252460545621</v>
      </c>
      <c r="L4" s="367">
        <f t="shared" si="2"/>
        <v>14.964252460545621</v>
      </c>
      <c r="M4" s="108">
        <f t="shared" si="11"/>
        <v>-5.5676201665382896E-2</v>
      </c>
      <c r="N4" s="108">
        <f t="shared" si="12"/>
        <v>-5.5676201665382896E-2</v>
      </c>
      <c r="O4" s="175"/>
      <c r="P4" s="198"/>
      <c r="Q4" s="198"/>
      <c r="R4" s="198"/>
      <c r="S4" s="198"/>
      <c r="T4" s="198" t="s">
        <v>785</v>
      </c>
      <c r="U4" s="198">
        <f t="shared" si="13"/>
        <v>-1.3962291790667436E-2</v>
      </c>
      <c r="V4" s="175"/>
      <c r="W4" s="175"/>
      <c r="X4" s="886">
        <v>50286900</v>
      </c>
      <c r="Y4" s="902">
        <f t="shared" si="3"/>
        <v>9.2967846067527589</v>
      </c>
      <c r="Z4" s="902">
        <f t="shared" si="4"/>
        <v>297.5775492334111</v>
      </c>
      <c r="AA4" s="903"/>
      <c r="AB4" s="903"/>
      <c r="AC4" s="889"/>
      <c r="AD4" s="889">
        <v>5.883</v>
      </c>
      <c r="AE4" s="889">
        <v>4.9749999999999996</v>
      </c>
      <c r="AF4" s="367"/>
      <c r="AG4" s="175"/>
      <c r="AH4" s="175"/>
      <c r="AI4" s="367">
        <f t="shared" si="14"/>
        <v>168.66592857661914</v>
      </c>
      <c r="AJ4" s="175"/>
      <c r="AK4" s="175"/>
      <c r="AL4" s="367">
        <f t="shared" si="15"/>
        <v>142.6335194065409</v>
      </c>
      <c r="AM4" s="175"/>
      <c r="AN4" s="175"/>
      <c r="AO4" s="903">
        <f t="shared" si="5"/>
        <v>0</v>
      </c>
      <c r="AP4" s="903"/>
      <c r="AQ4" s="903">
        <f t="shared" si="6"/>
        <v>3354.0729012251527</v>
      </c>
      <c r="AR4" s="903">
        <f t="shared" si="7"/>
        <v>2836.3951527443705</v>
      </c>
      <c r="AS4" s="889"/>
      <c r="AT4" s="248">
        <v>464995</v>
      </c>
      <c r="AU4" s="108"/>
      <c r="AV4" s="108"/>
      <c r="AW4" s="108"/>
      <c r="AX4" s="108"/>
      <c r="AY4" s="108"/>
      <c r="AZ4" s="198">
        <f t="shared" ref="AZ4:AZ44" si="17">AT4/AT3-1</f>
        <v>-7.0285195582107662E-2</v>
      </c>
      <c r="BA4" s="175"/>
      <c r="BB4" s="175"/>
      <c r="BC4" s="175"/>
      <c r="BD4" s="175"/>
      <c r="BE4" s="175"/>
      <c r="BF4" s="175"/>
      <c r="BG4" s="252">
        <v>72638337.163278386</v>
      </c>
      <c r="BH4" s="251">
        <f t="shared" si="16"/>
        <v>6.4015094254535575E-3</v>
      </c>
      <c r="BI4" s="252"/>
      <c r="BJ4" s="252"/>
      <c r="BK4" s="198">
        <f t="shared" ref="BK4:BK44" si="18">BH4/BH3-1</f>
        <v>-6.5932936019367339E-2</v>
      </c>
      <c r="BL4" s="175"/>
      <c r="BM4" s="177">
        <v>14.507999999999999</v>
      </c>
      <c r="BN4" s="183">
        <f t="shared" si="8"/>
        <v>3.2224047273319227E-2</v>
      </c>
      <c r="BO4" s="176">
        <v>5.9420000000000002</v>
      </c>
      <c r="BP4" s="184">
        <f t="shared" si="9"/>
        <v>7.8678303238188363E-2</v>
      </c>
      <c r="BQ4" s="184"/>
      <c r="BR4" s="184">
        <v>0.11080978379742004</v>
      </c>
      <c r="BS4" s="179">
        <v>4.2190000000000012</v>
      </c>
      <c r="BT4" s="106">
        <v>0.6</v>
      </c>
      <c r="BU4" s="107">
        <v>0.57899999999999996</v>
      </c>
      <c r="BV4" s="105">
        <v>0.54400000000000004</v>
      </c>
      <c r="BW4" s="889"/>
      <c r="BX4" s="889"/>
    </row>
    <row r="5" spans="1:83" ht="20.5">
      <c r="A5" s="103" t="s">
        <v>786</v>
      </c>
      <c r="B5" s="103"/>
      <c r="C5" s="103"/>
      <c r="D5" s="103"/>
      <c r="E5" s="103"/>
      <c r="F5" s="370">
        <v>0.4730756343817013</v>
      </c>
      <c r="G5" s="370"/>
      <c r="H5" s="371">
        <f t="shared" si="0"/>
        <v>3.2944495600973864</v>
      </c>
      <c r="I5" s="913">
        <v>5.4508916399746754E-2</v>
      </c>
      <c r="J5" s="908">
        <f t="shared" si="10"/>
        <v>5.4508916399746754E-2</v>
      </c>
      <c r="K5" s="367">
        <f t="shared" si="1"/>
        <v>14.359777733786789</v>
      </c>
      <c r="L5" s="367">
        <f t="shared" si="2"/>
        <v>14.359777733786789</v>
      </c>
      <c r="M5" s="108">
        <f t="shared" si="11"/>
        <v>-4.0394582245426247E-2</v>
      </c>
      <c r="N5" s="108">
        <f t="shared" si="12"/>
        <v>-4.0394582245426247E-2</v>
      </c>
      <c r="O5" s="175"/>
      <c r="P5" s="198"/>
      <c r="Q5" s="198"/>
      <c r="R5" s="198"/>
      <c r="S5" s="198"/>
      <c r="T5" s="198">
        <f t="shared" ref="T5:T36" si="19">((K5/K3)^(1/COUNT(K4:K5)))-1</f>
        <v>-4.8066056390215661E-2</v>
      </c>
      <c r="U5" s="198">
        <f t="shared" si="13"/>
        <v>-4.8066056390215661E-2</v>
      </c>
      <c r="V5" s="175"/>
      <c r="W5" s="175"/>
      <c r="X5" s="886">
        <v>50429200</v>
      </c>
      <c r="Y5" s="902">
        <f t="shared" si="3"/>
        <v>9.3809863012243166</v>
      </c>
      <c r="Z5" s="902">
        <f t="shared" si="4"/>
        <v>284.75124994619762</v>
      </c>
      <c r="AA5" s="903"/>
      <c r="AB5" s="903"/>
      <c r="AC5" s="889"/>
      <c r="AD5" s="889">
        <v>6.2030000000000003</v>
      </c>
      <c r="AE5" s="889">
        <v>5.2750000000000004</v>
      </c>
      <c r="AF5" s="367"/>
      <c r="AG5" s="175"/>
      <c r="AH5" s="175"/>
      <c r="AI5" s="367">
        <f t="shared" si="14"/>
        <v>168.64755066505739</v>
      </c>
      <c r="AJ5" s="175"/>
      <c r="AK5" s="175"/>
      <c r="AL5" s="367">
        <f t="shared" si="15"/>
        <v>143.41702881801996</v>
      </c>
      <c r="AM5" s="175"/>
      <c r="AN5" s="175"/>
      <c r="AO5" s="903">
        <f t="shared" si="5"/>
        <v>0</v>
      </c>
      <c r="AP5" s="903"/>
      <c r="AQ5" s="903">
        <f t="shared" si="6"/>
        <v>3344.2440226110548</v>
      </c>
      <c r="AR5" s="903">
        <f t="shared" si="7"/>
        <v>2843.9282958686626</v>
      </c>
      <c r="AS5" s="889"/>
      <c r="AT5" s="247">
        <v>467622</v>
      </c>
      <c r="AU5" s="108"/>
      <c r="AV5" s="108"/>
      <c r="AW5" s="108"/>
      <c r="AX5" s="108"/>
      <c r="AY5" s="108"/>
      <c r="AZ5" s="198">
        <f t="shared" si="17"/>
        <v>5.6495231131516999E-3</v>
      </c>
      <c r="BA5" s="175"/>
      <c r="BB5" s="175"/>
      <c r="BC5" s="175"/>
      <c r="BD5" s="175"/>
      <c r="BE5" s="175"/>
      <c r="BF5" s="175"/>
      <c r="BG5" s="252">
        <v>72883236.961126834</v>
      </c>
      <c r="BH5" s="251">
        <f t="shared" si="16"/>
        <v>6.4160432425553757E-3</v>
      </c>
      <c r="BI5" s="252"/>
      <c r="BJ5" s="252"/>
      <c r="BK5" s="198">
        <f t="shared" si="18"/>
        <v>2.2703734597389058E-3</v>
      </c>
      <c r="BL5" s="175"/>
      <c r="BM5" s="177">
        <v>15.759</v>
      </c>
      <c r="BN5" s="183">
        <f t="shared" si="8"/>
        <v>3.0019394275125406E-2</v>
      </c>
      <c r="BO5" s="176">
        <v>6.5469999999999997</v>
      </c>
      <c r="BP5" s="184">
        <f t="shared" si="9"/>
        <v>7.2258383134519835E-2</v>
      </c>
      <c r="BQ5" s="184"/>
      <c r="BR5" s="184">
        <v>0.10244167050275041</v>
      </c>
      <c r="BS5" s="179">
        <v>4.6179999999999994</v>
      </c>
      <c r="BT5" s="106">
        <v>0.7</v>
      </c>
      <c r="BU5" s="107">
        <v>0.63400000000000001</v>
      </c>
      <c r="BV5" s="105">
        <v>0.59499999999999997</v>
      </c>
      <c r="BW5" s="889"/>
      <c r="BX5" s="889"/>
      <c r="CA5" s="109" t="s">
        <v>787</v>
      </c>
      <c r="CB5" s="100"/>
      <c r="CC5" s="100"/>
    </row>
    <row r="6" spans="1:83" ht="18.5">
      <c r="A6" s="103" t="s">
        <v>788</v>
      </c>
      <c r="B6" s="103"/>
      <c r="C6" s="103"/>
      <c r="D6" s="103"/>
      <c r="E6" s="103"/>
      <c r="F6" s="370">
        <v>0.48512196211579706</v>
      </c>
      <c r="G6" s="370"/>
      <c r="H6" s="371">
        <f t="shared" si="0"/>
        <v>3.3417262341065475</v>
      </c>
      <c r="I6" s="913">
        <v>1.4350401530434542E-2</v>
      </c>
      <c r="J6" s="908">
        <f t="shared" si="10"/>
        <v>1.4350401530434542E-2</v>
      </c>
      <c r="K6" s="367">
        <f t="shared" si="1"/>
        <v>14.517106672728399</v>
      </c>
      <c r="L6" s="367">
        <f t="shared" si="2"/>
        <v>14.517106672728399</v>
      </c>
      <c r="M6" s="108">
        <f t="shared" si="11"/>
        <v>1.0956223825904665E-2</v>
      </c>
      <c r="N6" s="108">
        <f t="shared" si="12"/>
        <v>1.0956223825904665E-2</v>
      </c>
      <c r="O6" s="184"/>
      <c r="P6" s="198"/>
      <c r="Q6" s="198"/>
      <c r="R6" s="198"/>
      <c r="S6" s="198"/>
      <c r="T6" s="198">
        <f t="shared" si="19"/>
        <v>-1.5053773297220241E-2</v>
      </c>
      <c r="U6" s="198">
        <f t="shared" si="13"/>
        <v>-1.5053773297220241E-2</v>
      </c>
      <c r="V6" s="175"/>
      <c r="W6" s="175"/>
      <c r="X6" s="886">
        <v>50592900</v>
      </c>
      <c r="Y6" s="902">
        <f t="shared" si="3"/>
        <v>9.588736010701048</v>
      </c>
      <c r="Z6" s="902">
        <f t="shared" si="4"/>
        <v>286.93960363466812</v>
      </c>
      <c r="AA6" s="903"/>
      <c r="AB6" s="903"/>
      <c r="AC6" s="889"/>
      <c r="AD6" s="889">
        <v>6.34</v>
      </c>
      <c r="AE6" s="889">
        <v>5.29</v>
      </c>
      <c r="AF6" s="367"/>
      <c r="AG6" s="175"/>
      <c r="AH6" s="175"/>
      <c r="AI6" s="367">
        <f t="shared" si="14"/>
        <v>169.93369839939257</v>
      </c>
      <c r="AJ6" s="175"/>
      <c r="AK6" s="175"/>
      <c r="AL6" s="367">
        <f t="shared" si="15"/>
        <v>141.79010481589697</v>
      </c>
      <c r="AM6" s="175"/>
      <c r="AN6" s="175"/>
      <c r="AO6" s="903">
        <f t="shared" si="5"/>
        <v>0</v>
      </c>
      <c r="AP6" s="903"/>
      <c r="AQ6" s="903">
        <f t="shared" si="6"/>
        <v>3358.8447865094226</v>
      </c>
      <c r="AR6" s="903">
        <f t="shared" si="7"/>
        <v>2802.5692303840456</v>
      </c>
      <c r="AS6" s="889"/>
      <c r="AT6" s="246">
        <v>492494</v>
      </c>
      <c r="AU6" s="108"/>
      <c r="AV6" s="108"/>
      <c r="AW6" s="108"/>
      <c r="AX6" s="108"/>
      <c r="AY6" s="108"/>
      <c r="AZ6" s="198">
        <f t="shared" si="17"/>
        <v>5.3188258892866491E-2</v>
      </c>
      <c r="BA6" s="175"/>
      <c r="BB6" s="175"/>
      <c r="BC6" s="175"/>
      <c r="BD6" s="175"/>
      <c r="BE6" s="175"/>
      <c r="BF6" s="175"/>
      <c r="BG6" s="252">
        <v>73143993.580418706</v>
      </c>
      <c r="BH6" s="251">
        <f t="shared" si="16"/>
        <v>6.733211790774369E-3</v>
      </c>
      <c r="BI6" s="252"/>
      <c r="BJ6" s="252"/>
      <c r="BK6" s="198">
        <f t="shared" si="18"/>
        <v>4.9433667484552579E-2</v>
      </c>
      <c r="BL6" s="175"/>
      <c r="BM6" s="177">
        <v>16.902999999999999</v>
      </c>
      <c r="BN6" s="183">
        <f t="shared" si="8"/>
        <v>2.8700346809193464E-2</v>
      </c>
      <c r="BO6" s="176">
        <v>6.8810000000000002</v>
      </c>
      <c r="BP6" s="184">
        <f t="shared" si="9"/>
        <v>7.0501665763086335E-2</v>
      </c>
      <c r="BQ6" s="184"/>
      <c r="BR6" s="184">
        <v>9.8461936698964303E-2</v>
      </c>
      <c r="BS6" s="179">
        <v>4.9269999999999996</v>
      </c>
      <c r="BT6" s="106">
        <v>0.7</v>
      </c>
      <c r="BU6" s="107">
        <v>0.65700000000000003</v>
      </c>
      <c r="BV6" s="105">
        <v>0.59699999999999998</v>
      </c>
      <c r="BW6" s="889"/>
      <c r="BX6" s="889"/>
      <c r="CA6" s="100" t="s">
        <v>789</v>
      </c>
      <c r="CB6" s="100" t="s">
        <v>790</v>
      </c>
      <c r="CC6" s="100" t="s">
        <v>791</v>
      </c>
    </row>
    <row r="7" spans="1:83" ht="18.5">
      <c r="A7" s="103" t="s">
        <v>792</v>
      </c>
      <c r="B7" s="103"/>
      <c r="C7" s="103"/>
      <c r="D7" s="103"/>
      <c r="E7" s="103"/>
      <c r="F7" s="370">
        <v>0.50588523052180134</v>
      </c>
      <c r="G7" s="370"/>
      <c r="H7" s="371">
        <f>H8/(1+I8)</f>
        <v>3.4084156972996817</v>
      </c>
      <c r="I7" s="913">
        <v>1.9956590851902822E-2</v>
      </c>
      <c r="J7" s="908">
        <f t="shared" si="10"/>
        <v>1.9956590851902822E-2</v>
      </c>
      <c r="K7" s="367">
        <f t="shared" si="1"/>
        <v>14.842239780863261</v>
      </c>
      <c r="L7" s="367">
        <f t="shared" si="2"/>
        <v>14.842239780863261</v>
      </c>
      <c r="M7" s="108">
        <f t="shared" si="11"/>
        <v>2.2396550184869302E-2</v>
      </c>
      <c r="N7" s="108">
        <f t="shared" si="12"/>
        <v>2.2396550184869302E-2</v>
      </c>
      <c r="O7" s="198">
        <f t="shared" ref="O7:O38" si="20">((K7/K2)^(1/COUNT(K3:K7)))-1</f>
        <v>-7.2353768207823466E-3</v>
      </c>
      <c r="P7" s="198"/>
      <c r="Q7" s="198"/>
      <c r="R7" s="198"/>
      <c r="S7" s="198"/>
      <c r="T7" s="198">
        <f t="shared" si="19"/>
        <v>1.6660295097397526E-2</v>
      </c>
      <c r="U7" s="198">
        <f t="shared" si="13"/>
        <v>1.6660295097397526E-2</v>
      </c>
      <c r="V7" s="199"/>
      <c r="W7" s="199"/>
      <c r="X7" s="887">
        <v>50764900</v>
      </c>
      <c r="Y7" s="902">
        <f t="shared" si="3"/>
        <v>9.9652561222774274</v>
      </c>
      <c r="Z7" s="902">
        <f t="shared" si="4"/>
        <v>292.37208742385513</v>
      </c>
      <c r="AA7" s="903"/>
      <c r="AB7" s="903"/>
      <c r="AC7" s="889"/>
      <c r="AD7" s="889">
        <v>6.5940000000000003</v>
      </c>
      <c r="AE7" s="889">
        <v>5.4409999999999998</v>
      </c>
      <c r="AF7" s="367"/>
      <c r="AG7" s="198"/>
      <c r="AH7" s="198"/>
      <c r="AI7" s="367">
        <f t="shared" si="14"/>
        <v>173.28361744957368</v>
      </c>
      <c r="AJ7" s="198"/>
      <c r="AK7" s="198"/>
      <c r="AL7" s="367">
        <f t="shared" si="15"/>
        <v>142.98394943025937</v>
      </c>
      <c r="AM7" s="198"/>
      <c r="AN7" s="198"/>
      <c r="AO7" s="903">
        <f t="shared" si="5"/>
        <v>0</v>
      </c>
      <c r="AP7" s="903"/>
      <c r="AQ7" s="903">
        <f t="shared" si="6"/>
        <v>3413.453339799225</v>
      </c>
      <c r="AR7" s="903">
        <f t="shared" si="7"/>
        <v>2816.5907828097638</v>
      </c>
      <c r="AS7" s="889"/>
      <c r="AT7" s="245">
        <v>446032</v>
      </c>
      <c r="AU7" s="108"/>
      <c r="AV7" s="108"/>
      <c r="AW7" s="108"/>
      <c r="AX7" s="108"/>
      <c r="AY7" s="108"/>
      <c r="AZ7" s="198">
        <f t="shared" si="17"/>
        <v>-9.4340235617083712E-2</v>
      </c>
      <c r="BA7" s="198">
        <f t="shared" ref="BA7:BA40" si="21">((AT7/AT2)^(1/COUNT(AT3:AT7)))-1</f>
        <v>-9.1749112790467935E-3</v>
      </c>
      <c r="BB7" s="198"/>
      <c r="BC7" s="198"/>
      <c r="BD7" s="198"/>
      <c r="BE7" s="198"/>
      <c r="BF7" s="198"/>
      <c r="BG7" s="252">
        <v>73639080.886889637</v>
      </c>
      <c r="BH7" s="251">
        <f t="shared" si="16"/>
        <v>6.0570011823627944E-3</v>
      </c>
      <c r="BI7" s="252"/>
      <c r="BJ7" s="252"/>
      <c r="BK7" s="198">
        <f t="shared" si="18"/>
        <v>-0.1004291309146248</v>
      </c>
      <c r="BL7" s="198"/>
      <c r="BM7" s="177">
        <v>17.832999999999998</v>
      </c>
      <c r="BN7" s="183">
        <f t="shared" si="8"/>
        <v>2.8367926345640185E-2</v>
      </c>
      <c r="BO7" s="176">
        <v>6.984</v>
      </c>
      <c r="BP7" s="184">
        <f t="shared" si="9"/>
        <v>7.2434884095332386E-2</v>
      </c>
      <c r="BQ7" s="184"/>
      <c r="BR7" s="184">
        <v>0.10125805254639737</v>
      </c>
      <c r="BS7" s="179">
        <v>4.9960000000000004</v>
      </c>
      <c r="BT7" s="106">
        <v>0.7</v>
      </c>
      <c r="BU7" s="107">
        <v>0.65600000000000003</v>
      </c>
      <c r="BV7" s="105">
        <v>0.63200000000000001</v>
      </c>
      <c r="BW7" s="889"/>
      <c r="BX7" s="889"/>
      <c r="CA7" s="100" t="s">
        <v>793</v>
      </c>
      <c r="CB7" s="100" t="s">
        <v>794</v>
      </c>
      <c r="CC7" s="202">
        <v>1.8657564347745299E-2</v>
      </c>
    </row>
    <row r="8" spans="1:83" ht="18.5">
      <c r="A8" s="1259" t="s">
        <v>795</v>
      </c>
      <c r="B8" s="103"/>
      <c r="C8" s="103"/>
      <c r="D8" s="103"/>
      <c r="E8" s="103"/>
      <c r="F8" s="110">
        <v>0.54892512508934954</v>
      </c>
      <c r="G8" s="110"/>
      <c r="H8" s="1173">
        <v>3.5224000000000002</v>
      </c>
      <c r="I8" s="913">
        <v>3.3442019056132866E-2</v>
      </c>
      <c r="J8" s="908">
        <f>H8/H7-1</f>
        <v>3.3442019056132866E-2</v>
      </c>
      <c r="K8" s="367">
        <f t="shared" si="1"/>
        <v>15.583838436558867</v>
      </c>
      <c r="L8" s="367">
        <f t="shared" si="2"/>
        <v>15.583838436558867</v>
      </c>
      <c r="M8" s="108">
        <f t="shared" si="11"/>
        <v>4.9965414024086829E-2</v>
      </c>
      <c r="N8" s="108">
        <f t="shared" si="12"/>
        <v>4.9965414024086829E-2</v>
      </c>
      <c r="O8" s="1245">
        <f t="shared" si="20"/>
        <v>-3.3376123265032032E-3</v>
      </c>
      <c r="P8" s="198"/>
      <c r="Q8" s="198"/>
      <c r="R8" s="198"/>
      <c r="S8" s="198"/>
      <c r="T8" s="198">
        <f t="shared" si="19"/>
        <v>3.6089290124965201E-2</v>
      </c>
      <c r="U8" s="198">
        <f t="shared" si="13"/>
        <v>3.6089290124965201E-2</v>
      </c>
      <c r="V8" s="199"/>
      <c r="W8" s="199"/>
      <c r="X8" s="887">
        <v>50946100</v>
      </c>
      <c r="Y8" s="902">
        <f t="shared" si="3"/>
        <v>10.774625046654199</v>
      </c>
      <c r="Z8" s="902">
        <f t="shared" si="4"/>
        <v>305.88874195588801</v>
      </c>
      <c r="AA8" s="903"/>
      <c r="AB8" s="903"/>
      <c r="AC8" s="889">
        <v>19574</v>
      </c>
      <c r="AD8" s="889">
        <v>7.04</v>
      </c>
      <c r="AE8" s="889">
        <v>5.8029999999999999</v>
      </c>
      <c r="AF8" s="367">
        <f t="shared" ref="AF8:AF39" si="22">(AC8/H8)*H$72</f>
        <v>497739.41284351575</v>
      </c>
      <c r="AG8" s="198"/>
      <c r="AH8" s="198"/>
      <c r="AI8" s="367">
        <f t="shared" si="14"/>
        <v>179.01734272087211</v>
      </c>
      <c r="AJ8" s="198"/>
      <c r="AK8" s="198"/>
      <c r="AL8" s="367">
        <f t="shared" si="15"/>
        <v>147.56216474562797</v>
      </c>
      <c r="AM8" s="198"/>
      <c r="AN8" s="198"/>
      <c r="AO8" s="903">
        <f t="shared" si="5"/>
        <v>9769921.7966343984</v>
      </c>
      <c r="AP8" s="903"/>
      <c r="AQ8" s="903">
        <f t="shared" si="6"/>
        <v>3513.8576401505138</v>
      </c>
      <c r="AR8" s="903">
        <f t="shared" si="7"/>
        <v>2896.4369155956583</v>
      </c>
      <c r="AS8" s="889"/>
      <c r="AT8" s="244">
        <v>426967</v>
      </c>
      <c r="AU8" s="108"/>
      <c r="AV8" s="108"/>
      <c r="AW8" s="108"/>
      <c r="AX8" s="108"/>
      <c r="AY8" s="108"/>
      <c r="AZ8" s="198">
        <f t="shared" si="17"/>
        <v>-4.2743569968074047E-2</v>
      </c>
      <c r="BA8" s="198">
        <f t="shared" si="21"/>
        <v>-3.1144174980236916E-2</v>
      </c>
      <c r="BB8" s="198"/>
      <c r="BC8" s="198"/>
      <c r="BD8" s="198"/>
      <c r="BE8" s="198"/>
      <c r="BF8" s="198"/>
      <c r="BG8" s="252">
        <v>74032085.265269369</v>
      </c>
      <c r="BH8" s="251">
        <f t="shared" si="16"/>
        <v>5.7673237012047639E-3</v>
      </c>
      <c r="BI8" s="252"/>
      <c r="BJ8" s="252"/>
      <c r="BK8" s="198">
        <f t="shared" si="18"/>
        <v>-4.782523107334602E-2</v>
      </c>
      <c r="BL8" s="198">
        <f>((BH8/BH3)^(1/COUNT(BH4:BH8)))-1</f>
        <v>-3.3917979992265757E-2</v>
      </c>
      <c r="BM8" s="177">
        <v>19.565000000000001</v>
      </c>
      <c r="BN8" s="183">
        <f t="shared" si="8"/>
        <v>2.8056484798842294E-2</v>
      </c>
      <c r="BO8" s="176">
        <v>7.1449999999999996</v>
      </c>
      <c r="BP8" s="184">
        <f t="shared" si="9"/>
        <v>7.6826469571637454E-2</v>
      </c>
      <c r="BQ8" s="184"/>
      <c r="BR8" s="184">
        <v>0.11172911155899644</v>
      </c>
      <c r="BS8" s="179">
        <v>4.9130000000000003</v>
      </c>
      <c r="BT8" s="106">
        <v>0.8</v>
      </c>
      <c r="BU8" s="107">
        <v>0.74199999999999999</v>
      </c>
      <c r="BV8" s="105">
        <v>0.69</v>
      </c>
      <c r="BW8" s="889"/>
      <c r="BX8" s="889"/>
      <c r="CA8" s="100" t="s">
        <v>796</v>
      </c>
      <c r="CB8" s="100" t="s">
        <v>797</v>
      </c>
      <c r="CC8" s="104">
        <v>4.3175970088145776E-2</v>
      </c>
    </row>
    <row r="9" spans="1:83" ht="18.5">
      <c r="A9" s="103" t="s">
        <v>798</v>
      </c>
      <c r="B9" s="103"/>
      <c r="C9" s="103"/>
      <c r="D9" s="103"/>
      <c r="E9" s="103"/>
      <c r="F9" s="110">
        <v>0.59789738205861331</v>
      </c>
      <c r="G9" s="110"/>
      <c r="H9" s="1173">
        <v>3.7410000000000001</v>
      </c>
      <c r="I9" s="366"/>
      <c r="J9" s="908">
        <f t="shared" ref="J9:J72" si="23">H9/H8-1</f>
        <v>6.2059959118782704E-2</v>
      </c>
      <c r="K9" s="367">
        <f t="shared" si="1"/>
        <v>15.982287678658469</v>
      </c>
      <c r="L9" s="367">
        <f t="shared" si="2"/>
        <v>15.982287678658469</v>
      </c>
      <c r="M9" s="108">
        <f t="shared" si="11"/>
        <v>2.5568106581807193E-2</v>
      </c>
      <c r="N9" s="108">
        <f t="shared" si="12"/>
        <v>2.5568106581807193E-2</v>
      </c>
      <c r="O9" s="198">
        <f t="shared" si="20"/>
        <v>1.3250398974909539E-2</v>
      </c>
      <c r="P9" s="198"/>
      <c r="Q9" s="198"/>
      <c r="R9" s="198"/>
      <c r="S9" s="198"/>
      <c r="T9" s="198">
        <f t="shared" si="19"/>
        <v>3.7695061970069332E-2</v>
      </c>
      <c r="U9" s="198">
        <f t="shared" si="13"/>
        <v>3.7695061970069332E-2</v>
      </c>
      <c r="V9" s="199"/>
      <c r="W9" s="199"/>
      <c r="X9" s="887">
        <v>51183500</v>
      </c>
      <c r="Y9" s="902">
        <f t="shared" si="3"/>
        <v>11.681447772399569</v>
      </c>
      <c r="Z9" s="902">
        <f t="shared" si="4"/>
        <v>312.25468517507539</v>
      </c>
      <c r="AA9" s="903"/>
      <c r="AB9" s="903"/>
      <c r="AC9" s="889">
        <v>21162</v>
      </c>
      <c r="AD9" s="889">
        <v>7.5279999999999996</v>
      </c>
      <c r="AE9" s="889">
        <v>6.19</v>
      </c>
      <c r="AF9" s="367">
        <f t="shared" si="22"/>
        <v>506675.75284683233</v>
      </c>
      <c r="AG9" s="198"/>
      <c r="AH9" s="198"/>
      <c r="AI9" s="367">
        <f t="shared" si="14"/>
        <v>180.24076492916328</v>
      </c>
      <c r="AJ9" s="198"/>
      <c r="AK9" s="198"/>
      <c r="AL9" s="367">
        <f t="shared" si="15"/>
        <v>148.20541112002138</v>
      </c>
      <c r="AM9" s="198"/>
      <c r="AN9" s="198"/>
      <c r="AO9" s="903">
        <f t="shared" si="5"/>
        <v>9899200.9699772839</v>
      </c>
      <c r="AP9" s="903"/>
      <c r="AQ9" s="903">
        <f t="shared" si="6"/>
        <v>3521.4622862673182</v>
      </c>
      <c r="AR9" s="903">
        <f t="shared" si="7"/>
        <v>2895.5700786390416</v>
      </c>
      <c r="AS9" s="889"/>
      <c r="AT9" s="243">
        <v>404176</v>
      </c>
      <c r="AU9" s="108"/>
      <c r="AV9" s="108"/>
      <c r="AW9" s="108"/>
      <c r="AX9" s="108"/>
      <c r="AY9" s="108"/>
      <c r="AZ9" s="198">
        <f t="shared" si="17"/>
        <v>-5.3378832556146061E-2</v>
      </c>
      <c r="BA9" s="198">
        <f t="shared" si="21"/>
        <v>-2.7645904652457864E-2</v>
      </c>
      <c r="BB9" s="198"/>
      <c r="BC9" s="198"/>
      <c r="BD9" s="198"/>
      <c r="BE9" s="198"/>
      <c r="BF9" s="198"/>
      <c r="BG9" s="252">
        <v>74584346.3997491</v>
      </c>
      <c r="BH9" s="251">
        <f t="shared" si="16"/>
        <v>5.4190459460989474E-3</v>
      </c>
      <c r="BI9" s="252"/>
      <c r="BJ9" s="252"/>
      <c r="BK9" s="198">
        <f t="shared" si="18"/>
        <v>-6.0388106017538634E-2</v>
      </c>
      <c r="BL9" s="198">
        <f t="shared" ref="BL9:BL40" si="24">((BH9/BH4)^(1/COUNT(BH5:BH9)))-1</f>
        <v>-3.2773718231644211E-2</v>
      </c>
      <c r="BM9" s="177">
        <v>21.149000000000001</v>
      </c>
      <c r="BN9" s="183">
        <f t="shared" si="8"/>
        <v>2.8270716443265086E-2</v>
      </c>
      <c r="BO9" s="176">
        <v>7.766</v>
      </c>
      <c r="BP9" s="184">
        <f t="shared" si="9"/>
        <v>7.698910405081294E-2</v>
      </c>
      <c r="BQ9" s="184"/>
      <c r="BR9" s="184">
        <v>0.11111268947381775</v>
      </c>
      <c r="BS9" s="179">
        <v>5.3810000000000002</v>
      </c>
      <c r="BT9" s="106">
        <v>0.9</v>
      </c>
      <c r="BU9" s="107">
        <v>0.73099999999999998</v>
      </c>
      <c r="BV9" s="105">
        <v>0.754</v>
      </c>
      <c r="BW9" s="889"/>
      <c r="BX9" s="889"/>
      <c r="CA9" s="100" t="s">
        <v>799</v>
      </c>
      <c r="CB9" s="100" t="s">
        <v>800</v>
      </c>
      <c r="CC9" s="104">
        <v>4.2249237812875151E-2</v>
      </c>
    </row>
    <row r="10" spans="1:83" ht="18.5">
      <c r="A10" s="103" t="s">
        <v>801</v>
      </c>
      <c r="B10" s="103"/>
      <c r="C10" s="103"/>
      <c r="D10" s="103"/>
      <c r="E10" s="103"/>
      <c r="F10" s="110">
        <v>0.6439034578270193</v>
      </c>
      <c r="G10" s="110"/>
      <c r="H10" s="1173">
        <v>3.9134000000000002</v>
      </c>
      <c r="I10" s="366"/>
      <c r="J10" s="908">
        <f t="shared" si="23"/>
        <v>4.6083934776797619E-2</v>
      </c>
      <c r="K10" s="367">
        <f t="shared" si="1"/>
        <v>16.453811463868227</v>
      </c>
      <c r="L10" s="367">
        <f t="shared" si="2"/>
        <v>16.453811463868227</v>
      </c>
      <c r="M10" s="108">
        <f t="shared" si="11"/>
        <v>2.9502896874982198E-2</v>
      </c>
      <c r="N10" s="108">
        <f t="shared" si="12"/>
        <v>2.9502896874982198E-2</v>
      </c>
      <c r="O10" s="198">
        <f t="shared" si="20"/>
        <v>2.7599205395166582E-2</v>
      </c>
      <c r="P10" s="198"/>
      <c r="Q10" s="198"/>
      <c r="R10" s="198"/>
      <c r="S10" s="198"/>
      <c r="T10" s="198">
        <f t="shared" si="19"/>
        <v>2.7533618266848192E-2</v>
      </c>
      <c r="U10" s="198">
        <f t="shared" si="13"/>
        <v>2.7533618266848192E-2</v>
      </c>
      <c r="V10" s="199"/>
      <c r="W10" s="199"/>
      <c r="X10" s="887">
        <v>51430200</v>
      </c>
      <c r="Y10" s="902">
        <f t="shared" si="3"/>
        <v>12.519948548265791</v>
      </c>
      <c r="Z10" s="902">
        <f t="shared" si="4"/>
        <v>319.92509194730388</v>
      </c>
      <c r="AA10" s="903"/>
      <c r="AB10" s="903"/>
      <c r="AC10" s="889">
        <v>22509</v>
      </c>
      <c r="AD10" s="889">
        <v>7.9160000000000004</v>
      </c>
      <c r="AE10" s="889">
        <v>6.5090000000000003</v>
      </c>
      <c r="AF10" s="367">
        <f t="shared" si="22"/>
        <v>515184.84624623088</v>
      </c>
      <c r="AG10" s="198"/>
      <c r="AH10" s="198"/>
      <c r="AI10" s="367">
        <f t="shared" si="14"/>
        <v>181.18100505953902</v>
      </c>
      <c r="AJ10" s="198"/>
      <c r="AK10" s="198"/>
      <c r="AL10" s="367">
        <f t="shared" si="15"/>
        <v>148.9776606786937</v>
      </c>
      <c r="AM10" s="198"/>
      <c r="AN10" s="198"/>
      <c r="AO10" s="903">
        <f t="shared" si="5"/>
        <v>10017165.911200635</v>
      </c>
      <c r="AP10" s="903"/>
      <c r="AQ10" s="903">
        <f t="shared" si="6"/>
        <v>3522.8524302751889</v>
      </c>
      <c r="AR10" s="903">
        <f t="shared" si="7"/>
        <v>2896.6961178197575</v>
      </c>
      <c r="AS10" s="889"/>
      <c r="AT10" s="242">
        <v>415168</v>
      </c>
      <c r="AU10" s="108"/>
      <c r="AV10" s="108"/>
      <c r="AW10" s="108"/>
      <c r="AX10" s="108"/>
      <c r="AY10" s="108"/>
      <c r="AZ10" s="198">
        <f t="shared" si="17"/>
        <v>2.7196072997901943E-2</v>
      </c>
      <c r="BA10" s="198">
        <f t="shared" si="21"/>
        <v>-2.3514525589832136E-2</v>
      </c>
      <c r="BB10" s="198"/>
      <c r="BC10" s="198"/>
      <c r="BD10" s="198"/>
      <c r="BE10" s="198"/>
      <c r="BF10" s="198"/>
      <c r="BG10" s="252">
        <v>75269909.850734174</v>
      </c>
      <c r="BH10" s="251">
        <f t="shared" si="16"/>
        <v>5.5157233590861074E-3</v>
      </c>
      <c r="BI10" s="252"/>
      <c r="BJ10" s="252"/>
      <c r="BK10" s="198">
        <f t="shared" si="18"/>
        <v>1.7840301401532921E-2</v>
      </c>
      <c r="BL10" s="198">
        <f t="shared" si="24"/>
        <v>-2.9787113380919883E-2</v>
      </c>
      <c r="BM10" s="177">
        <v>22.498999999999999</v>
      </c>
      <c r="BN10" s="183">
        <f t="shared" si="8"/>
        <v>2.861920342357524E-2</v>
      </c>
      <c r="BO10" s="176">
        <v>8.08</v>
      </c>
      <c r="BP10" s="184">
        <f t="shared" si="9"/>
        <v>7.9691022008294463E-2</v>
      </c>
      <c r="BQ10" s="184"/>
      <c r="BR10" s="184">
        <v>0.11475734411459977</v>
      </c>
      <c r="BS10" s="179">
        <v>5.6109999999999998</v>
      </c>
      <c r="BT10" s="106">
        <v>0.9</v>
      </c>
      <c r="BU10" s="107">
        <v>0.76900000000000002</v>
      </c>
      <c r="BV10" s="105">
        <v>0.8</v>
      </c>
      <c r="BW10" s="889"/>
      <c r="BX10" s="889"/>
      <c r="CA10" s="100" t="s">
        <v>802</v>
      </c>
      <c r="CB10" s="100" t="s">
        <v>803</v>
      </c>
      <c r="CC10" s="104">
        <v>2.7419592493687306E-2</v>
      </c>
    </row>
    <row r="11" spans="1:83" ht="18.5">
      <c r="A11" s="103" t="s">
        <v>804</v>
      </c>
      <c r="B11" s="103"/>
      <c r="C11" s="103"/>
      <c r="D11" s="103"/>
      <c r="E11" s="103"/>
      <c r="F11" s="110">
        <v>0.68924365618298777</v>
      </c>
      <c r="G11" s="110"/>
      <c r="H11" s="1173">
        <v>4.0084</v>
      </c>
      <c r="I11" s="366"/>
      <c r="J11" s="908">
        <f t="shared" si="23"/>
        <v>2.4275566003986171E-2</v>
      </c>
      <c r="K11" s="367">
        <f t="shared" si="1"/>
        <v>17.194981942495456</v>
      </c>
      <c r="L11" s="367">
        <f t="shared" si="2"/>
        <v>17.194981942495456</v>
      </c>
      <c r="M11" s="108">
        <f t="shared" si="11"/>
        <v>4.5045519103874776E-2</v>
      </c>
      <c r="N11" s="108">
        <f t="shared" si="12"/>
        <v>4.5045519103874776E-2</v>
      </c>
      <c r="O11" s="198">
        <f t="shared" si="20"/>
        <v>3.4437679072159888E-2</v>
      </c>
      <c r="P11" s="198"/>
      <c r="Q11" s="198"/>
      <c r="R11" s="198"/>
      <c r="S11" s="198"/>
      <c r="T11" s="198">
        <f t="shared" si="19"/>
        <v>3.724509605187265E-2</v>
      </c>
      <c r="U11" s="198">
        <f t="shared" si="13"/>
        <v>3.724509605187265E-2</v>
      </c>
      <c r="V11" s="198"/>
      <c r="W11" s="198"/>
      <c r="X11" s="887">
        <v>51652500</v>
      </c>
      <c r="Y11" s="902">
        <f t="shared" si="3"/>
        <v>13.343858597027982</v>
      </c>
      <c r="Z11" s="902">
        <f t="shared" si="4"/>
        <v>332.89738042680329</v>
      </c>
      <c r="AA11" s="903"/>
      <c r="AB11" s="903"/>
      <c r="AC11" s="889">
        <v>23335</v>
      </c>
      <c r="AD11" s="889">
        <v>8.3190000000000008</v>
      </c>
      <c r="AE11" s="889">
        <v>6.8920000000000003</v>
      </c>
      <c r="AF11" s="367">
        <f t="shared" si="22"/>
        <v>521432.22969264543</v>
      </c>
      <c r="AG11" s="198"/>
      <c r="AH11" s="198"/>
      <c r="AI11" s="367">
        <f t="shared" si="14"/>
        <v>185.89220993413832</v>
      </c>
      <c r="AJ11" s="198"/>
      <c r="AK11" s="198"/>
      <c r="AL11" s="367">
        <f t="shared" si="15"/>
        <v>154.00518221734359</v>
      </c>
      <c r="AM11" s="198"/>
      <c r="AN11" s="198"/>
      <c r="AO11" s="903">
        <f t="shared" si="5"/>
        <v>10095004.688885251</v>
      </c>
      <c r="AP11" s="903"/>
      <c r="AQ11" s="903">
        <f t="shared" si="6"/>
        <v>3598.9005359689913</v>
      </c>
      <c r="AR11" s="903">
        <f t="shared" si="7"/>
        <v>2981.5629876064777</v>
      </c>
      <c r="AS11" s="889"/>
      <c r="AT11" s="241">
        <v>420548</v>
      </c>
      <c r="AU11" s="108"/>
      <c r="AV11" s="108"/>
      <c r="AW11" s="108"/>
      <c r="AX11" s="108"/>
      <c r="AY11" s="108"/>
      <c r="AZ11" s="198">
        <f t="shared" si="17"/>
        <v>1.2958609526745768E-2</v>
      </c>
      <c r="BA11" s="198">
        <f t="shared" si="21"/>
        <v>-3.1091143655607167E-2</v>
      </c>
      <c r="BB11" s="198"/>
      <c r="BC11" s="198"/>
      <c r="BD11" s="198"/>
      <c r="BE11" s="198"/>
      <c r="BF11" s="198"/>
      <c r="BG11" s="252">
        <v>75744889.094802439</v>
      </c>
      <c r="BH11" s="251">
        <f t="shared" si="16"/>
        <v>5.5521633872041365E-3</v>
      </c>
      <c r="BI11" s="252"/>
      <c r="BJ11" s="252"/>
      <c r="BK11" s="198">
        <f t="shared" si="18"/>
        <v>6.606572836543867E-3</v>
      </c>
      <c r="BL11" s="198">
        <f t="shared" si="24"/>
        <v>-3.7838461216216146E-2</v>
      </c>
      <c r="BM11" s="177">
        <v>23.324999999999999</v>
      </c>
      <c r="BN11" s="183">
        <f t="shared" si="8"/>
        <v>2.9549567253289936E-2</v>
      </c>
      <c r="BO11" s="176">
        <v>8.5530000000000008</v>
      </c>
      <c r="BP11" s="184">
        <f t="shared" si="9"/>
        <v>8.0585017676018666E-2</v>
      </c>
      <c r="BQ11" s="184"/>
      <c r="BR11" s="184">
        <v>0.11834540799845256</v>
      </c>
      <c r="BS11" s="179">
        <v>5.8240000000000007</v>
      </c>
      <c r="BT11" s="106">
        <v>1.1000000000000001</v>
      </c>
      <c r="BU11" s="107">
        <v>0.79300000000000004</v>
      </c>
      <c r="BV11" s="105">
        <v>0.83599999999999997</v>
      </c>
      <c r="BW11" s="889"/>
      <c r="BX11" s="889"/>
      <c r="CA11" s="100" t="s">
        <v>805</v>
      </c>
      <c r="CB11" s="100" t="s">
        <v>806</v>
      </c>
      <c r="CC11" s="104">
        <v>4.3066361531812092E-2</v>
      </c>
    </row>
    <row r="12" spans="1:83" s="1106" customFormat="1" ht="18.5">
      <c r="A12" s="1090" t="s">
        <v>807</v>
      </c>
      <c r="B12" s="1090"/>
      <c r="C12" s="1090"/>
      <c r="D12" s="1090"/>
      <c r="E12" s="1090"/>
      <c r="F12" s="1091">
        <v>0.74911208899213722</v>
      </c>
      <c r="G12" s="1091"/>
      <c r="H12" s="1264">
        <v>4.0292000000000003</v>
      </c>
      <c r="I12" s="371"/>
      <c r="J12" s="913">
        <f t="shared" si="23"/>
        <v>5.1891028839439191E-3</v>
      </c>
      <c r="K12" s="204">
        <f t="shared" si="1"/>
        <v>18.592080040507721</v>
      </c>
      <c r="L12" s="204">
        <f t="shared" si="2"/>
        <v>18.592080040507721</v>
      </c>
      <c r="M12" s="1092">
        <f t="shared" si="11"/>
        <v>8.1250338190788973E-2</v>
      </c>
      <c r="N12" s="1092">
        <f t="shared" si="12"/>
        <v>8.1250338190788973E-2</v>
      </c>
      <c r="O12" s="1265">
        <f t="shared" si="20"/>
        <v>4.6081947387729194E-2</v>
      </c>
      <c r="P12" s="1266">
        <f>((L12/L2)^(1/COUNT(L3:L12)))-1</f>
        <v>1.907465394492136E-2</v>
      </c>
      <c r="Q12" s="1087"/>
      <c r="R12" s="1087"/>
      <c r="S12" s="1087"/>
      <c r="T12" s="1087">
        <f t="shared" si="19"/>
        <v>6.2993800995957416E-2</v>
      </c>
      <c r="U12" s="1087">
        <f t="shared" si="13"/>
        <v>6.2993800995957416E-2</v>
      </c>
      <c r="V12" s="1267">
        <f t="shared" ref="V12:V43" si="25">((K12/K2)^(1/COUNT(K3:K12)))-1</f>
        <v>1.907465394492136E-2</v>
      </c>
      <c r="W12" s="1087"/>
      <c r="X12" s="1093">
        <v>51956300</v>
      </c>
      <c r="Y12" s="1094">
        <f t="shared" si="3"/>
        <v>14.418118476337561</v>
      </c>
      <c r="Z12" s="1094">
        <f t="shared" si="4"/>
        <v>357.84072461872228</v>
      </c>
      <c r="AA12" s="1096"/>
      <c r="AB12" s="1096"/>
      <c r="AC12" s="1095">
        <v>24873</v>
      </c>
      <c r="AD12" s="1095">
        <v>8.3719999999999999</v>
      </c>
      <c r="AE12" s="1095">
        <v>7.0720000000000001</v>
      </c>
      <c r="AF12" s="204">
        <f t="shared" si="22"/>
        <v>552930.39514047443</v>
      </c>
      <c r="AG12" s="1087"/>
      <c r="AH12" s="1087"/>
      <c r="AI12" s="204">
        <f t="shared" si="14"/>
        <v>186.11077345378732</v>
      </c>
      <c r="AJ12" s="1087"/>
      <c r="AK12" s="1087"/>
      <c r="AL12" s="204">
        <f t="shared" si="15"/>
        <v>157.2115850292862</v>
      </c>
      <c r="AM12" s="1087"/>
      <c r="AN12" s="1087"/>
      <c r="AO12" s="1096">
        <f t="shared" si="5"/>
        <v>10642220.387912042</v>
      </c>
      <c r="AP12" s="1096"/>
      <c r="AQ12" s="1096">
        <f t="shared" si="6"/>
        <v>3582.0636468298803</v>
      </c>
      <c r="AR12" s="1096">
        <f t="shared" si="7"/>
        <v>3025.8425836575389</v>
      </c>
      <c r="AS12" s="1095"/>
      <c r="AT12" s="1268">
        <v>447469</v>
      </c>
      <c r="AU12" s="1092"/>
      <c r="AV12" s="1092"/>
      <c r="AW12" s="1092"/>
      <c r="AX12" s="1092"/>
      <c r="AY12" s="1092"/>
      <c r="AZ12" s="1087">
        <f t="shared" si="17"/>
        <v>6.4014095893928813E-2</v>
      </c>
      <c r="BA12" s="1087">
        <f t="shared" si="21"/>
        <v>6.4351961940145586E-4</v>
      </c>
      <c r="BB12" s="1087"/>
      <c r="BC12" s="1087"/>
      <c r="BD12" s="1087"/>
      <c r="BE12" s="1087"/>
      <c r="BF12" s="1087"/>
      <c r="BG12" s="1097">
        <v>76359414.372252852</v>
      </c>
      <c r="BH12" s="1098">
        <f t="shared" si="16"/>
        <v>5.8600370848653251E-3</v>
      </c>
      <c r="BI12" s="1097"/>
      <c r="BJ12" s="1097"/>
      <c r="BK12" s="1087">
        <f t="shared" si="18"/>
        <v>5.545112349732606E-2</v>
      </c>
      <c r="BL12" s="1087">
        <f t="shared" si="24"/>
        <v>-6.5899685198888003E-3</v>
      </c>
      <c r="BM12" s="1099">
        <v>24.861999999999998</v>
      </c>
      <c r="BN12" s="1100">
        <f t="shared" si="8"/>
        <v>3.0130805606634111E-2</v>
      </c>
      <c r="BO12" s="1101">
        <v>9.11</v>
      </c>
      <c r="BP12" s="1102">
        <f t="shared" si="9"/>
        <v>8.2229647529323519E-2</v>
      </c>
      <c r="BQ12" s="1102"/>
      <c r="BR12" s="1102">
        <v>0.12010775837616439</v>
      </c>
      <c r="BS12" s="194">
        <v>6.2369999999999992</v>
      </c>
      <c r="BT12" s="1103">
        <v>1.2</v>
      </c>
      <c r="BU12" s="1104">
        <v>0.81899999999999995</v>
      </c>
      <c r="BV12" s="1105">
        <v>0.85399999999999998</v>
      </c>
      <c r="BW12" s="1095"/>
      <c r="BX12" s="1095"/>
      <c r="CA12" s="1107" t="s">
        <v>808</v>
      </c>
      <c r="CB12" s="1107" t="s">
        <v>809</v>
      </c>
      <c r="CC12" s="1108">
        <v>6.5829025535792729E-2</v>
      </c>
    </row>
    <row r="13" spans="1:83" ht="18.5">
      <c r="A13" s="103" t="s">
        <v>810</v>
      </c>
      <c r="B13" s="103"/>
      <c r="C13" s="103"/>
      <c r="D13" s="103"/>
      <c r="E13" s="103"/>
      <c r="F13" s="110">
        <v>0.81237044317369556</v>
      </c>
      <c r="G13" s="110"/>
      <c r="H13" s="1173">
        <v>4.1097999999999999</v>
      </c>
      <c r="I13" s="366"/>
      <c r="J13" s="908">
        <f t="shared" si="23"/>
        <v>2.0003971011615107E-2</v>
      </c>
      <c r="K13" s="367">
        <f t="shared" si="1"/>
        <v>19.766666095033713</v>
      </c>
      <c r="L13" s="367">
        <f t="shared" si="2"/>
        <v>19.766666095033713</v>
      </c>
      <c r="M13" s="108">
        <f t="shared" si="11"/>
        <v>6.3176688781827917E-2</v>
      </c>
      <c r="N13" s="108">
        <f t="shared" si="12"/>
        <v>6.3176688781827917E-2</v>
      </c>
      <c r="O13" s="1261">
        <f t="shared" si="20"/>
        <v>4.8701279318911439E-2</v>
      </c>
      <c r="P13" s="198">
        <f t="shared" ref="P13:P72" si="26">((L13/L3)^(1/COUNT(L4:L13)))-1</f>
        <v>2.2350781778073037E-2</v>
      </c>
      <c r="Q13" s="198"/>
      <c r="R13" s="198"/>
      <c r="S13" s="198"/>
      <c r="T13" s="198">
        <f t="shared" si="19"/>
        <v>7.2175430749051861E-2</v>
      </c>
      <c r="U13" s="198">
        <f t="shared" si="13"/>
        <v>7.2175430749051861E-2</v>
      </c>
      <c r="V13" s="198">
        <f t="shared" si="25"/>
        <v>2.2350781778073037E-2</v>
      </c>
      <c r="W13" s="198"/>
      <c r="X13" s="887">
        <v>52372500</v>
      </c>
      <c r="Y13" s="902">
        <f t="shared" si="3"/>
        <v>15.511393253591018</v>
      </c>
      <c r="Z13" s="902">
        <f t="shared" si="4"/>
        <v>377.42452804494178</v>
      </c>
      <c r="AA13" s="903"/>
      <c r="AB13" s="903"/>
      <c r="AC13" s="889">
        <v>26639</v>
      </c>
      <c r="AD13" s="889">
        <v>8.9130000000000003</v>
      </c>
      <c r="AE13" s="889">
        <v>7.4290000000000003</v>
      </c>
      <c r="AF13" s="367">
        <f t="shared" si="22"/>
        <v>580575.02513504308</v>
      </c>
      <c r="AG13" s="198">
        <f>((AF13/AF8)^(1/COUNT(AF8:AF12)))-1</f>
        <v>3.1267339382893722E-2</v>
      </c>
      <c r="AH13" s="198"/>
      <c r="AI13" s="367">
        <f t="shared" si="14"/>
        <v>194.25148087498175</v>
      </c>
      <c r="AJ13" s="198">
        <f>((AI13/AI8)^(1/COUNT(AI8:AI12)))-1</f>
        <v>1.6468317100176932E-2</v>
      </c>
      <c r="AK13" s="198"/>
      <c r="AL13" s="367">
        <f t="shared" si="15"/>
        <v>161.90892532483332</v>
      </c>
      <c r="AM13" s="198">
        <f>((AL13/AL8)^(1/COUNT(AL8:AL12)))-1</f>
        <v>1.8730138038951072E-2</v>
      </c>
      <c r="AN13" s="198"/>
      <c r="AO13" s="903">
        <f t="shared" si="5"/>
        <v>11085493.820899196</v>
      </c>
      <c r="AP13" s="903"/>
      <c r="AQ13" s="903">
        <f t="shared" si="6"/>
        <v>3709.0358656734306</v>
      </c>
      <c r="AR13" s="903">
        <f t="shared" si="7"/>
        <v>3091.487428036342</v>
      </c>
      <c r="AS13" s="889"/>
      <c r="AT13" s="240">
        <v>442995</v>
      </c>
      <c r="AU13" s="108"/>
      <c r="AV13" s="108"/>
      <c r="AW13" s="108"/>
      <c r="AX13" s="108"/>
      <c r="AY13" s="108"/>
      <c r="AZ13" s="198">
        <f t="shared" si="17"/>
        <v>-9.998457993738108E-3</v>
      </c>
      <c r="BA13" s="198">
        <f t="shared" si="21"/>
        <v>7.3975791769702592E-3</v>
      </c>
      <c r="BB13" s="198"/>
      <c r="BC13" s="198"/>
      <c r="BD13" s="198"/>
      <c r="BE13" s="198"/>
      <c r="BF13" s="198"/>
      <c r="BG13" s="252">
        <v>77262209.88552323</v>
      </c>
      <c r="BH13" s="251">
        <f t="shared" si="16"/>
        <v>5.733656863508959E-3</v>
      </c>
      <c r="BI13" s="252"/>
      <c r="BJ13" s="252"/>
      <c r="BK13" s="198">
        <f t="shared" si="18"/>
        <v>-2.1566454192374906E-2</v>
      </c>
      <c r="BL13" s="198">
        <f t="shared" si="24"/>
        <v>-1.1702386819354427E-3</v>
      </c>
      <c r="BM13" s="177">
        <v>26.628</v>
      </c>
      <c r="BN13" s="183">
        <f t="shared" si="8"/>
        <v>3.0508128405201125E-2</v>
      </c>
      <c r="BO13" s="176">
        <v>9.7279999999999998</v>
      </c>
      <c r="BP13" s="184">
        <f t="shared" si="9"/>
        <v>8.3508474832822324E-2</v>
      </c>
      <c r="BQ13" s="184"/>
      <c r="BR13" s="184">
        <v>0.12223449340561175</v>
      </c>
      <c r="BS13" s="179">
        <v>6.645999999999999</v>
      </c>
      <c r="BT13" s="106">
        <v>1.3</v>
      </c>
      <c r="BU13" s="107">
        <v>0.88700000000000001</v>
      </c>
      <c r="BV13" s="105">
        <v>0.89500000000000002</v>
      </c>
      <c r="BW13" s="889"/>
      <c r="BX13" s="889"/>
      <c r="CA13" s="100" t="s">
        <v>811</v>
      </c>
      <c r="CB13" s="100" t="s">
        <v>812</v>
      </c>
      <c r="CC13" s="104">
        <f>V72</f>
        <v>1.6588657112212024E-2</v>
      </c>
    </row>
    <row r="14" spans="1:83" ht="18.5">
      <c r="A14" s="103" t="s">
        <v>813</v>
      </c>
      <c r="B14" s="103"/>
      <c r="C14" s="103"/>
      <c r="D14" s="103"/>
      <c r="E14" s="103"/>
      <c r="F14" s="110">
        <v>0.86806200857755556</v>
      </c>
      <c r="G14" s="110"/>
      <c r="H14" s="1173">
        <v>4.2607999999999997</v>
      </c>
      <c r="I14" s="366"/>
      <c r="J14" s="908">
        <f t="shared" si="23"/>
        <v>3.6741447272373273E-2</v>
      </c>
      <c r="K14" s="367">
        <f t="shared" si="1"/>
        <v>20.373216498722201</v>
      </c>
      <c r="L14" s="367">
        <f t="shared" si="2"/>
        <v>20.373216498722201</v>
      </c>
      <c r="M14" s="108">
        <f t="shared" si="11"/>
        <v>3.0685518780573684E-2</v>
      </c>
      <c r="N14" s="108">
        <f t="shared" si="12"/>
        <v>3.0685518780573684E-2</v>
      </c>
      <c r="O14" s="1261">
        <f t="shared" si="20"/>
        <v>4.9745765237918738E-2</v>
      </c>
      <c r="P14" s="198">
        <f t="shared" si="26"/>
        <v>3.1336664455183127E-2</v>
      </c>
      <c r="Q14" s="198"/>
      <c r="R14" s="198"/>
      <c r="S14" s="198"/>
      <c r="T14" s="198">
        <f t="shared" si="19"/>
        <v>4.6805052066769104E-2</v>
      </c>
      <c r="U14" s="198">
        <f t="shared" si="13"/>
        <v>4.6805052066769104E-2</v>
      </c>
      <c r="V14" s="198">
        <f t="shared" si="25"/>
        <v>3.1336664455183127E-2</v>
      </c>
      <c r="W14" s="198"/>
      <c r="X14" s="887">
        <v>52807400</v>
      </c>
      <c r="Y14" s="902">
        <f t="shared" si="3"/>
        <v>16.438264496596226</v>
      </c>
      <c r="Z14" s="902">
        <f t="shared" si="4"/>
        <v>385.80230230464298</v>
      </c>
      <c r="AA14" s="903"/>
      <c r="AB14" s="903"/>
      <c r="AC14" s="889">
        <v>28141</v>
      </c>
      <c r="AD14" s="889">
        <v>9.98</v>
      </c>
      <c r="AE14" s="889">
        <v>8.4</v>
      </c>
      <c r="AF14" s="367">
        <f t="shared" si="22"/>
        <v>591574.56996338721</v>
      </c>
      <c r="AG14" s="198">
        <f t="shared" ref="AG14:AG74" si="27">((AF14/AF9)^(1/COUNT(AF9:AF13)))-1</f>
        <v>3.1468275430060366E-2</v>
      </c>
      <c r="AH14" s="198"/>
      <c r="AI14" s="367">
        <f t="shared" si="14"/>
        <v>209.79759810364254</v>
      </c>
      <c r="AJ14" s="198">
        <f t="shared" ref="AJ14:AJ74" si="28">((AI14/AI9)^(1/COUNT(AI9:AI13)))-1</f>
        <v>3.083581233519439E-2</v>
      </c>
      <c r="AK14" s="198"/>
      <c r="AL14" s="367">
        <f t="shared" si="15"/>
        <v>176.58314870446867</v>
      </c>
      <c r="AM14" s="198">
        <f t="shared" ref="AM14:AM74" si="29">((AL14/AL9)^(1/COUNT(AL9:AL13)))-1</f>
        <v>3.5659609601545572E-2</v>
      </c>
      <c r="AN14" s="198"/>
      <c r="AO14" s="903">
        <f t="shared" si="5"/>
        <v>11202493.778587608</v>
      </c>
      <c r="AP14" s="903"/>
      <c r="AQ14" s="903">
        <f t="shared" si="6"/>
        <v>3972.8825525142793</v>
      </c>
      <c r="AR14" s="903">
        <f t="shared" si="7"/>
        <v>3343.909162436868</v>
      </c>
      <c r="AS14" s="889"/>
      <c r="AT14" s="239">
        <v>450681</v>
      </c>
      <c r="AU14" s="108"/>
      <c r="AV14" s="108"/>
      <c r="AW14" s="108"/>
      <c r="AX14" s="108"/>
      <c r="AY14" s="108"/>
      <c r="AZ14" s="198">
        <f t="shared" si="17"/>
        <v>1.7350082958046853E-2</v>
      </c>
      <c r="BA14" s="198">
        <f t="shared" si="21"/>
        <v>2.2020825832164581E-2</v>
      </c>
      <c r="BB14" s="198"/>
      <c r="BC14" s="198"/>
      <c r="BD14" s="198"/>
      <c r="BE14" s="198"/>
      <c r="BF14" s="198"/>
      <c r="BG14" s="252">
        <v>78142698.361679301</v>
      </c>
      <c r="BH14" s="251">
        <f t="shared" si="16"/>
        <v>5.7674102564777979E-3</v>
      </c>
      <c r="BI14" s="252"/>
      <c r="BJ14" s="252"/>
      <c r="BK14" s="198">
        <f t="shared" si="18"/>
        <v>5.8868875086783845E-3</v>
      </c>
      <c r="BL14" s="198">
        <f t="shared" si="24"/>
        <v>1.2538632773256175E-2</v>
      </c>
      <c r="BM14" s="177">
        <v>28.128</v>
      </c>
      <c r="BN14" s="183">
        <f t="shared" si="8"/>
        <v>3.0861135117233915E-2</v>
      </c>
      <c r="BO14" s="176">
        <v>10.682</v>
      </c>
      <c r="BP14" s="184">
        <f t="shared" si="9"/>
        <v>8.1263996309450998E-2</v>
      </c>
      <c r="BQ14" s="184"/>
      <c r="BR14" s="184">
        <v>0.11768736558806338</v>
      </c>
      <c r="BS14" s="179">
        <v>7.3760000000000003</v>
      </c>
      <c r="BT14" s="106">
        <v>1.4</v>
      </c>
      <c r="BU14" s="107">
        <v>0.94899999999999995</v>
      </c>
      <c r="BV14" s="105">
        <v>0.95699999999999996</v>
      </c>
      <c r="BW14" s="889"/>
      <c r="BX14" s="889"/>
    </row>
    <row r="15" spans="1:83" ht="20.5">
      <c r="A15" s="103" t="s">
        <v>814</v>
      </c>
      <c r="B15" s="103"/>
      <c r="C15" s="103"/>
      <c r="D15" s="103"/>
      <c r="E15" s="103"/>
      <c r="F15" s="110">
        <v>0.9112229717655469</v>
      </c>
      <c r="G15" s="110"/>
      <c r="H15" s="1173">
        <v>4.3936000000000002</v>
      </c>
      <c r="I15" s="366"/>
      <c r="J15" s="908">
        <f t="shared" si="23"/>
        <v>3.1167855801727429E-2</v>
      </c>
      <c r="K15" s="367">
        <f t="shared" si="1"/>
        <v>20.73977994732217</v>
      </c>
      <c r="L15" s="367">
        <f t="shared" si="2"/>
        <v>20.73977994732217</v>
      </c>
      <c r="M15" s="108">
        <f t="shared" si="11"/>
        <v>1.7992419047967223E-2</v>
      </c>
      <c r="N15" s="108">
        <f t="shared" si="12"/>
        <v>1.7992419047967223E-2</v>
      </c>
      <c r="O15" s="1261">
        <f t="shared" si="20"/>
        <v>4.7387835161267322E-2</v>
      </c>
      <c r="P15" s="198">
        <f t="shared" si="26"/>
        <v>3.7446339408589324E-2</v>
      </c>
      <c r="Q15" s="198"/>
      <c r="R15" s="198"/>
      <c r="S15" s="198"/>
      <c r="T15" s="198">
        <f t="shared" si="19"/>
        <v>2.4319307902152865E-2</v>
      </c>
      <c r="U15" s="198">
        <f t="shared" si="13"/>
        <v>2.4319307902152865E-2</v>
      </c>
      <c r="V15" s="198">
        <f t="shared" si="25"/>
        <v>3.7446339408589324E-2</v>
      </c>
      <c r="W15" s="198"/>
      <c r="X15" s="887">
        <v>53291800</v>
      </c>
      <c r="Y15" s="902">
        <f t="shared" si="3"/>
        <v>17.098746369339128</v>
      </c>
      <c r="Z15" s="902">
        <f t="shared" si="4"/>
        <v>389.17394322057373</v>
      </c>
      <c r="AA15" s="903"/>
      <c r="AB15" s="903"/>
      <c r="AC15" s="889">
        <v>29450</v>
      </c>
      <c r="AD15" s="889">
        <v>10.449</v>
      </c>
      <c r="AE15" s="889">
        <v>8.7309999999999999</v>
      </c>
      <c r="AF15" s="367">
        <f t="shared" si="22"/>
        <v>600379.56686999276</v>
      </c>
      <c r="AG15" s="198">
        <f t="shared" si="27"/>
        <v>3.1080478972186576E-2</v>
      </c>
      <c r="AH15" s="198"/>
      <c r="AI15" s="367">
        <f t="shared" si="14"/>
        <v>213.01752442188638</v>
      </c>
      <c r="AJ15" s="198">
        <f t="shared" si="28"/>
        <v>3.290536632808716E-2</v>
      </c>
      <c r="AK15" s="198"/>
      <c r="AL15" s="367">
        <f t="shared" si="15"/>
        <v>177.99368415422433</v>
      </c>
      <c r="AM15" s="198">
        <f t="shared" si="29"/>
        <v>3.6231257240510351E-2</v>
      </c>
      <c r="AN15" s="198"/>
      <c r="AO15" s="903">
        <f t="shared" si="5"/>
        <v>11265890.190798448</v>
      </c>
      <c r="AP15" s="903"/>
      <c r="AQ15" s="903">
        <f t="shared" si="6"/>
        <v>3997.1913957097786</v>
      </c>
      <c r="AR15" s="903">
        <f t="shared" si="7"/>
        <v>3339.9825893331495</v>
      </c>
      <c r="AS15" s="889"/>
      <c r="AT15" s="238">
        <v>446842</v>
      </c>
      <c r="AU15" s="108"/>
      <c r="AV15" s="108"/>
      <c r="AW15" s="108"/>
      <c r="AX15" s="108"/>
      <c r="AY15" s="108"/>
      <c r="AZ15" s="198">
        <f t="shared" si="17"/>
        <v>-8.5182202045349653E-3</v>
      </c>
      <c r="BA15" s="198">
        <f t="shared" si="21"/>
        <v>1.4813002362978223E-2</v>
      </c>
      <c r="BB15" s="198"/>
      <c r="BC15" s="198"/>
      <c r="BD15" s="198"/>
      <c r="BE15" s="198"/>
      <c r="BF15" s="198"/>
      <c r="BG15" s="252">
        <v>79054538.691691607</v>
      </c>
      <c r="BH15" s="251">
        <f t="shared" si="16"/>
        <v>5.6523256905294137E-3</v>
      </c>
      <c r="BI15" s="252"/>
      <c r="BJ15" s="252"/>
      <c r="BK15" s="198">
        <f t="shared" si="18"/>
        <v>-1.9954288117292163E-2</v>
      </c>
      <c r="BL15" s="198">
        <f t="shared" si="24"/>
        <v>4.9048457436720039E-3</v>
      </c>
      <c r="BM15" s="177">
        <v>29.44</v>
      </c>
      <c r="BN15" s="183">
        <f t="shared" si="8"/>
        <v>3.095186724747102E-2</v>
      </c>
      <c r="BO15" s="176">
        <v>11.099</v>
      </c>
      <c r="BP15" s="184">
        <f t="shared" si="9"/>
        <v>8.2099555974911878E-2</v>
      </c>
      <c r="BQ15" s="184"/>
      <c r="BR15" s="184">
        <v>0.11941068952503563</v>
      </c>
      <c r="BS15" s="179">
        <v>7.6310000000000002</v>
      </c>
      <c r="BT15" s="106">
        <v>1.5</v>
      </c>
      <c r="BU15" s="107">
        <v>0.93500000000000005</v>
      </c>
      <c r="BV15" s="105">
        <v>1.0329999999999999</v>
      </c>
      <c r="BW15" s="889"/>
      <c r="BX15" s="889"/>
      <c r="CA15" s="109" t="s">
        <v>815</v>
      </c>
      <c r="CB15" s="100"/>
      <c r="CC15" s="100"/>
      <c r="CD15" s="100"/>
      <c r="CE15" s="100"/>
    </row>
    <row r="16" spans="1:83" ht="20.5">
      <c r="A16" s="103" t="s">
        <v>816</v>
      </c>
      <c r="B16" s="103"/>
      <c r="C16" s="103"/>
      <c r="D16" s="103"/>
      <c r="E16" s="103"/>
      <c r="F16" s="110">
        <v>0.98095849714081496</v>
      </c>
      <c r="G16" s="110"/>
      <c r="H16" s="1173">
        <v>4.4673999999999996</v>
      </c>
      <c r="I16" s="366"/>
      <c r="J16" s="908">
        <f t="shared" si="23"/>
        <v>1.6797159504734038E-2</v>
      </c>
      <c r="K16" s="367">
        <f t="shared" si="1"/>
        <v>21.958152328889625</v>
      </c>
      <c r="L16" s="367">
        <f t="shared" si="2"/>
        <v>21.958152328889625</v>
      </c>
      <c r="M16" s="108">
        <f t="shared" si="11"/>
        <v>5.8745675444100698E-2</v>
      </c>
      <c r="N16" s="108">
        <f t="shared" si="12"/>
        <v>5.8745675444100698E-2</v>
      </c>
      <c r="O16" s="1261">
        <f t="shared" si="20"/>
        <v>5.0119719530065332E-2</v>
      </c>
      <c r="P16" s="198">
        <f t="shared" si="26"/>
        <v>4.2249205045793436E-2</v>
      </c>
      <c r="Q16" s="198"/>
      <c r="R16" s="198"/>
      <c r="S16" s="198"/>
      <c r="T16" s="198">
        <f t="shared" si="19"/>
        <v>3.8169095717029089E-2</v>
      </c>
      <c r="U16" s="198">
        <f t="shared" si="13"/>
        <v>3.8169095717029089E-2</v>
      </c>
      <c r="V16" s="198">
        <f t="shared" si="25"/>
        <v>4.2249205045793436E-2</v>
      </c>
      <c r="W16" s="198"/>
      <c r="X16" s="887">
        <v>53624900</v>
      </c>
      <c r="Y16" s="902">
        <f t="shared" si="3"/>
        <v>18.292966460372231</v>
      </c>
      <c r="Z16" s="902">
        <f t="shared" si="4"/>
        <v>409.47679769826379</v>
      </c>
      <c r="AA16" s="903"/>
      <c r="AB16" s="903"/>
      <c r="AC16" s="889">
        <v>31921</v>
      </c>
      <c r="AD16" s="889">
        <v>11.055999999999999</v>
      </c>
      <c r="AE16" s="889">
        <v>9.16</v>
      </c>
      <c r="AF16" s="367">
        <f t="shared" si="22"/>
        <v>640004.11731656</v>
      </c>
      <c r="AG16" s="198">
        <f t="shared" si="27"/>
        <v>4.1830288618731393E-2</v>
      </c>
      <c r="AH16" s="198"/>
      <c r="AI16" s="367">
        <f t="shared" si="14"/>
        <v>221.66866705466268</v>
      </c>
      <c r="AJ16" s="198">
        <f t="shared" si="28"/>
        <v>3.583033114778944E-2</v>
      </c>
      <c r="AK16" s="198"/>
      <c r="AL16" s="367">
        <f t="shared" si="15"/>
        <v>183.65457581591085</v>
      </c>
      <c r="AM16" s="198">
        <f t="shared" si="29"/>
        <v>3.5841445314021447E-2</v>
      </c>
      <c r="AN16" s="198"/>
      <c r="AO16" s="903">
        <f t="shared" si="5"/>
        <v>11934830.970622975</v>
      </c>
      <c r="AP16" s="903"/>
      <c r="AQ16" s="903">
        <f t="shared" si="6"/>
        <v>4133.6891454280139</v>
      </c>
      <c r="AR16" s="903">
        <f t="shared" si="7"/>
        <v>3424.8003411831232</v>
      </c>
      <c r="AS16" s="889"/>
      <c r="AT16" s="237">
        <v>454193</v>
      </c>
      <c r="AU16" s="108"/>
      <c r="AV16" s="108"/>
      <c r="AW16" s="108"/>
      <c r="AX16" s="108"/>
      <c r="AY16" s="108"/>
      <c r="AZ16" s="198">
        <f t="shared" si="17"/>
        <v>1.6451005053240264E-2</v>
      </c>
      <c r="BA16" s="198">
        <f t="shared" si="21"/>
        <v>1.5511797117447879E-2</v>
      </c>
      <c r="BB16" s="198"/>
      <c r="BC16" s="198"/>
      <c r="BD16" s="198"/>
      <c r="BE16" s="198"/>
      <c r="BF16" s="198"/>
      <c r="BG16" s="252">
        <v>79787010.287894502</v>
      </c>
      <c r="BH16" s="251">
        <f t="shared" si="16"/>
        <v>5.6925682308578912E-3</v>
      </c>
      <c r="BI16" s="252"/>
      <c r="BJ16" s="252"/>
      <c r="BK16" s="198">
        <f t="shared" si="18"/>
        <v>7.119642874773513E-3</v>
      </c>
      <c r="BL16" s="198">
        <f t="shared" si="24"/>
        <v>5.0072653970567593E-3</v>
      </c>
      <c r="BM16" s="177">
        <v>31.913</v>
      </c>
      <c r="BN16" s="183">
        <f t="shared" si="8"/>
        <v>3.0738523396133706E-2</v>
      </c>
      <c r="BO16" s="176">
        <v>12.111000000000001</v>
      </c>
      <c r="BP16" s="184">
        <f t="shared" si="9"/>
        <v>8.0997316253060433E-2</v>
      </c>
      <c r="BQ16" s="184"/>
      <c r="BR16" s="184">
        <v>0.11914958060741102</v>
      </c>
      <c r="BS16" s="179">
        <v>8.2330000000000005</v>
      </c>
      <c r="BT16" s="106">
        <v>1.7</v>
      </c>
      <c r="BU16" s="107">
        <v>0.98399999999999999</v>
      </c>
      <c r="BV16" s="105">
        <v>1.194</v>
      </c>
      <c r="BW16" s="889"/>
      <c r="BX16" s="889"/>
      <c r="CA16" s="109"/>
      <c r="CB16" s="100"/>
      <c r="CC16" s="100"/>
      <c r="CD16" s="100"/>
      <c r="CE16" s="100"/>
    </row>
    <row r="17" spans="1:83" ht="20.5">
      <c r="A17" s="103" t="s">
        <v>817</v>
      </c>
      <c r="B17" s="103"/>
      <c r="C17" s="103"/>
      <c r="D17" s="103"/>
      <c r="E17" s="103"/>
      <c r="F17" s="110">
        <v>1.0878015546819157</v>
      </c>
      <c r="G17" s="110"/>
      <c r="H17" s="1180">
        <v>4.6779000000000002</v>
      </c>
      <c r="I17" s="366"/>
      <c r="J17" s="908">
        <f t="shared" si="23"/>
        <v>4.7119129695124773E-2</v>
      </c>
      <c r="K17" s="367">
        <f t="shared" si="1"/>
        <v>23.254057476258915</v>
      </c>
      <c r="L17" s="367">
        <f t="shared" si="2"/>
        <v>23.254057476258915</v>
      </c>
      <c r="M17" s="108">
        <f t="shared" si="11"/>
        <v>5.9017039683448624E-2</v>
      </c>
      <c r="N17" s="108">
        <f t="shared" si="12"/>
        <v>5.9017039683448624E-2</v>
      </c>
      <c r="O17" s="1260">
        <f>((K17/K12)^(1/COUNT(K13:K17)))-1</f>
        <v>4.5765119447647162E-2</v>
      </c>
      <c r="P17" s="198">
        <f t="shared" si="26"/>
        <v>4.5923521421119995E-2</v>
      </c>
      <c r="Q17" s="198"/>
      <c r="R17" s="198"/>
      <c r="S17" s="198"/>
      <c r="T17" s="198">
        <f t="shared" si="19"/>
        <v>5.8881348870809536E-2</v>
      </c>
      <c r="U17" s="198">
        <f t="shared" si="13"/>
        <v>5.8881348870809536E-2</v>
      </c>
      <c r="V17" s="198">
        <f t="shared" si="25"/>
        <v>4.5923521421119995E-2</v>
      </c>
      <c r="W17" s="198">
        <f t="shared" ref="W17:W48" si="30">((K17/K3)^(1/COUNT(K4:K17)))-1</f>
        <v>2.7773640305491343E-2</v>
      </c>
      <c r="X17" s="887">
        <v>53990800</v>
      </c>
      <c r="Y17" s="902">
        <f t="shared" si="3"/>
        <v>20.147905841030617</v>
      </c>
      <c r="Z17" s="902">
        <f t="shared" si="4"/>
        <v>430.70407321726879</v>
      </c>
      <c r="AA17" s="903"/>
      <c r="AB17" s="903"/>
      <c r="AC17" s="889">
        <v>34855</v>
      </c>
      <c r="AD17" s="889">
        <v>12.257</v>
      </c>
      <c r="AE17" s="889">
        <v>10.137</v>
      </c>
      <c r="AF17" s="367">
        <f t="shared" si="22"/>
        <v>667383.20474999468</v>
      </c>
      <c r="AG17" s="198">
        <f t="shared" si="27"/>
        <v>3.8343292469954493E-2</v>
      </c>
      <c r="AH17" s="198"/>
      <c r="AI17" s="367">
        <f t="shared" si="14"/>
        <v>234.68988496975138</v>
      </c>
      <c r="AJ17" s="198">
        <f t="shared" si="28"/>
        <v>4.7477183082703878E-2</v>
      </c>
      <c r="AK17" s="198"/>
      <c r="AL17" s="367">
        <f t="shared" si="15"/>
        <v>194.09736182902583</v>
      </c>
      <c r="AM17" s="198">
        <f t="shared" si="29"/>
        <v>4.3054538807259624E-2</v>
      </c>
      <c r="AN17" s="198"/>
      <c r="AO17" s="903">
        <f t="shared" si="5"/>
        <v>12361054.193492126</v>
      </c>
      <c r="AP17" s="903"/>
      <c r="AQ17" s="903">
        <f t="shared" si="6"/>
        <v>4346.8495552900004</v>
      </c>
      <c r="AR17" s="903">
        <f t="shared" si="7"/>
        <v>3595.0080722831635</v>
      </c>
      <c r="AS17" s="889"/>
      <c r="AT17" s="236">
        <v>476403</v>
      </c>
      <c r="AU17" s="108"/>
      <c r="AV17" s="108"/>
      <c r="AW17" s="108"/>
      <c r="AX17" s="108"/>
      <c r="AY17" s="108"/>
      <c r="AZ17" s="198">
        <f t="shared" si="17"/>
        <v>4.8899916995638337E-2</v>
      </c>
      <c r="BA17" s="198">
        <f t="shared" si="21"/>
        <v>1.2610221306833092E-2</v>
      </c>
      <c r="BB17" s="198"/>
      <c r="BC17" s="198"/>
      <c r="BD17" s="198"/>
      <c r="BE17" s="198"/>
      <c r="BF17" s="198"/>
      <c r="BG17" s="252">
        <v>80730745.410220399</v>
      </c>
      <c r="BH17" s="251">
        <f t="shared" si="16"/>
        <v>5.901134661636458E-3</v>
      </c>
      <c r="BI17" s="252"/>
      <c r="BJ17" s="252"/>
      <c r="BK17" s="198">
        <f t="shared" si="18"/>
        <v>3.6638371701543049E-2</v>
      </c>
      <c r="BL17" s="198">
        <f t="shared" si="24"/>
        <v>1.3987204800469666E-3</v>
      </c>
      <c r="BM17" s="177">
        <v>34.844000000000001</v>
      </c>
      <c r="BN17" s="183">
        <f t="shared" si="8"/>
        <v>3.1219192821774645E-2</v>
      </c>
      <c r="BO17" s="176">
        <v>13.106999999999999</v>
      </c>
      <c r="BP17" s="184">
        <f t="shared" si="9"/>
        <v>8.2993938710758816E-2</v>
      </c>
      <c r="BQ17" s="184"/>
      <c r="BR17" s="184">
        <v>0.12041194982088951</v>
      </c>
      <c r="BS17" s="179">
        <v>9.0339999999999989</v>
      </c>
      <c r="BT17" s="106">
        <v>1.8</v>
      </c>
      <c r="BU17" s="107">
        <v>0.98599999999999999</v>
      </c>
      <c r="BV17" s="105">
        <v>1.2869999999999999</v>
      </c>
      <c r="BW17" s="889"/>
      <c r="BX17" s="889"/>
      <c r="CA17" s="109" t="s">
        <v>818</v>
      </c>
      <c r="CB17" s="100" t="s">
        <v>26</v>
      </c>
      <c r="CC17" s="104">
        <f>(K72/K2)^(1/COUNT(K3:K72))-1</f>
        <v>3.6020530702963072E-2</v>
      </c>
      <c r="CD17" s="100"/>
      <c r="CE17" s="100"/>
    </row>
    <row r="18" spans="1:83" ht="18.5">
      <c r="A18" s="103" t="s">
        <v>819</v>
      </c>
      <c r="B18" s="103"/>
      <c r="C18" s="103"/>
      <c r="D18" s="103"/>
      <c r="E18" s="103"/>
      <c r="F18" s="110">
        <v>1.2329022962830594</v>
      </c>
      <c r="G18" s="110"/>
      <c r="H18" s="1184">
        <v>4.9297000000000004</v>
      </c>
      <c r="I18" s="366"/>
      <c r="J18" s="908">
        <f t="shared" si="23"/>
        <v>5.3827572201201379E-2</v>
      </c>
      <c r="K18" s="367">
        <f t="shared" si="1"/>
        <v>25.009682055359541</v>
      </c>
      <c r="L18" s="367">
        <f t="shared" si="2"/>
        <v>25.009682055359541</v>
      </c>
      <c r="M18" s="108">
        <f t="shared" si="11"/>
        <v>7.5497559120296431E-2</v>
      </c>
      <c r="N18" s="108">
        <f t="shared" si="12"/>
        <v>7.5497559120296431E-2</v>
      </c>
      <c r="O18" s="198">
        <f t="shared" si="20"/>
        <v>4.8177779813106447E-2</v>
      </c>
      <c r="P18" s="198">
        <f t="shared" si="26"/>
        <v>4.8439496892243694E-2</v>
      </c>
      <c r="Q18" s="198"/>
      <c r="R18" s="198"/>
      <c r="S18" s="198"/>
      <c r="T18" s="198">
        <f t="shared" si="19"/>
        <v>6.7225487535952144E-2</v>
      </c>
      <c r="U18" s="198">
        <f t="shared" si="13"/>
        <v>6.7225487535952144E-2</v>
      </c>
      <c r="V18" s="198">
        <f t="shared" si="25"/>
        <v>4.8439496892243694E-2</v>
      </c>
      <c r="W18" s="198">
        <f t="shared" si="30"/>
        <v>3.7366854375274317E-2</v>
      </c>
      <c r="X18" s="887">
        <v>54349500</v>
      </c>
      <c r="Y18" s="902">
        <f t="shared" si="3"/>
        <v>22.684703562738559</v>
      </c>
      <c r="Z18" s="902">
        <f t="shared" si="4"/>
        <v>460.16397676813108</v>
      </c>
      <c r="AA18" s="903"/>
      <c r="AB18" s="903"/>
      <c r="AC18" s="889">
        <v>37461</v>
      </c>
      <c r="AD18" s="889">
        <v>13.846</v>
      </c>
      <c r="AE18" s="889">
        <v>11.497999999999999</v>
      </c>
      <c r="AF18" s="367">
        <f t="shared" si="22"/>
        <v>680643.96042355511</v>
      </c>
      <c r="AG18" s="198">
        <f t="shared" si="27"/>
        <v>3.2315216868950447E-2</v>
      </c>
      <c r="AH18" s="198"/>
      <c r="AI18" s="367">
        <f t="shared" si="14"/>
        <v>251.57353717264741</v>
      </c>
      <c r="AJ18" s="198">
        <f t="shared" si="28"/>
        <v>5.3076990297082016E-2</v>
      </c>
      <c r="AK18" s="198"/>
      <c r="AL18" s="367">
        <f t="shared" si="15"/>
        <v>208.9117817717102</v>
      </c>
      <c r="AM18" s="198">
        <f t="shared" si="29"/>
        <v>5.2297233392414544E-2</v>
      </c>
      <c r="AN18" s="198"/>
      <c r="AO18" s="903">
        <f t="shared" si="5"/>
        <v>12523463.14912842</v>
      </c>
      <c r="AP18" s="903"/>
      <c r="AQ18" s="903">
        <f t="shared" si="6"/>
        <v>4628.8105166128007</v>
      </c>
      <c r="AR18" s="903">
        <f t="shared" si="7"/>
        <v>3843.8583937609401</v>
      </c>
      <c r="AS18" s="889"/>
      <c r="AT18" s="235">
        <v>499730</v>
      </c>
      <c r="AU18" s="108"/>
      <c r="AV18" s="108"/>
      <c r="AW18" s="108"/>
      <c r="AX18" s="108"/>
      <c r="AY18" s="108"/>
      <c r="AZ18" s="198">
        <f t="shared" si="17"/>
        <v>4.896484698878889E-2</v>
      </c>
      <c r="BA18" s="198">
        <f t="shared" si="21"/>
        <v>2.4394692096172399E-2</v>
      </c>
      <c r="BB18" s="198"/>
      <c r="BC18" s="198"/>
      <c r="BD18" s="198"/>
      <c r="BE18" s="198"/>
      <c r="BF18" s="198"/>
      <c r="BG18" s="252">
        <v>81743096.47638239</v>
      </c>
      <c r="BH18" s="251">
        <f t="shared" si="16"/>
        <v>6.1134214574852129E-3</v>
      </c>
      <c r="BI18" s="252"/>
      <c r="BJ18" s="252"/>
      <c r="BK18" s="198">
        <f t="shared" si="18"/>
        <v>3.5973894517073335E-2</v>
      </c>
      <c r="BL18" s="198">
        <f t="shared" si="24"/>
        <v>1.290922783171311E-2</v>
      </c>
      <c r="BM18" s="177">
        <v>37.451000000000001</v>
      </c>
      <c r="BN18" s="183">
        <f t="shared" si="8"/>
        <v>3.2920410570693955E-2</v>
      </c>
      <c r="BO18" s="176">
        <v>14.617000000000001</v>
      </c>
      <c r="BP18" s="184">
        <f t="shared" si="9"/>
        <v>8.4347150323805103E-2</v>
      </c>
      <c r="BQ18" s="184"/>
      <c r="BR18" s="184">
        <v>0.12203328677452828</v>
      </c>
      <c r="BS18" s="179">
        <v>10.103000000000002</v>
      </c>
      <c r="BT18" s="106">
        <v>2.1</v>
      </c>
      <c r="BU18" s="107">
        <v>1.014</v>
      </c>
      <c r="BV18" s="105">
        <v>1.4</v>
      </c>
      <c r="BW18" s="889"/>
      <c r="BX18" s="889"/>
      <c r="CA18" s="100" t="s">
        <v>820</v>
      </c>
      <c r="CB18" s="100" t="s">
        <v>821</v>
      </c>
      <c r="CC18" s="104">
        <v>3.5179392666563114E-2</v>
      </c>
      <c r="CD18" s="100"/>
      <c r="CE18" s="100"/>
    </row>
    <row r="19" spans="1:83" ht="18.5">
      <c r="A19" s="103" t="s">
        <v>822</v>
      </c>
      <c r="B19" s="103"/>
      <c r="C19" s="103"/>
      <c r="D19" s="103"/>
      <c r="E19" s="103"/>
      <c r="F19" s="110">
        <v>1.3585715243030736</v>
      </c>
      <c r="G19" s="110"/>
      <c r="H19" s="1184">
        <v>5.1803999999999997</v>
      </c>
      <c r="I19" s="366"/>
      <c r="J19" s="908">
        <f t="shared" si="23"/>
        <v>5.0855021603748662E-2</v>
      </c>
      <c r="K19" s="367">
        <f t="shared" si="1"/>
        <v>26.225224390067826</v>
      </c>
      <c r="L19" s="367">
        <f t="shared" si="2"/>
        <v>26.225224390067826</v>
      </c>
      <c r="M19" s="108">
        <f t="shared" si="11"/>
        <v>4.8602870361072581E-2</v>
      </c>
      <c r="N19" s="108">
        <f t="shared" si="12"/>
        <v>4.8602870361072581E-2</v>
      </c>
      <c r="O19" s="198">
        <f t="shared" si="20"/>
        <v>5.1796987277115125E-2</v>
      </c>
      <c r="P19" s="198">
        <f t="shared" si="26"/>
        <v>5.0770875730838272E-2</v>
      </c>
      <c r="Q19" s="198"/>
      <c r="R19" s="198"/>
      <c r="S19" s="198"/>
      <c r="T19" s="198">
        <f t="shared" si="19"/>
        <v>6.1965078314663913E-2</v>
      </c>
      <c r="U19" s="198">
        <f t="shared" si="13"/>
        <v>6.1965078314663913E-2</v>
      </c>
      <c r="V19" s="198">
        <f t="shared" si="25"/>
        <v>5.0770875730838272E-2</v>
      </c>
      <c r="W19" s="198">
        <f t="shared" si="30"/>
        <v>4.3959566125336247E-2</v>
      </c>
      <c r="X19" s="887">
        <v>54642700</v>
      </c>
      <c r="Y19" s="902">
        <f t="shared" si="3"/>
        <v>24.862818350906409</v>
      </c>
      <c r="Z19" s="902">
        <f t="shared" si="4"/>
        <v>479.94012722775091</v>
      </c>
      <c r="AA19" s="903"/>
      <c r="AB19" s="903"/>
      <c r="AC19" s="889">
        <v>39949</v>
      </c>
      <c r="AD19" s="889">
        <v>15.037000000000001</v>
      </c>
      <c r="AE19" s="889">
        <v>12.541</v>
      </c>
      <c r="AF19" s="367">
        <f t="shared" si="22"/>
        <v>690722.71355493786</v>
      </c>
      <c r="AG19" s="198">
        <f t="shared" si="27"/>
        <v>3.1475336720708791E-2</v>
      </c>
      <c r="AH19" s="198"/>
      <c r="AI19" s="367">
        <f t="shared" si="14"/>
        <v>259.99142516021931</v>
      </c>
      <c r="AJ19" s="198">
        <f t="shared" si="28"/>
        <v>4.3834634232508884E-2</v>
      </c>
      <c r="AK19" s="198"/>
      <c r="AL19" s="367">
        <f t="shared" si="15"/>
        <v>216.83530377963092</v>
      </c>
      <c r="AM19" s="198">
        <f t="shared" si="29"/>
        <v>4.1924252905906734E-2</v>
      </c>
      <c r="AN19" s="198"/>
      <c r="AO19" s="903">
        <f t="shared" si="5"/>
        <v>12640713.463187907</v>
      </c>
      <c r="AP19" s="903"/>
      <c r="AQ19" s="903">
        <f t="shared" si="6"/>
        <v>4758.0266926820841</v>
      </c>
      <c r="AR19" s="903">
        <f t="shared" si="7"/>
        <v>3968.2391935177238</v>
      </c>
      <c r="AS19" s="889"/>
      <c r="AT19" s="234">
        <v>512002</v>
      </c>
      <c r="AU19" s="108"/>
      <c r="AV19" s="108"/>
      <c r="AW19" s="108"/>
      <c r="AX19" s="108"/>
      <c r="AY19" s="108"/>
      <c r="AZ19" s="198">
        <f t="shared" si="17"/>
        <v>2.4557260920897273E-2</v>
      </c>
      <c r="BA19" s="198">
        <f t="shared" si="21"/>
        <v>2.5842013372082251E-2</v>
      </c>
      <c r="BB19" s="198"/>
      <c r="BC19" s="198"/>
      <c r="BD19" s="198"/>
      <c r="BE19" s="198"/>
      <c r="BF19" s="198"/>
      <c r="BG19" s="252">
        <v>82505853.096303746</v>
      </c>
      <c r="BH19" s="251">
        <f t="shared" si="16"/>
        <v>6.2056445789654847E-3</v>
      </c>
      <c r="BI19" s="252"/>
      <c r="BJ19" s="252"/>
      <c r="BK19" s="198">
        <f t="shared" si="18"/>
        <v>1.5085353123716727E-2</v>
      </c>
      <c r="BL19" s="198">
        <f t="shared" si="24"/>
        <v>1.4755024936491612E-2</v>
      </c>
      <c r="BM19" s="177">
        <v>39.939</v>
      </c>
      <c r="BN19" s="183">
        <f t="shared" si="8"/>
        <v>3.4016162755779407E-2</v>
      </c>
      <c r="BO19" s="176">
        <v>16.175999999999998</v>
      </c>
      <c r="BP19" s="184">
        <f t="shared" si="9"/>
        <v>8.3986864756619289E-2</v>
      </c>
      <c r="BQ19" s="184"/>
      <c r="BR19" s="184">
        <v>0.120869352696003</v>
      </c>
      <c r="BS19" s="179">
        <v>11.239999999999998</v>
      </c>
      <c r="BT19" s="106">
        <v>2.2999999999999998</v>
      </c>
      <c r="BU19" s="107">
        <v>1.115</v>
      </c>
      <c r="BV19" s="105">
        <v>1.5209999999999999</v>
      </c>
      <c r="BW19" s="889"/>
      <c r="BX19" s="889"/>
      <c r="CA19" s="100" t="s">
        <v>823</v>
      </c>
      <c r="CB19" s="100" t="s">
        <v>26</v>
      </c>
      <c r="CC19" s="104">
        <v>4.0547891788405899E-2</v>
      </c>
      <c r="CD19" s="100"/>
      <c r="CE19" s="100"/>
    </row>
    <row r="20" spans="1:83" ht="18.5">
      <c r="A20" s="103" t="s">
        <v>824</v>
      </c>
      <c r="B20" s="103"/>
      <c r="C20" s="103"/>
      <c r="D20" s="103"/>
      <c r="E20" s="103"/>
      <c r="F20" s="110">
        <v>1.4754632773409579</v>
      </c>
      <c r="G20" s="110"/>
      <c r="H20" s="1184">
        <v>5.3220999999999998</v>
      </c>
      <c r="I20" s="366"/>
      <c r="J20" s="908">
        <f t="shared" si="23"/>
        <v>2.7353100146706888E-2</v>
      </c>
      <c r="K20" s="367">
        <f t="shared" si="1"/>
        <v>27.723328711241013</v>
      </c>
      <c r="L20" s="367">
        <f t="shared" si="2"/>
        <v>27.723328711241013</v>
      </c>
      <c r="M20" s="108">
        <f t="shared" si="11"/>
        <v>5.7124556834699858E-2</v>
      </c>
      <c r="N20" s="108">
        <f t="shared" si="12"/>
        <v>5.7124556834699858E-2</v>
      </c>
      <c r="O20" s="198">
        <f t="shared" si="20"/>
        <v>5.976176361962704E-2</v>
      </c>
      <c r="P20" s="198">
        <f t="shared" si="26"/>
        <v>5.3556633211640836E-2</v>
      </c>
      <c r="Q20" s="198"/>
      <c r="R20" s="198"/>
      <c r="S20" s="198"/>
      <c r="T20" s="198">
        <f t="shared" si="19"/>
        <v>5.2855091940976928E-2</v>
      </c>
      <c r="U20" s="198">
        <f t="shared" si="13"/>
        <v>5.2855091940976928E-2</v>
      </c>
      <c r="V20" s="198">
        <f t="shared" si="25"/>
        <v>5.3556633211640836E-2</v>
      </c>
      <c r="W20" s="198">
        <f t="shared" si="30"/>
        <v>4.7294807855234655E-2</v>
      </c>
      <c r="X20" s="887">
        <v>54959000</v>
      </c>
      <c r="Y20" s="902">
        <f t="shared" si="3"/>
        <v>26.846617975963134</v>
      </c>
      <c r="Z20" s="902">
        <f t="shared" si="4"/>
        <v>504.43655654653492</v>
      </c>
      <c r="AA20" s="903"/>
      <c r="AB20" s="903"/>
      <c r="AC20" s="889">
        <v>42504</v>
      </c>
      <c r="AD20" s="889">
        <v>16.614999999999998</v>
      </c>
      <c r="AE20" s="889">
        <v>13.861000000000001</v>
      </c>
      <c r="AF20" s="367">
        <f t="shared" si="22"/>
        <v>715332.39300276199</v>
      </c>
      <c r="AG20" s="198">
        <f t="shared" si="27"/>
        <v>3.5658079911424556E-2</v>
      </c>
      <c r="AH20" s="198"/>
      <c r="AI20" s="367">
        <f t="shared" si="14"/>
        <v>279.62656949324509</v>
      </c>
      <c r="AJ20" s="198">
        <f t="shared" si="28"/>
        <v>5.5923900965472617E-2</v>
      </c>
      <c r="AK20" s="198"/>
      <c r="AL20" s="367">
        <f t="shared" si="15"/>
        <v>233.27739270212888</v>
      </c>
      <c r="AM20" s="198">
        <f t="shared" si="29"/>
        <v>5.5585976753553146E-2</v>
      </c>
      <c r="AN20" s="198"/>
      <c r="AO20" s="903">
        <f t="shared" si="5"/>
        <v>13015746.156275805</v>
      </c>
      <c r="AP20" s="903"/>
      <c r="AQ20" s="903">
        <f t="shared" si="6"/>
        <v>5087.9122526473384</v>
      </c>
      <c r="AR20" s="903">
        <f t="shared" si="7"/>
        <v>4244.5712749891536</v>
      </c>
      <c r="AS20" s="889"/>
      <c r="AT20" s="233">
        <v>513351</v>
      </c>
      <c r="AU20" s="108"/>
      <c r="AV20" s="108"/>
      <c r="AW20" s="108"/>
      <c r="AX20" s="108"/>
      <c r="AY20" s="108"/>
      <c r="AZ20" s="198">
        <f t="shared" si="17"/>
        <v>2.634755332987071E-3</v>
      </c>
      <c r="BA20" s="198">
        <f t="shared" si="21"/>
        <v>2.8139595840299458E-2</v>
      </c>
      <c r="BB20" s="198"/>
      <c r="BC20" s="198"/>
      <c r="BD20" s="198"/>
      <c r="BE20" s="198"/>
      <c r="BF20" s="198"/>
      <c r="BG20" s="252">
        <v>83494274.489198089</v>
      </c>
      <c r="BH20" s="251">
        <f t="shared" si="16"/>
        <v>6.1483377529846532E-3</v>
      </c>
      <c r="BI20" s="252"/>
      <c r="BJ20" s="252"/>
      <c r="BK20" s="198">
        <f t="shared" si="18"/>
        <v>-9.2346290947885601E-3</v>
      </c>
      <c r="BL20" s="198">
        <f t="shared" si="24"/>
        <v>1.6965237251935994E-2</v>
      </c>
      <c r="BM20" s="177">
        <v>42.497999999999998</v>
      </c>
      <c r="BN20" s="183">
        <f t="shared" si="8"/>
        <v>3.4718416804107442E-2</v>
      </c>
      <c r="BO20" s="176">
        <v>18.462</v>
      </c>
      <c r="BP20" s="184">
        <f t="shared" si="9"/>
        <v>7.9918929549396486E-2</v>
      </c>
      <c r="BQ20" s="184"/>
      <c r="BR20" s="184">
        <v>0.11366329846244187</v>
      </c>
      <c r="BS20" s="179">
        <v>12.981</v>
      </c>
      <c r="BT20" s="106">
        <v>2.6</v>
      </c>
      <c r="BU20" s="107">
        <v>1.224</v>
      </c>
      <c r="BV20" s="105">
        <v>1.657</v>
      </c>
      <c r="BW20" s="889"/>
      <c r="BX20" s="889"/>
      <c r="CA20" s="100" t="s">
        <v>825</v>
      </c>
      <c r="CB20" s="100" t="s">
        <v>821</v>
      </c>
      <c r="CC20" s="104">
        <v>3.846809626718839E-2</v>
      </c>
      <c r="CD20" s="100"/>
      <c r="CE20" s="100"/>
    </row>
    <row r="21" spans="1:83" ht="20.5">
      <c r="A21" s="103" t="s">
        <v>826</v>
      </c>
      <c r="B21" s="103"/>
      <c r="C21" s="103"/>
      <c r="D21" s="103"/>
      <c r="E21" s="103"/>
      <c r="F21" s="110">
        <v>1.5785532076483204</v>
      </c>
      <c r="G21" s="110"/>
      <c r="H21" s="1184">
        <v>5.6006</v>
      </c>
      <c r="I21" s="366"/>
      <c r="J21" s="908">
        <f t="shared" si="23"/>
        <v>5.2328967888615407E-2</v>
      </c>
      <c r="K21" s="367">
        <f t="shared" si="1"/>
        <v>28.185430269048322</v>
      </c>
      <c r="L21" s="367">
        <f t="shared" si="2"/>
        <v>28.185430269048322</v>
      </c>
      <c r="M21" s="108">
        <f t="shared" si="11"/>
        <v>1.6668328779001929E-2</v>
      </c>
      <c r="N21" s="108">
        <f t="shared" si="12"/>
        <v>1.6668328779001929E-2</v>
      </c>
      <c r="O21" s="198">
        <f t="shared" si="20"/>
        <v>5.1201023552040592E-2</v>
      </c>
      <c r="P21" s="198">
        <f t="shared" si="26"/>
        <v>5.0660232435865149E-2</v>
      </c>
      <c r="Q21" s="198"/>
      <c r="R21" s="198"/>
      <c r="S21" s="198"/>
      <c r="T21" s="198">
        <f t="shared" si="19"/>
        <v>3.6699115707338414E-2</v>
      </c>
      <c r="U21" s="198">
        <f t="shared" si="13"/>
        <v>3.6699115707338414E-2</v>
      </c>
      <c r="V21" s="198">
        <f t="shared" si="25"/>
        <v>5.0660232435865149E-2</v>
      </c>
      <c r="W21" s="198">
        <f t="shared" si="30"/>
        <v>4.6874590813018813E-2</v>
      </c>
      <c r="X21" s="887">
        <v>55213500</v>
      </c>
      <c r="Y21" s="902">
        <f t="shared" si="3"/>
        <v>28.589986283215527</v>
      </c>
      <c r="Z21" s="902">
        <f t="shared" si="4"/>
        <v>510.48077497438709</v>
      </c>
      <c r="AA21" s="903"/>
      <c r="AB21" s="903"/>
      <c r="AC21" s="889">
        <v>46763</v>
      </c>
      <c r="AD21" s="889">
        <v>19.082999999999998</v>
      </c>
      <c r="AE21" s="889">
        <v>15.814</v>
      </c>
      <c r="AF21" s="367">
        <f t="shared" si="22"/>
        <v>747874.84931971575</v>
      </c>
      <c r="AG21" s="198">
        <f t="shared" si="27"/>
        <v>3.1642516303231449E-2</v>
      </c>
      <c r="AH21" s="198"/>
      <c r="AI21" s="367">
        <f t="shared" si="14"/>
        <v>305.1920481912652</v>
      </c>
      <c r="AJ21" s="198">
        <f t="shared" si="28"/>
        <v>6.6040687796182773E-2</v>
      </c>
      <c r="AK21" s="198"/>
      <c r="AL21" s="367">
        <f t="shared" si="15"/>
        <v>252.91133732100133</v>
      </c>
      <c r="AM21" s="198">
        <f t="shared" si="29"/>
        <v>6.6088623526297852E-2</v>
      </c>
      <c r="AN21" s="198"/>
      <c r="AO21" s="903">
        <f t="shared" si="5"/>
        <v>13545144.743943343</v>
      </c>
      <c r="AP21" s="903"/>
      <c r="AQ21" s="903">
        <f t="shared" si="6"/>
        <v>5527.4896210395136</v>
      </c>
      <c r="AR21" s="903">
        <f t="shared" si="7"/>
        <v>4580.606868265937</v>
      </c>
      <c r="AS21" s="889"/>
      <c r="AT21" s="232">
        <v>513004</v>
      </c>
      <c r="AU21" s="108"/>
      <c r="AV21" s="108"/>
      <c r="AW21" s="108"/>
      <c r="AX21" s="108"/>
      <c r="AY21" s="108"/>
      <c r="AZ21" s="198">
        <f t="shared" si="17"/>
        <v>-6.7595076273352372E-4</v>
      </c>
      <c r="BA21" s="198">
        <f t="shared" si="21"/>
        <v>2.4651223484549956E-2</v>
      </c>
      <c r="BB21" s="198"/>
      <c r="BC21" s="198"/>
      <c r="BD21" s="198"/>
      <c r="BE21" s="198" t="s">
        <v>827</v>
      </c>
      <c r="BF21" s="198" t="s">
        <v>828</v>
      </c>
      <c r="BG21" s="252">
        <v>84288362.254511893</v>
      </c>
      <c r="BH21" s="251">
        <f t="shared" si="16"/>
        <v>6.0862969249653358E-3</v>
      </c>
      <c r="BI21" s="252"/>
      <c r="BJ21" s="252"/>
      <c r="BK21" s="198">
        <f t="shared" si="18"/>
        <v>-1.0090666861819697E-2</v>
      </c>
      <c r="BL21" s="198">
        <f t="shared" si="24"/>
        <v>1.346552110381416E-2</v>
      </c>
      <c r="BM21" s="177">
        <v>46.753</v>
      </c>
      <c r="BN21" s="183">
        <f t="shared" si="8"/>
        <v>3.3763677360775145E-2</v>
      </c>
      <c r="BO21" s="176">
        <v>19.504999999999999</v>
      </c>
      <c r="BP21" s="184">
        <f t="shared" si="9"/>
        <v>8.0930695085789303E-2</v>
      </c>
      <c r="BQ21" s="184"/>
      <c r="BR21" s="184">
        <v>0.11784645073895636</v>
      </c>
      <c r="BS21" s="179">
        <v>13.395</v>
      </c>
      <c r="BT21" s="106">
        <v>3</v>
      </c>
      <c r="BU21" s="107">
        <v>1.302</v>
      </c>
      <c r="BV21" s="105">
        <v>1.8080000000000001</v>
      </c>
      <c r="BW21" s="889"/>
      <c r="BX21" s="889"/>
      <c r="CA21" s="109" t="s">
        <v>829</v>
      </c>
      <c r="CB21" s="100"/>
      <c r="CC21" s="104"/>
      <c r="CD21" s="100"/>
      <c r="CE21" s="100"/>
    </row>
    <row r="22" spans="1:83" s="1106" customFormat="1" ht="18.5">
      <c r="A22" s="1090" t="s">
        <v>830</v>
      </c>
      <c r="B22" s="1090"/>
      <c r="C22" s="1090"/>
      <c r="D22" s="1090"/>
      <c r="E22" s="1090"/>
      <c r="F22" s="1091">
        <v>1.683519701572552</v>
      </c>
      <c r="G22" s="1091"/>
      <c r="H22" s="1269">
        <v>5.9874999999999998</v>
      </c>
      <c r="I22" s="371"/>
      <c r="J22" s="913">
        <f t="shared" si="23"/>
        <v>6.9081884083848077E-2</v>
      </c>
      <c r="K22" s="204">
        <f t="shared" si="1"/>
        <v>28.117239274698157</v>
      </c>
      <c r="L22" s="204">
        <f t="shared" si="2"/>
        <v>28.117239274698157</v>
      </c>
      <c r="M22" s="1092">
        <f t="shared" si="11"/>
        <v>-2.4193703519597154E-3</v>
      </c>
      <c r="N22" s="1092">
        <f t="shared" si="12"/>
        <v>-2.4193703519597154E-3</v>
      </c>
      <c r="O22" s="1266">
        <f t="shared" si="20"/>
        <v>3.8711134378140111E-2</v>
      </c>
      <c r="P22" s="1266">
        <f>((L22/L12)^(1/COUNT(L13:L22)))-1</f>
        <v>4.2232159125094704E-2</v>
      </c>
      <c r="Q22" s="1087"/>
      <c r="R22" s="1087"/>
      <c r="S22" s="1087"/>
      <c r="T22" s="1087">
        <f t="shared" si="19"/>
        <v>7.0792578375236115E-3</v>
      </c>
      <c r="U22" s="1087">
        <f t="shared" si="13"/>
        <v>7.0792578375236115E-3</v>
      </c>
      <c r="V22" s="1267">
        <f t="shared" si="25"/>
        <v>4.2232159125094704E-2</v>
      </c>
      <c r="W22" s="1087">
        <f t="shared" si="30"/>
        <v>4.3054538532807607E-2</v>
      </c>
      <c r="X22" s="1093">
        <v>55460600</v>
      </c>
      <c r="Y22" s="1094">
        <f t="shared" si="3"/>
        <v>30.355237800754985</v>
      </c>
      <c r="Z22" s="1094">
        <f t="shared" si="4"/>
        <v>506.97683174538605</v>
      </c>
      <c r="AA22" s="1096"/>
      <c r="AB22" s="1096"/>
      <c r="AC22" s="1095">
        <v>50843</v>
      </c>
      <c r="AD22" s="1095">
        <v>21.279</v>
      </c>
      <c r="AE22" s="1095">
        <v>17.863</v>
      </c>
      <c r="AF22" s="204">
        <f t="shared" si="22"/>
        <v>760583.25797077245</v>
      </c>
      <c r="AG22" s="1087">
        <f t="shared" si="27"/>
        <v>2.6488995045302444E-2</v>
      </c>
      <c r="AH22" s="1087"/>
      <c r="AI22" s="204">
        <f t="shared" si="14"/>
        <v>318.32211211691026</v>
      </c>
      <c r="AJ22" s="1087">
        <f t="shared" si="28"/>
        <v>6.2856143372343798E-2</v>
      </c>
      <c r="AK22" s="1087"/>
      <c r="AL22" s="204">
        <f t="shared" si="15"/>
        <v>267.22063483924842</v>
      </c>
      <c r="AM22" s="1087">
        <f t="shared" si="29"/>
        <v>6.6031583465590016E-2</v>
      </c>
      <c r="AN22" s="1087"/>
      <c r="AO22" s="1096">
        <f t="shared" si="5"/>
        <v>13713938.507170361</v>
      </c>
      <c r="AP22" s="1096"/>
      <c r="AQ22" s="1096">
        <f t="shared" si="6"/>
        <v>5739.6081563652442</v>
      </c>
      <c r="AR22" s="1096">
        <f t="shared" si="7"/>
        <v>4818.2067060083809</v>
      </c>
      <c r="AS22" s="1095"/>
      <c r="AT22" s="1270">
        <v>515140</v>
      </c>
      <c r="AU22" s="1092"/>
      <c r="AV22" s="1092"/>
      <c r="AW22" s="1092"/>
      <c r="AX22" s="1092"/>
      <c r="AY22" s="1092"/>
      <c r="AZ22" s="1087">
        <f t="shared" si="17"/>
        <v>4.1637102244815871E-3</v>
      </c>
      <c r="BA22" s="1087">
        <f t="shared" si="21"/>
        <v>1.5757779509082637E-2</v>
      </c>
      <c r="BB22" s="1087"/>
      <c r="BC22" s="1087"/>
      <c r="BD22" s="1087" t="s">
        <v>831</v>
      </c>
      <c r="BE22" s="1087">
        <f>(AT22/AT13)^(1/(COUNTA(AT14:AT22)))-1</f>
        <v>1.6905781742232451E-2</v>
      </c>
      <c r="BF22" s="1087">
        <f>(K22/K13)^(1/(COUNTA(K14:K22)))-1</f>
        <v>3.9930608748561358E-2</v>
      </c>
      <c r="BG22" s="1097">
        <v>85124727.374409676</v>
      </c>
      <c r="BH22" s="1098">
        <f t="shared" si="16"/>
        <v>6.0515905999231684E-3</v>
      </c>
      <c r="BI22" s="1097"/>
      <c r="BJ22" s="1097"/>
      <c r="BK22" s="1087">
        <f t="shared" si="18"/>
        <v>-5.7023713220112349E-3</v>
      </c>
      <c r="BL22" s="1087">
        <f t="shared" si="24"/>
        <v>5.0479981488447123E-3</v>
      </c>
      <c r="BM22" s="1099">
        <v>50.834000000000003</v>
      </c>
      <c r="BN22" s="1100">
        <f t="shared" si="8"/>
        <v>3.3117986024561355E-2</v>
      </c>
      <c r="BO22" s="1101">
        <v>20.488</v>
      </c>
      <c r="BP22" s="1102">
        <f t="shared" si="9"/>
        <v>8.2171012376637639E-2</v>
      </c>
      <c r="BQ22" s="1102"/>
      <c r="BR22" s="1102">
        <v>0.12001138448620986</v>
      </c>
      <c r="BS22" s="194">
        <v>14.028</v>
      </c>
      <c r="BT22" s="1103">
        <v>3.2</v>
      </c>
      <c r="BU22" s="1104">
        <v>1.3140000000000001</v>
      </c>
      <c r="BV22" s="1105">
        <v>1.946</v>
      </c>
      <c r="BW22" s="1095"/>
      <c r="BX22" s="1095"/>
      <c r="CA22" s="1107" t="s">
        <v>832</v>
      </c>
      <c r="CB22" s="1107" t="s">
        <v>833</v>
      </c>
      <c r="CC22" s="1108">
        <v>-1.3962291790667436E-2</v>
      </c>
      <c r="CD22" s="1107"/>
      <c r="CE22" s="1107" t="s">
        <v>834</v>
      </c>
    </row>
    <row r="23" spans="1:83" ht="18.5">
      <c r="A23" s="1271" t="s">
        <v>835</v>
      </c>
      <c r="B23" s="1271"/>
      <c r="C23" s="1271"/>
      <c r="D23" s="1271"/>
      <c r="E23" s="1271"/>
      <c r="F23" s="1272">
        <v>1.9202693888491782</v>
      </c>
      <c r="G23" s="1272"/>
      <c r="H23" s="1184">
        <v>6.5785</v>
      </c>
      <c r="I23" s="1273"/>
      <c r="J23" s="1274">
        <f t="shared" si="23"/>
        <v>9.8705636743215086E-2</v>
      </c>
      <c r="K23" s="185">
        <f t="shared" si="1"/>
        <v>29.19007963592275</v>
      </c>
      <c r="L23" s="185">
        <f t="shared" si="2"/>
        <v>29.19007963592275</v>
      </c>
      <c r="M23" s="1275">
        <f t="shared" si="11"/>
        <v>3.8155963704089801E-2</v>
      </c>
      <c r="N23" s="1275">
        <f t="shared" si="12"/>
        <v>3.8155963704089801E-2</v>
      </c>
      <c r="O23" s="1088">
        <f t="shared" si="20"/>
        <v>3.1395950272051998E-2</v>
      </c>
      <c r="P23" s="1088">
        <f>((L23/L13)^(1/COUNT(L14:L23)))-1</f>
        <v>3.9753007816947239E-2</v>
      </c>
      <c r="Q23" s="1088"/>
      <c r="R23" s="1088"/>
      <c r="S23" s="1088"/>
      <c r="T23" s="1088">
        <f t="shared" si="19"/>
        <v>1.7666094524522391E-2</v>
      </c>
      <c r="U23" s="1088">
        <f t="shared" si="13"/>
        <v>1.7666094524522391E-2</v>
      </c>
      <c r="V23" s="1088">
        <f t="shared" si="25"/>
        <v>3.9753007816947239E-2</v>
      </c>
      <c r="W23" s="1088">
        <f t="shared" si="30"/>
        <v>4.3963831369677964E-2</v>
      </c>
      <c r="X23" s="1276">
        <v>55632200</v>
      </c>
      <c r="Y23" s="1277">
        <f t="shared" si="3"/>
        <v>34.51722903011526</v>
      </c>
      <c r="Z23" s="1277">
        <f t="shared" si="4"/>
        <v>524.69756069187895</v>
      </c>
      <c r="AA23" s="1278"/>
      <c r="AB23" s="1278"/>
      <c r="AC23" s="1279">
        <v>57723</v>
      </c>
      <c r="AD23" s="1279">
        <v>23.117000000000001</v>
      </c>
      <c r="AE23" s="1279">
        <v>19.457000000000001</v>
      </c>
      <c r="AF23" s="185">
        <f t="shared" si="22"/>
        <v>785928.67570114753</v>
      </c>
      <c r="AG23" s="1088">
        <f>((AF23/AF18)^(1/COUNT(AF18:AF22)))-1</f>
        <v>2.9183056858493428E-2</v>
      </c>
      <c r="AH23" s="1088"/>
      <c r="AI23" s="185">
        <f t="shared" si="14"/>
        <v>314.74998174355852</v>
      </c>
      <c r="AJ23" s="1088">
        <f>((AI23/AI18)^(1/COUNT(AI18:AI22)))-1</f>
        <v>4.5827726603850261E-2</v>
      </c>
      <c r="AK23" s="1088"/>
      <c r="AL23" s="185">
        <f t="shared" si="15"/>
        <v>264.91717760887741</v>
      </c>
      <c r="AM23" s="1088">
        <f t="shared" si="29"/>
        <v>4.8647286206500606E-2</v>
      </c>
      <c r="AN23" s="1088"/>
      <c r="AO23" s="1278">
        <f t="shared" si="5"/>
        <v>14127226.24129816</v>
      </c>
      <c r="AP23" s="1278"/>
      <c r="AQ23" s="1278">
        <f t="shared" si="6"/>
        <v>5657.6943163052792</v>
      </c>
      <c r="AR23" s="1278">
        <f t="shared" si="7"/>
        <v>4761.9396250530699</v>
      </c>
      <c r="AS23" s="1279"/>
      <c r="AT23" s="1280">
        <v>539686</v>
      </c>
      <c r="AU23" s="1275"/>
      <c r="AV23" s="1275"/>
      <c r="AW23" s="1275"/>
      <c r="AX23" s="1275"/>
      <c r="AY23" s="1275"/>
      <c r="AZ23" s="1088">
        <f t="shared" si="17"/>
        <v>4.7649182746437813E-2</v>
      </c>
      <c r="BA23" s="1088">
        <f t="shared" si="21"/>
        <v>1.5502848723128348E-2</v>
      </c>
      <c r="BB23" s="1088"/>
      <c r="BC23" s="1088"/>
      <c r="BD23" s="1088" t="s">
        <v>836</v>
      </c>
      <c r="BE23" s="1088">
        <f>(AT32/AT23)^(1/(COUNTA(AT24:AT32)))-1</f>
        <v>3.7613449877295757E-2</v>
      </c>
      <c r="BF23" s="1088">
        <f>(K32/K23)^(1/(COUNTA(K24:K32)))-1</f>
        <v>4.2584564762698784E-2</v>
      </c>
      <c r="BG23" s="1281">
        <v>85847711.386283308</v>
      </c>
      <c r="BH23" s="1282">
        <f t="shared" si="16"/>
        <v>6.2865508152175464E-3</v>
      </c>
      <c r="BI23" s="1281"/>
      <c r="BJ23" s="1281"/>
      <c r="BK23" s="1088">
        <f t="shared" si="18"/>
        <v>3.8826191464003124E-2</v>
      </c>
      <c r="BL23" s="1088">
        <f t="shared" si="24"/>
        <v>5.600819694548953E-3</v>
      </c>
      <c r="BM23" s="1283">
        <v>57.698</v>
      </c>
      <c r="BN23" s="1284">
        <f t="shared" si="8"/>
        <v>3.3281385643335611E-2</v>
      </c>
      <c r="BO23" s="1285">
        <v>22.885999999999999</v>
      </c>
      <c r="BP23" s="184">
        <f t="shared" si="9"/>
        <v>8.390585462069293E-2</v>
      </c>
      <c r="BQ23" s="184"/>
      <c r="BR23" s="184">
        <v>0.12207688422435974</v>
      </c>
      <c r="BS23" s="179">
        <v>15.729999999999997</v>
      </c>
      <c r="BT23" s="1286">
        <v>3.6</v>
      </c>
      <c r="BU23" s="1287">
        <v>1.3440000000000001</v>
      </c>
      <c r="BV23" s="1288">
        <v>2.2120000000000002</v>
      </c>
      <c r="BW23" s="1279"/>
      <c r="BX23" s="1279"/>
      <c r="CA23" s="100" t="s">
        <v>837</v>
      </c>
      <c r="CB23" s="100" t="s">
        <v>838</v>
      </c>
      <c r="CC23" s="104">
        <v>3.428777769596425E-2</v>
      </c>
      <c r="CD23" s="100"/>
      <c r="CE23" s="100" t="s">
        <v>839</v>
      </c>
    </row>
    <row r="24" spans="1:83" ht="18.5">
      <c r="A24" s="103" t="s">
        <v>840</v>
      </c>
      <c r="B24" s="103"/>
      <c r="C24" s="103"/>
      <c r="D24" s="103"/>
      <c r="E24" s="103"/>
      <c r="F24" s="110">
        <v>2.1861966136526094</v>
      </c>
      <c r="G24" s="110"/>
      <c r="H24" s="1184">
        <v>7.0759999999999996</v>
      </c>
      <c r="I24" s="366"/>
      <c r="J24" s="908">
        <f t="shared" si="23"/>
        <v>7.5625142509690546E-2</v>
      </c>
      <c r="K24" s="367">
        <f t="shared" si="1"/>
        <v>30.895938576209858</v>
      </c>
      <c r="L24" s="367">
        <f t="shared" si="2"/>
        <v>30.895938576209858</v>
      </c>
      <c r="M24" s="108">
        <f t="shared" si="11"/>
        <v>5.8439680931455795E-2</v>
      </c>
      <c r="N24" s="108">
        <f t="shared" si="12"/>
        <v>5.8439680931455795E-2</v>
      </c>
      <c r="O24" s="198">
        <f t="shared" si="20"/>
        <v>3.3323808709738056E-2</v>
      </c>
      <c r="P24" s="198">
        <f t="shared" si="26"/>
        <v>4.2519481296448891E-2</v>
      </c>
      <c r="Q24" s="198"/>
      <c r="R24" s="198"/>
      <c r="S24" s="198"/>
      <c r="T24" s="198">
        <f t="shared" si="19"/>
        <v>4.8248761974009957E-2</v>
      </c>
      <c r="U24" s="198">
        <f t="shared" si="13"/>
        <v>4.8248761974009957E-2</v>
      </c>
      <c r="V24" s="198">
        <f t="shared" si="25"/>
        <v>4.2519481296448891E-2</v>
      </c>
      <c r="W24" s="198">
        <f t="shared" si="30"/>
        <v>4.6032909792068644E-2</v>
      </c>
      <c r="X24" s="887">
        <v>55928000</v>
      </c>
      <c r="Y24" s="902">
        <f t="shared" si="3"/>
        <v>39.089483150704645</v>
      </c>
      <c r="Z24" s="902">
        <f t="shared" si="4"/>
        <v>552.42344757920648</v>
      </c>
      <c r="AA24" s="903"/>
      <c r="AB24" s="903"/>
      <c r="AC24" s="889">
        <v>64575</v>
      </c>
      <c r="AD24" s="889">
        <v>24.78</v>
      </c>
      <c r="AE24" s="889">
        <v>20.707999999999998</v>
      </c>
      <c r="AF24" s="367">
        <f t="shared" si="22"/>
        <v>817405.79105426802</v>
      </c>
      <c r="AG24" s="198">
        <f t="shared" si="27"/>
        <v>3.4253012494325885E-2</v>
      </c>
      <c r="AH24" s="198"/>
      <c r="AI24" s="367">
        <f t="shared" si="14"/>
        <v>313.67116534765404</v>
      </c>
      <c r="AJ24" s="198">
        <f t="shared" si="28"/>
        <v>3.8252808488101531E-2</v>
      </c>
      <c r="AK24" s="198"/>
      <c r="AL24" s="367">
        <f t="shared" si="15"/>
        <v>262.12681565856417</v>
      </c>
      <c r="AM24" s="198">
        <f t="shared" si="29"/>
        <v>3.8666899860973825E-2</v>
      </c>
      <c r="AN24" s="198"/>
      <c r="AO24" s="903">
        <f t="shared" si="5"/>
        <v>14615323.112828422</v>
      </c>
      <c r="AP24" s="903"/>
      <c r="AQ24" s="903">
        <f t="shared" si="6"/>
        <v>5608.4817148414759</v>
      </c>
      <c r="AR24" s="903">
        <f t="shared" si="7"/>
        <v>4686.8619592791474</v>
      </c>
      <c r="AS24" s="889"/>
      <c r="AT24" s="231">
        <v>519322</v>
      </c>
      <c r="AU24" s="108"/>
      <c r="AV24" s="108"/>
      <c r="AW24" s="108"/>
      <c r="AX24" s="108"/>
      <c r="AY24" s="108"/>
      <c r="AZ24" s="198">
        <f t="shared" si="17"/>
        <v>-3.7733052182194804E-2</v>
      </c>
      <c r="BA24" s="198">
        <f t="shared" si="21"/>
        <v>2.8431507871773398E-3</v>
      </c>
      <c r="BB24" s="198"/>
      <c r="BC24" s="198"/>
      <c r="BD24" s="198" t="s">
        <v>841</v>
      </c>
      <c r="BE24" s="198">
        <f>(AT41/AT32)^(1/(COUNTA(AT33:AT41)))-1</f>
        <v>-1.5752041238444869E-3</v>
      </c>
      <c r="BF24" s="198">
        <f>(K41/K32)^(1/(COUNTA(K33:K41)))-1</f>
        <v>2.9872926621567375E-2</v>
      </c>
      <c r="BG24" s="252">
        <v>86788358.4022782</v>
      </c>
      <c r="BH24" s="251">
        <f t="shared" si="16"/>
        <v>5.9837748928589915E-3</v>
      </c>
      <c r="BI24" s="252"/>
      <c r="BJ24" s="252"/>
      <c r="BK24" s="198">
        <f t="shared" si="18"/>
        <v>-4.8162487070913307E-2</v>
      </c>
      <c r="BL24" s="198">
        <f t="shared" si="24"/>
        <v>-7.2550882654266458E-3</v>
      </c>
      <c r="BM24" s="177">
        <v>64.537000000000006</v>
      </c>
      <c r="BN24" s="183">
        <f t="shared" si="8"/>
        <v>3.3875088920349711E-2</v>
      </c>
      <c r="BO24" s="176">
        <v>25.501999999999999</v>
      </c>
      <c r="BP24" s="184">
        <f t="shared" si="9"/>
        <v>8.5726476890150172E-2</v>
      </c>
      <c r="BQ24" s="184"/>
      <c r="BR24" s="184">
        <v>0.12694945785103126</v>
      </c>
      <c r="BS24" s="179">
        <v>17.221</v>
      </c>
      <c r="BT24" s="106">
        <v>4.2</v>
      </c>
      <c r="BU24" s="107">
        <v>1.544</v>
      </c>
      <c r="BV24" s="105">
        <v>2.5369999999999999</v>
      </c>
      <c r="BW24" s="889"/>
      <c r="BX24" s="889"/>
      <c r="CA24" s="100" t="s">
        <v>842</v>
      </c>
      <c r="CB24" s="100" t="s">
        <v>833</v>
      </c>
      <c r="CC24" s="104">
        <v>4.0568238635055875E-2</v>
      </c>
      <c r="CD24" s="100"/>
      <c r="CE24" s="100" t="s">
        <v>843</v>
      </c>
    </row>
    <row r="25" spans="1:83" ht="18.5">
      <c r="A25" s="103" t="s">
        <v>844</v>
      </c>
      <c r="B25" s="103"/>
      <c r="C25" s="103"/>
      <c r="D25" s="103"/>
      <c r="E25" s="103"/>
      <c r="F25" s="110">
        <v>2.512537080057184</v>
      </c>
      <c r="G25" s="110"/>
      <c r="H25" s="1184">
        <v>7.6778000000000004</v>
      </c>
      <c r="I25" s="366"/>
      <c r="J25" s="908">
        <f t="shared" si="23"/>
        <v>8.5048049745619192E-2</v>
      </c>
      <c r="K25" s="367">
        <f t="shared" si="1"/>
        <v>32.724700826502172</v>
      </c>
      <c r="L25" s="367">
        <f t="shared" si="2"/>
        <v>32.724700826502172</v>
      </c>
      <c r="M25" s="108">
        <f t="shared" si="11"/>
        <v>5.9191024275937476E-2</v>
      </c>
      <c r="N25" s="108">
        <f t="shared" si="12"/>
        <v>5.9191024275937476E-2</v>
      </c>
      <c r="O25" s="198">
        <f t="shared" si="20"/>
        <v>3.372748153925742E-2</v>
      </c>
      <c r="P25" s="198">
        <f t="shared" si="26"/>
        <v>4.6663679955561976E-2</v>
      </c>
      <c r="Q25" s="198"/>
      <c r="R25" s="198"/>
      <c r="S25" s="198"/>
      <c r="T25" s="198">
        <f t="shared" si="19"/>
        <v>5.8815285958832897E-2</v>
      </c>
      <c r="U25" s="198">
        <f t="shared" si="13"/>
        <v>5.8815285958832897E-2</v>
      </c>
      <c r="V25" s="198">
        <f t="shared" si="25"/>
        <v>4.6663679955561976E-2</v>
      </c>
      <c r="W25" s="198">
        <f t="shared" si="30"/>
        <v>4.7037956647603574E-2</v>
      </c>
      <c r="X25" s="887">
        <v>56096700</v>
      </c>
      <c r="Y25" s="902">
        <f t="shared" si="3"/>
        <v>44.789391890381864</v>
      </c>
      <c r="Z25" s="902">
        <f t="shared" si="4"/>
        <v>583.36231590275668</v>
      </c>
      <c r="AA25" s="903"/>
      <c r="AB25" s="903"/>
      <c r="AC25" s="889">
        <v>73925</v>
      </c>
      <c r="AD25" s="889">
        <v>26.524000000000001</v>
      </c>
      <c r="AE25" s="889">
        <v>22.053000000000001</v>
      </c>
      <c r="AF25" s="367">
        <f t="shared" si="22"/>
        <v>862413.72170413402</v>
      </c>
      <c r="AG25" s="198">
        <f t="shared" si="27"/>
        <v>3.8105646246015867E-2</v>
      </c>
      <c r="AH25" s="198"/>
      <c r="AI25" s="367">
        <f t="shared" si="14"/>
        <v>309.43066018911668</v>
      </c>
      <c r="AJ25" s="198">
        <f t="shared" si="28"/>
        <v>2.0462340138330148E-2</v>
      </c>
      <c r="AK25" s="198"/>
      <c r="AL25" s="367">
        <f t="shared" si="15"/>
        <v>257.27169164343951</v>
      </c>
      <c r="AM25" s="198">
        <f t="shared" si="29"/>
        <v>1.9773846983599741E-2</v>
      </c>
      <c r="AN25" s="198"/>
      <c r="AO25" s="903">
        <f t="shared" si="5"/>
        <v>15373697.948437858</v>
      </c>
      <c r="AP25" s="903"/>
      <c r="AQ25" s="903">
        <f t="shared" si="6"/>
        <v>5516.0225144993683</v>
      </c>
      <c r="AR25" s="903">
        <f t="shared" si="7"/>
        <v>4586.2179351626655</v>
      </c>
      <c r="AS25" s="889"/>
      <c r="AT25" s="230">
        <v>496569</v>
      </c>
      <c r="AU25" s="108"/>
      <c r="AV25" s="108"/>
      <c r="AW25" s="108"/>
      <c r="AX25" s="108"/>
      <c r="AY25" s="108"/>
      <c r="AZ25" s="198">
        <f t="shared" si="17"/>
        <v>-4.3812894504758115E-2</v>
      </c>
      <c r="BA25" s="198">
        <f t="shared" si="21"/>
        <v>-6.6254294326895113E-3</v>
      </c>
      <c r="BB25" s="198"/>
      <c r="BC25" s="198"/>
      <c r="BD25" s="198" t="s">
        <v>845</v>
      </c>
      <c r="BE25" s="198">
        <f>(AU52/AU43)^(1/(COUNTA(AU44:AU52)))-1</f>
        <v>9.998549543821289E-3</v>
      </c>
      <c r="BF25" s="198">
        <f>(K52/K43)^(1/(COUNTA(K44:K52)))-1</f>
        <v>4.3003097580749605E-2</v>
      </c>
      <c r="BG25" s="252">
        <v>87488684.710918218</v>
      </c>
      <c r="BH25" s="251">
        <f t="shared" si="16"/>
        <v>5.6758082675579446E-3</v>
      </c>
      <c r="BI25" s="252"/>
      <c r="BJ25" s="252"/>
      <c r="BK25" s="198">
        <f t="shared" si="18"/>
        <v>-5.1466947005070818E-2</v>
      </c>
      <c r="BL25" s="198">
        <f t="shared" si="24"/>
        <v>-1.5866535426292683E-2</v>
      </c>
      <c r="BM25" s="177">
        <v>73.843000000000004</v>
      </c>
      <c r="BN25" s="183">
        <f t="shared" si="8"/>
        <v>3.402539279359159E-2</v>
      </c>
      <c r="BO25" s="176">
        <v>28.527000000000001</v>
      </c>
      <c r="BP25" s="184">
        <f t="shared" si="9"/>
        <v>8.8075755601962485E-2</v>
      </c>
      <c r="BQ25" s="184"/>
      <c r="BR25" s="184">
        <v>0.13193326402316655</v>
      </c>
      <c r="BS25" s="179">
        <v>19.044000000000004</v>
      </c>
      <c r="BT25" s="106">
        <v>4.9000000000000004</v>
      </c>
      <c r="BU25" s="107">
        <v>1.726</v>
      </c>
      <c r="BV25" s="105">
        <v>2.8570000000000002</v>
      </c>
      <c r="BW25" s="889"/>
      <c r="BX25" s="889"/>
      <c r="CA25" s="100" t="s">
        <v>846</v>
      </c>
      <c r="CB25" s="100" t="s">
        <v>838</v>
      </c>
      <c r="CC25" s="104">
        <v>6.7621931571772542E-2</v>
      </c>
      <c r="CD25" s="100"/>
      <c r="CE25" s="100" t="s">
        <v>847</v>
      </c>
    </row>
    <row r="26" spans="1:83" ht="18.5">
      <c r="A26" s="103" t="s">
        <v>848</v>
      </c>
      <c r="B26" s="103"/>
      <c r="C26" s="103"/>
      <c r="D26" s="103"/>
      <c r="E26" s="103"/>
      <c r="F26" s="110">
        <v>2.9786512687634028</v>
      </c>
      <c r="G26" s="110"/>
      <c r="H26" s="1184">
        <v>8.3521999999999998</v>
      </c>
      <c r="I26" s="366"/>
      <c r="J26" s="908">
        <f t="shared" si="23"/>
        <v>8.7837661830211688E-2</v>
      </c>
      <c r="K26" s="367">
        <f t="shared" si="1"/>
        <v>35.663074025566949</v>
      </c>
      <c r="L26" s="367">
        <f t="shared" si="2"/>
        <v>35.663074025566949</v>
      </c>
      <c r="M26" s="108">
        <f t="shared" si="11"/>
        <v>8.9790681804648553E-2</v>
      </c>
      <c r="N26" s="108">
        <f t="shared" si="12"/>
        <v>8.9790681804648553E-2</v>
      </c>
      <c r="O26" s="198">
        <f t="shared" si="20"/>
        <v>4.8187125715757562E-2</v>
      </c>
      <c r="P26" s="198">
        <f t="shared" si="26"/>
        <v>4.9692992939590841E-2</v>
      </c>
      <c r="Q26" s="198"/>
      <c r="R26" s="198"/>
      <c r="S26" s="198"/>
      <c r="T26" s="198">
        <f t="shared" si="19"/>
        <v>7.4381919294548737E-2</v>
      </c>
      <c r="U26" s="198">
        <f t="shared" si="13"/>
        <v>7.4381919294548737E-2</v>
      </c>
      <c r="V26" s="198">
        <f t="shared" si="25"/>
        <v>4.9692992939590841E-2</v>
      </c>
      <c r="W26" s="198">
        <f t="shared" si="30"/>
        <v>4.7626523740479376E-2</v>
      </c>
      <c r="X26" s="887">
        <v>56222900</v>
      </c>
      <c r="Y26" s="902">
        <f t="shared" si="3"/>
        <v>52.979324594843078</v>
      </c>
      <c r="Z26" s="902">
        <f t="shared" si="4"/>
        <v>634.31580415750432</v>
      </c>
      <c r="AA26" s="903"/>
      <c r="AB26" s="903"/>
      <c r="AC26" s="889">
        <v>82855</v>
      </c>
      <c r="AD26" s="889">
        <v>29.974</v>
      </c>
      <c r="AE26" s="889">
        <v>24.687999999999999</v>
      </c>
      <c r="AF26" s="367">
        <f t="shared" si="22"/>
        <v>888544.03552357468</v>
      </c>
      <c r="AG26" s="198">
        <f t="shared" si="27"/>
        <v>3.5070677221402446E-2</v>
      </c>
      <c r="AH26" s="198"/>
      <c r="AI26" s="367">
        <f t="shared" si="14"/>
        <v>321.44371396757742</v>
      </c>
      <c r="AJ26" s="198">
        <f t="shared" si="28"/>
        <v>1.0430261980143074E-2</v>
      </c>
      <c r="AK26" s="198"/>
      <c r="AL26" s="367">
        <f t="shared" si="15"/>
        <v>264.75620238978951</v>
      </c>
      <c r="AM26" s="198">
        <f t="shared" si="29"/>
        <v>9.1961127090376404E-3</v>
      </c>
      <c r="AN26" s="198"/>
      <c r="AO26" s="903">
        <f t="shared" si="5"/>
        <v>15803952.402376516</v>
      </c>
      <c r="AP26" s="903"/>
      <c r="AQ26" s="903">
        <f t="shared" si="6"/>
        <v>5717.3093875907762</v>
      </c>
      <c r="AR26" s="903">
        <f t="shared" si="7"/>
        <v>4709.0456449202993</v>
      </c>
      <c r="AS26" s="889"/>
      <c r="AT26" s="229">
        <v>542074</v>
      </c>
      <c r="AU26" s="108"/>
      <c r="AV26" s="108"/>
      <c r="AW26" s="108"/>
      <c r="AX26" s="108"/>
      <c r="AY26" s="108"/>
      <c r="AZ26" s="198">
        <f t="shared" si="17"/>
        <v>9.1638825621414233E-2</v>
      </c>
      <c r="BA26" s="198">
        <f t="shared" si="21"/>
        <v>1.1084761927430353E-2</v>
      </c>
      <c r="BB26" s="198"/>
      <c r="BC26" s="198"/>
      <c r="BD26" s="198" t="s">
        <v>808</v>
      </c>
      <c r="BE26" s="198">
        <f>(AU60/AU53)^(1/(COUNTA(AU54:AU60)))-1</f>
        <v>-8.7209897843093187E-2</v>
      </c>
      <c r="BF26" s="198">
        <f>(K60/K53)^(1/(COUNTA(K54:K60)))-1</f>
        <v>6.712345294644928E-2</v>
      </c>
      <c r="BG26" s="252">
        <v>88077227.877435341</v>
      </c>
      <c r="BH26" s="251">
        <f t="shared" si="16"/>
        <v>6.1545306665910056E-3</v>
      </c>
      <c r="BI26" s="252"/>
      <c r="BJ26" s="252"/>
      <c r="BK26" s="198">
        <f t="shared" si="18"/>
        <v>8.4344357044152662E-2</v>
      </c>
      <c r="BL26" s="198">
        <f t="shared" si="24"/>
        <v>2.2322208768412732E-3</v>
      </c>
      <c r="BM26" s="177">
        <v>82.736999999999995</v>
      </c>
      <c r="BN26" s="183">
        <f t="shared" si="8"/>
        <v>3.6001441540826996E-2</v>
      </c>
      <c r="BO26" s="176">
        <v>33.442</v>
      </c>
      <c r="BP26" s="184">
        <f t="shared" si="9"/>
        <v>8.906917256035532E-2</v>
      </c>
      <c r="BQ26" s="184"/>
      <c r="BR26" s="184">
        <v>0.13231393340278086</v>
      </c>
      <c r="BS26" s="179">
        <v>22.512</v>
      </c>
      <c r="BT26" s="106">
        <v>5.5</v>
      </c>
      <c r="BU26" s="107">
        <v>2.0169999999999999</v>
      </c>
      <c r="BV26" s="105">
        <v>3.4129999999999998</v>
      </c>
      <c r="BW26" s="889"/>
      <c r="BX26" s="889"/>
      <c r="CA26" s="100" t="s">
        <v>849</v>
      </c>
      <c r="CB26" s="100" t="s">
        <v>833</v>
      </c>
      <c r="CC26" s="104">
        <v>3.2025391737992459E-2</v>
      </c>
      <c r="CD26" s="100"/>
      <c r="CE26" s="100" t="s">
        <v>850</v>
      </c>
    </row>
    <row r="27" spans="1:83" ht="18.5">
      <c r="A27" s="103" t="s">
        <v>851</v>
      </c>
      <c r="B27" s="103"/>
      <c r="C27" s="103"/>
      <c r="D27" s="103"/>
      <c r="E27" s="103"/>
      <c r="F27" s="110">
        <v>3.9210494102930671</v>
      </c>
      <c r="G27" s="110"/>
      <c r="H27" s="1184">
        <v>10.049799999999999</v>
      </c>
      <c r="I27" s="366"/>
      <c r="J27" s="908">
        <f t="shared" si="23"/>
        <v>0.20325183783913214</v>
      </c>
      <c r="K27" s="367">
        <f t="shared" si="1"/>
        <v>39.016193459502354</v>
      </c>
      <c r="L27" s="367">
        <f t="shared" si="2"/>
        <v>39.016193459502354</v>
      </c>
      <c r="M27" s="108">
        <f t="shared" si="11"/>
        <v>9.4022165098037958E-2</v>
      </c>
      <c r="N27" s="108">
        <f t="shared" si="12"/>
        <v>9.4022165098037958E-2</v>
      </c>
      <c r="O27" s="1245">
        <f t="shared" si="20"/>
        <v>6.7712786916536372E-2</v>
      </c>
      <c r="P27" s="198">
        <f t="shared" si="26"/>
        <v>5.3112130823741444E-2</v>
      </c>
      <c r="Q27" s="198"/>
      <c r="R27" s="198"/>
      <c r="S27" s="198"/>
      <c r="T27" s="198">
        <f t="shared" si="19"/>
        <v>9.1904373657138771E-2</v>
      </c>
      <c r="U27" s="198">
        <f t="shared" si="13"/>
        <v>9.1904373657138771E-2</v>
      </c>
      <c r="V27" s="198">
        <f t="shared" si="25"/>
        <v>5.3112130823741444E-2</v>
      </c>
      <c r="W27" s="198">
        <f t="shared" si="30"/>
        <v>4.9768837205014904E-2</v>
      </c>
      <c r="X27" s="887">
        <v>56235600</v>
      </c>
      <c r="Y27" s="902">
        <f t="shared" si="3"/>
        <v>69.725394772938614</v>
      </c>
      <c r="Z27" s="902">
        <f t="shared" si="4"/>
        <v>693.79882955818664</v>
      </c>
      <c r="AA27" s="903"/>
      <c r="AB27" s="903"/>
      <c r="AC27" s="889">
        <v>98182</v>
      </c>
      <c r="AD27" s="889">
        <v>38.302999999999997</v>
      </c>
      <c r="AE27" s="889">
        <v>31.902000000000001</v>
      </c>
      <c r="AF27" s="367">
        <f t="shared" si="22"/>
        <v>875055.45238711208</v>
      </c>
      <c r="AG27" s="198">
        <f t="shared" si="27"/>
        <v>2.8437165569660028E-2</v>
      </c>
      <c r="AH27" s="198"/>
      <c r="AI27" s="367">
        <f t="shared" si="14"/>
        <v>341.37875570658122</v>
      </c>
      <c r="AJ27" s="198">
        <f t="shared" si="28"/>
        <v>1.4084014251351196E-2</v>
      </c>
      <c r="AK27" s="198"/>
      <c r="AL27" s="367">
        <f t="shared" si="15"/>
        <v>284.32929704073717</v>
      </c>
      <c r="AM27" s="198">
        <f t="shared" si="29"/>
        <v>1.2489024198676812E-2</v>
      </c>
      <c r="AN27" s="198"/>
      <c r="AO27" s="903">
        <f t="shared" si="5"/>
        <v>15560524.870137637</v>
      </c>
      <c r="AP27" s="903"/>
      <c r="AQ27" s="903">
        <f t="shared" si="6"/>
        <v>6070.5097074910063</v>
      </c>
      <c r="AR27" s="903">
        <f t="shared" si="7"/>
        <v>5056.0374040774386</v>
      </c>
      <c r="AS27" s="889"/>
      <c r="AT27" s="228">
        <v>508390</v>
      </c>
      <c r="AU27" s="108"/>
      <c r="AV27" s="108"/>
      <c r="AW27" s="108"/>
      <c r="AX27" s="108"/>
      <c r="AY27" s="108"/>
      <c r="AZ27" s="198">
        <f t="shared" si="17"/>
        <v>-6.2139117537457933E-2</v>
      </c>
      <c r="BA27" s="198">
        <f t="shared" si="21"/>
        <v>-2.6344913826836791E-3</v>
      </c>
      <c r="BB27" s="198"/>
      <c r="BC27" s="198"/>
      <c r="BD27" s="198" t="s">
        <v>811</v>
      </c>
      <c r="BE27" s="198">
        <f>(AV72/AV63)^(1/(COUNTA(AV64:AV72)))-1</f>
        <v>6.2463556181038937E-2</v>
      </c>
      <c r="BF27" s="198">
        <f>(K72/K63)^(1/(COUNTA(K64:K72)))-1</f>
        <v>1.7694540340416065E-2</v>
      </c>
      <c r="BG27" s="252">
        <v>88475284.841668338</v>
      </c>
      <c r="BH27" s="251">
        <f t="shared" si="16"/>
        <v>5.7461244788281091E-3</v>
      </c>
      <c r="BI27" s="252"/>
      <c r="BJ27" s="252"/>
      <c r="BK27" s="198">
        <f t="shared" si="18"/>
        <v>-6.6358624221318996E-2</v>
      </c>
      <c r="BL27" s="198">
        <f t="shared" si="24"/>
        <v>-1.0305633808533221E-2</v>
      </c>
      <c r="BM27" s="177">
        <v>98.039000000000001</v>
      </c>
      <c r="BN27" s="183">
        <f t="shared" si="8"/>
        <v>3.9994791973531625E-2</v>
      </c>
      <c r="BO27" s="176">
        <v>43.868000000000002</v>
      </c>
      <c r="BP27" s="184">
        <f t="shared" si="9"/>
        <v>8.9382908048989393E-2</v>
      </c>
      <c r="BQ27" s="184"/>
      <c r="BR27" s="184">
        <v>0.12901159511377838</v>
      </c>
      <c r="BS27" s="179">
        <v>30.393000000000004</v>
      </c>
      <c r="BT27" s="106">
        <v>6.8</v>
      </c>
      <c r="BU27" s="107">
        <v>2.3719999999999999</v>
      </c>
      <c r="BV27" s="105">
        <v>4.3029999999999999</v>
      </c>
      <c r="BW27" s="889"/>
      <c r="BX27" s="889"/>
      <c r="CA27" s="100" t="s">
        <v>852</v>
      </c>
      <c r="CB27" s="100" t="s">
        <v>853</v>
      </c>
      <c r="CC27" s="104">
        <v>3.3379854410654719E-2</v>
      </c>
      <c r="CD27" s="100"/>
      <c r="CE27" s="100" t="s">
        <v>854</v>
      </c>
    </row>
    <row r="28" spans="1:83" ht="18.5">
      <c r="A28" s="103" t="s">
        <v>855</v>
      </c>
      <c r="B28" s="103"/>
      <c r="C28" s="103"/>
      <c r="D28" s="103"/>
      <c r="E28" s="103"/>
      <c r="F28" s="110">
        <v>5.0785864903502507</v>
      </c>
      <c r="G28" s="110"/>
      <c r="H28" s="1184">
        <v>12.5077</v>
      </c>
      <c r="I28" s="366"/>
      <c r="J28" s="908">
        <f t="shared" si="23"/>
        <v>0.24457203128420479</v>
      </c>
      <c r="K28" s="367">
        <f t="shared" si="1"/>
        <v>40.60368005588758</v>
      </c>
      <c r="L28" s="367">
        <f t="shared" si="2"/>
        <v>40.60368005588758</v>
      </c>
      <c r="M28" s="108">
        <f t="shared" si="11"/>
        <v>4.0687890222632639E-2</v>
      </c>
      <c r="N28" s="108">
        <f t="shared" si="12"/>
        <v>4.0687890222632639E-2</v>
      </c>
      <c r="O28" s="198">
        <f t="shared" si="20"/>
        <v>6.8233081939604645E-2</v>
      </c>
      <c r="P28" s="198">
        <f t="shared" si="26"/>
        <v>4.9652930572358978E-2</v>
      </c>
      <c r="Q28" s="198"/>
      <c r="R28" s="198"/>
      <c r="S28" s="198"/>
      <c r="T28" s="198">
        <f t="shared" si="19"/>
        <v>6.7021845536760161E-2</v>
      </c>
      <c r="U28" s="198">
        <f t="shared" si="13"/>
        <v>6.7021845536760161E-2</v>
      </c>
      <c r="V28" s="198">
        <f t="shared" si="25"/>
        <v>4.9652930572358978E-2</v>
      </c>
      <c r="W28" s="198">
        <f t="shared" si="30"/>
        <v>5.0493262155065333E-2</v>
      </c>
      <c r="X28" s="887">
        <v>56225700</v>
      </c>
      <c r="Y28" s="902">
        <f t="shared" si="3"/>
        <v>90.325002451730256</v>
      </c>
      <c r="Z28" s="902">
        <f t="shared" si="4"/>
        <v>722.15517202787305</v>
      </c>
      <c r="AA28" s="903"/>
      <c r="AB28" s="903"/>
      <c r="AC28" s="889">
        <v>120844</v>
      </c>
      <c r="AD28" s="889">
        <v>48.481999999999999</v>
      </c>
      <c r="AE28" s="889">
        <v>40.305999999999997</v>
      </c>
      <c r="AF28" s="367">
        <f t="shared" si="22"/>
        <v>865383.78972952662</v>
      </c>
      <c r="AG28" s="198">
        <f t="shared" si="27"/>
        <v>1.9448107952917626E-2</v>
      </c>
      <c r="AH28" s="198"/>
      <c r="AI28" s="367">
        <f t="shared" si="14"/>
        <v>347.18758807774407</v>
      </c>
      <c r="AJ28" s="198">
        <f t="shared" si="28"/>
        <v>1.9811007863648866E-2</v>
      </c>
      <c r="AK28" s="198"/>
      <c r="AL28" s="367">
        <f t="shared" si="15"/>
        <v>288.63790530633128</v>
      </c>
      <c r="AM28" s="198">
        <f t="shared" si="29"/>
        <v>1.7299073409777543E-2</v>
      </c>
      <c r="AN28" s="198"/>
      <c r="AO28" s="903">
        <f t="shared" si="5"/>
        <v>15391249.726184407</v>
      </c>
      <c r="AP28" s="903"/>
      <c r="AQ28" s="903">
        <f t="shared" si="6"/>
        <v>6174.8913411081421</v>
      </c>
      <c r="AR28" s="903">
        <f t="shared" si="7"/>
        <v>5133.5582359371483</v>
      </c>
      <c r="AS28" s="889"/>
      <c r="AT28" s="227">
        <v>532613</v>
      </c>
      <c r="AU28" s="108"/>
      <c r="AV28" s="108"/>
      <c r="AW28" s="108"/>
      <c r="AX28" s="108"/>
      <c r="AY28" s="108"/>
      <c r="AZ28" s="198">
        <f t="shared" si="17"/>
        <v>4.7646491866480511E-2</v>
      </c>
      <c r="BA28" s="198">
        <f t="shared" si="21"/>
        <v>-2.6350037285450822E-3</v>
      </c>
      <c r="BB28" s="198"/>
      <c r="BC28" s="198"/>
      <c r="BD28" s="198"/>
      <c r="BE28" s="198"/>
      <c r="BF28" s="198"/>
      <c r="BG28" s="252">
        <v>88832447.724129558</v>
      </c>
      <c r="BH28" s="251">
        <f t="shared" si="16"/>
        <v>5.9957033003755263E-3</v>
      </c>
      <c r="BI28" s="252"/>
      <c r="BJ28" s="252"/>
      <c r="BK28" s="198">
        <f t="shared" si="18"/>
        <v>4.3434287312605679E-2</v>
      </c>
      <c r="BL28" s="198">
        <f t="shared" si="24"/>
        <v>-9.4291568946998083E-3</v>
      </c>
      <c r="BM28" s="177">
        <v>120.68</v>
      </c>
      <c r="BN28" s="183">
        <f t="shared" si="8"/>
        <v>4.2083083280993125E-2</v>
      </c>
      <c r="BO28" s="176">
        <v>56.097999999999999</v>
      </c>
      <c r="BP28" s="184">
        <f t="shared" si="9"/>
        <v>9.0530615892727914E-2</v>
      </c>
      <c r="BQ28" s="184"/>
      <c r="BR28" s="184">
        <v>0.13249292975268714</v>
      </c>
      <c r="BS28" s="179">
        <v>38.330999999999996</v>
      </c>
      <c r="BT28" s="106">
        <v>9.1999999999999993</v>
      </c>
      <c r="BU28" s="107">
        <v>3.109</v>
      </c>
      <c r="BV28" s="105">
        <v>5.4580000000000002</v>
      </c>
      <c r="BW28" s="889"/>
      <c r="BX28" s="889"/>
      <c r="CA28" s="100" t="s">
        <v>856</v>
      </c>
      <c r="CB28" s="100" t="s">
        <v>833</v>
      </c>
      <c r="CC28" s="104">
        <v>5.9988361792694178E-2</v>
      </c>
      <c r="CD28" s="100"/>
      <c r="CE28" s="100" t="s">
        <v>857</v>
      </c>
    </row>
    <row r="29" spans="1:83" ht="18.5">
      <c r="A29" s="103" t="s">
        <v>858</v>
      </c>
      <c r="B29" s="103"/>
      <c r="C29" s="103"/>
      <c r="D29" s="103"/>
      <c r="E29" s="103"/>
      <c r="F29" s="110">
        <v>5.9014899035025019</v>
      </c>
      <c r="G29" s="110"/>
      <c r="H29" s="1184">
        <v>14.2524</v>
      </c>
      <c r="I29" s="366"/>
      <c r="J29" s="908">
        <f t="shared" si="23"/>
        <v>0.13949007411434566</v>
      </c>
      <c r="K29" s="367">
        <f t="shared" si="1"/>
        <v>41.406990426191392</v>
      </c>
      <c r="L29" s="367">
        <f t="shared" si="2"/>
        <v>41.406990426191392</v>
      </c>
      <c r="M29" s="108">
        <f t="shared" si="11"/>
        <v>1.978417643913355E-2</v>
      </c>
      <c r="N29" s="108">
        <f t="shared" si="12"/>
        <v>1.978417643913355E-2</v>
      </c>
      <c r="O29" s="198">
        <f t="shared" si="20"/>
        <v>6.031389958538691E-2</v>
      </c>
      <c r="P29" s="198">
        <f t="shared" si="26"/>
        <v>4.6731864971849779E-2</v>
      </c>
      <c r="Q29" s="198"/>
      <c r="R29" s="198"/>
      <c r="S29" s="198"/>
      <c r="T29" s="198">
        <f t="shared" si="19"/>
        <v>3.0183014352725079E-2</v>
      </c>
      <c r="U29" s="198">
        <f t="shared" si="13"/>
        <v>3.0183014352725079E-2</v>
      </c>
      <c r="V29" s="198">
        <f t="shared" si="25"/>
        <v>4.6731864971849779E-2</v>
      </c>
      <c r="W29" s="198">
        <f t="shared" si="30"/>
        <v>5.0625223050553059E-2</v>
      </c>
      <c r="X29" s="887">
        <v>56216100</v>
      </c>
      <c r="Y29" s="902">
        <f t="shared" si="3"/>
        <v>104.97864319122993</v>
      </c>
      <c r="Z29" s="902">
        <f t="shared" si="4"/>
        <v>736.56817933281377</v>
      </c>
      <c r="AA29" s="903"/>
      <c r="AB29" s="903"/>
      <c r="AC29" s="889">
        <v>142077</v>
      </c>
      <c r="AD29" s="889">
        <v>57.128</v>
      </c>
      <c r="AE29" s="889">
        <v>46.542999999999999</v>
      </c>
      <c r="AF29" s="367">
        <f t="shared" si="22"/>
        <v>892887.81306306308</v>
      </c>
      <c r="AG29" s="198">
        <f t="shared" si="27"/>
        <v>1.7822007521262284E-2</v>
      </c>
      <c r="AH29" s="198"/>
      <c r="AI29" s="367">
        <f t="shared" si="14"/>
        <v>359.02288888888887</v>
      </c>
      <c r="AJ29" s="198">
        <f t="shared" si="28"/>
        <v>2.7376217095855138E-2</v>
      </c>
      <c r="AK29" s="198"/>
      <c r="AL29" s="367">
        <f t="shared" si="15"/>
        <v>292.50109084084085</v>
      </c>
      <c r="AM29" s="198">
        <f t="shared" si="29"/>
        <v>2.2170181509013176E-2</v>
      </c>
      <c r="AN29" s="198"/>
      <c r="AO29" s="903">
        <f t="shared" si="5"/>
        <v>15883133.3561571</v>
      </c>
      <c r="AP29" s="903"/>
      <c r="AQ29" s="903">
        <f t="shared" si="6"/>
        <v>6386.4780532425557</v>
      </c>
      <c r="AR29" s="903">
        <f t="shared" si="7"/>
        <v>5203.1551609030303</v>
      </c>
      <c r="AS29" s="889"/>
      <c r="AT29" s="226">
        <v>583851</v>
      </c>
      <c r="AU29" s="108"/>
      <c r="AV29" s="108"/>
      <c r="AW29" s="108"/>
      <c r="AX29" s="108"/>
      <c r="AY29" s="108"/>
      <c r="AZ29" s="198">
        <f t="shared" si="17"/>
        <v>9.6201181721061957E-2</v>
      </c>
      <c r="BA29" s="198">
        <f t="shared" si="21"/>
        <v>2.3700844326887571E-2</v>
      </c>
      <c r="BB29" s="198"/>
      <c r="BC29" s="198"/>
      <c r="BD29" s="198"/>
      <c r="BE29" s="198"/>
      <c r="BF29" s="198"/>
      <c r="BG29" s="252">
        <v>89105643.599397272</v>
      </c>
      <c r="BH29" s="251">
        <f t="shared" si="16"/>
        <v>6.5523459167736633E-3</v>
      </c>
      <c r="BI29" s="252"/>
      <c r="BJ29" s="252"/>
      <c r="BK29" s="198">
        <f t="shared" si="18"/>
        <v>9.2840253846996124E-2</v>
      </c>
      <c r="BL29" s="198">
        <f t="shared" si="24"/>
        <v>1.8320094920597496E-2</v>
      </c>
      <c r="BM29" s="177">
        <v>141.863</v>
      </c>
      <c r="BN29" s="183">
        <f t="shared" si="8"/>
        <v>4.1599923189996703E-2</v>
      </c>
      <c r="BO29" s="176">
        <v>64.097999999999999</v>
      </c>
      <c r="BP29" s="184">
        <f t="shared" si="9"/>
        <v>9.2069797864246961E-2</v>
      </c>
      <c r="BQ29" s="184"/>
      <c r="BR29" s="184">
        <v>0.13857816896403752</v>
      </c>
      <c r="BS29" s="179">
        <v>42.585999999999999</v>
      </c>
      <c r="BT29" s="106">
        <v>11</v>
      </c>
      <c r="BU29" s="107">
        <v>4.0789999999999997</v>
      </c>
      <c r="BV29" s="105">
        <v>6.4329999999999998</v>
      </c>
      <c r="BW29" s="889"/>
      <c r="BX29" s="889"/>
      <c r="CA29" s="100" t="s">
        <v>859</v>
      </c>
      <c r="CB29" s="100" t="s">
        <v>860</v>
      </c>
      <c r="CC29" s="104">
        <v>1.0970363879138523E-2</v>
      </c>
      <c r="CD29" s="100"/>
      <c r="CE29" s="100"/>
    </row>
    <row r="30" spans="1:83" ht="18.5">
      <c r="A30" s="103" t="s">
        <v>861</v>
      </c>
      <c r="B30" s="103"/>
      <c r="C30" s="103"/>
      <c r="D30" s="103"/>
      <c r="E30" s="103"/>
      <c r="F30" s="110">
        <v>6.5898255450321663</v>
      </c>
      <c r="G30" s="110"/>
      <c r="H30" s="1184">
        <v>16.210599999999999</v>
      </c>
      <c r="I30" s="366"/>
      <c r="J30" s="908">
        <f t="shared" si="23"/>
        <v>0.13739440374954381</v>
      </c>
      <c r="K30" s="367">
        <f t="shared" si="1"/>
        <v>40.651336440552271</v>
      </c>
      <c r="L30" s="367">
        <f t="shared" si="2"/>
        <v>40.651336440552271</v>
      </c>
      <c r="M30" s="108">
        <f t="shared" si="11"/>
        <v>-1.824943029815429E-2</v>
      </c>
      <c r="N30" s="108">
        <f t="shared" si="12"/>
        <v>-1.824943029815429E-2</v>
      </c>
      <c r="O30" s="198">
        <f t="shared" si="20"/>
        <v>4.4334988812501752E-2</v>
      </c>
      <c r="P30" s="198">
        <f t="shared" si="26"/>
        <v>3.9017698534763223E-2</v>
      </c>
      <c r="Q30" s="198"/>
      <c r="R30" s="198"/>
      <c r="S30" s="198"/>
      <c r="T30" s="198">
        <f t="shared" si="19"/>
        <v>5.8667600165795974E-4</v>
      </c>
      <c r="U30" s="198">
        <f t="shared" si="13"/>
        <v>5.8667600165795974E-4</v>
      </c>
      <c r="V30" s="198">
        <f t="shared" si="25"/>
        <v>3.9017698534763223E-2</v>
      </c>
      <c r="W30" s="198">
        <f t="shared" si="30"/>
        <v>4.4974385968998609E-2</v>
      </c>
      <c r="X30" s="887">
        <v>56189900</v>
      </c>
      <c r="Y30" s="902">
        <f t="shared" si="3"/>
        <v>117.2777589038629</v>
      </c>
      <c r="Z30" s="902">
        <f t="shared" si="4"/>
        <v>723.46340606678905</v>
      </c>
      <c r="AA30" s="903"/>
      <c r="AB30" s="903"/>
      <c r="AC30" s="889">
        <v>166100</v>
      </c>
      <c r="AD30" s="889">
        <v>63.759</v>
      </c>
      <c r="AE30" s="889">
        <v>52.515999999999998</v>
      </c>
      <c r="AF30" s="367">
        <f t="shared" si="22"/>
        <v>917765.36155355128</v>
      </c>
      <c r="AG30" s="198">
        <f t="shared" si="27"/>
        <v>1.251904518784186E-2</v>
      </c>
      <c r="AH30" s="198"/>
      <c r="AI30" s="367">
        <f t="shared" si="14"/>
        <v>352.29260498069164</v>
      </c>
      <c r="AJ30" s="198">
        <f t="shared" si="28"/>
        <v>2.6285130504391185E-2</v>
      </c>
      <c r="AK30" s="198"/>
      <c r="AL30" s="367">
        <f t="shared" si="15"/>
        <v>290.17077499907464</v>
      </c>
      <c r="AM30" s="198">
        <f t="shared" si="29"/>
        <v>2.435934438546572E-2</v>
      </c>
      <c r="AN30" s="198"/>
      <c r="AO30" s="903">
        <f t="shared" si="5"/>
        <v>16333279.851958292</v>
      </c>
      <c r="AP30" s="903"/>
      <c r="AQ30" s="903">
        <f t="shared" si="6"/>
        <v>6269.6784472065556</v>
      </c>
      <c r="AR30" s="903">
        <f t="shared" si="7"/>
        <v>5164.10911923806</v>
      </c>
      <c r="AS30" s="889"/>
      <c r="AT30" s="1723">
        <v>595490</v>
      </c>
      <c r="AU30" s="108"/>
      <c r="AV30" s="108"/>
      <c r="AW30" s="108"/>
      <c r="AX30" s="108"/>
      <c r="AY30" s="108"/>
      <c r="AZ30" s="198">
        <f t="shared" si="17"/>
        <v>1.9934880645918307E-2</v>
      </c>
      <c r="BA30" s="198">
        <f t="shared" si="21"/>
        <v>3.7000519156983547E-2</v>
      </c>
      <c r="BB30" s="198"/>
      <c r="BC30" s="198"/>
      <c r="BD30" s="198"/>
      <c r="BE30" s="198"/>
      <c r="BF30" s="198"/>
      <c r="BG30" s="252">
        <v>89290894.417993218</v>
      </c>
      <c r="BH30" s="251">
        <f t="shared" si="16"/>
        <v>6.6691010755515669E-3</v>
      </c>
      <c r="BI30" s="252"/>
      <c r="BJ30" s="252"/>
      <c r="BK30" s="198">
        <f t="shared" si="18"/>
        <v>1.7818833172256188E-2</v>
      </c>
      <c r="BL30" s="198">
        <f t="shared" si="24"/>
        <v>3.2780231898285495E-2</v>
      </c>
      <c r="BM30" s="177">
        <v>165.822</v>
      </c>
      <c r="BN30" s="183">
        <f t="shared" si="8"/>
        <v>3.974035740150382E-2</v>
      </c>
      <c r="BO30" s="176">
        <v>70.168000000000006</v>
      </c>
      <c r="BP30" s="184">
        <f t="shared" si="9"/>
        <v>9.3914969003422721E-2</v>
      </c>
      <c r="BQ30" s="184"/>
      <c r="BR30" s="184">
        <v>0.14682884839981653</v>
      </c>
      <c r="BS30" s="179">
        <v>44.881000000000007</v>
      </c>
      <c r="BT30" s="106">
        <v>13</v>
      </c>
      <c r="BU30" s="107">
        <v>4.907</v>
      </c>
      <c r="BV30" s="105">
        <v>7.38</v>
      </c>
      <c r="BW30" s="889"/>
      <c r="BX30" s="889"/>
      <c r="CA30" s="100" t="s">
        <v>862</v>
      </c>
      <c r="CB30" s="100" t="s">
        <v>853</v>
      </c>
      <c r="CC30" s="104">
        <v>1.5843735914283563E-2</v>
      </c>
      <c r="CD30" s="100"/>
      <c r="CE30" s="100"/>
    </row>
    <row r="31" spans="1:83" ht="18.5">
      <c r="A31" s="103" t="s">
        <v>863</v>
      </c>
      <c r="B31" s="103"/>
      <c r="C31" s="103"/>
      <c r="D31" s="103"/>
      <c r="E31" s="103"/>
      <c r="F31" s="110">
        <v>7.5062544674767704</v>
      </c>
      <c r="G31" s="110"/>
      <c r="H31" s="1184">
        <v>18.035799999999998</v>
      </c>
      <c r="I31" s="366"/>
      <c r="J31" s="908">
        <f t="shared" si="23"/>
        <v>0.11259299470716688</v>
      </c>
      <c r="K31" s="367">
        <f t="shared" si="1"/>
        <v>41.618638859805337</v>
      </c>
      <c r="L31" s="367">
        <f t="shared" si="2"/>
        <v>41.618638859805337</v>
      </c>
      <c r="M31" s="108">
        <f t="shared" si="11"/>
        <v>2.3795095166615932E-2</v>
      </c>
      <c r="N31" s="108">
        <f t="shared" si="12"/>
        <v>2.3795095166615932E-2</v>
      </c>
      <c r="O31" s="198">
        <f t="shared" si="20"/>
        <v>3.1368396490156547E-2</v>
      </c>
      <c r="P31" s="198">
        <f t="shared" si="26"/>
        <v>3.9743754523722474E-2</v>
      </c>
      <c r="Q31" s="198"/>
      <c r="R31" s="198"/>
      <c r="S31" s="198"/>
      <c r="T31" s="198">
        <f t="shared" si="19"/>
        <v>2.5524514646506624E-3</v>
      </c>
      <c r="U31" s="198">
        <f t="shared" si="13"/>
        <v>2.5524514646506624E-3</v>
      </c>
      <c r="V31" s="198">
        <f t="shared" si="25"/>
        <v>3.9743754523722474E-2</v>
      </c>
      <c r="W31" s="198">
        <f t="shared" si="30"/>
        <v>4.2452719143773132E-2</v>
      </c>
      <c r="X31" s="887">
        <v>56178000</v>
      </c>
      <c r="Y31" s="902">
        <f t="shared" si="3"/>
        <v>133.61555177252254</v>
      </c>
      <c r="Z31" s="902">
        <f t="shared" si="4"/>
        <v>740.83518209628926</v>
      </c>
      <c r="AA31" s="903"/>
      <c r="AB31" s="903"/>
      <c r="AC31" s="889">
        <v>192358</v>
      </c>
      <c r="AD31" s="889">
        <v>70.983999999999995</v>
      </c>
      <c r="AE31" s="889">
        <v>58.432000000000002</v>
      </c>
      <c r="AF31" s="367">
        <f t="shared" si="22"/>
        <v>955291.60628305934</v>
      </c>
      <c r="AG31" s="198">
        <f t="shared" si="27"/>
        <v>1.4591924221784902E-2</v>
      </c>
      <c r="AH31" s="198"/>
      <c r="AI31" s="367">
        <f t="shared" si="14"/>
        <v>352.52196103305647</v>
      </c>
      <c r="AJ31" s="198">
        <f t="shared" si="28"/>
        <v>1.8629496764339004E-2</v>
      </c>
      <c r="AK31" s="198"/>
      <c r="AL31" s="367">
        <f t="shared" si="15"/>
        <v>290.18600286097654</v>
      </c>
      <c r="AM31" s="198">
        <f t="shared" si="29"/>
        <v>1.8511796656693003E-2</v>
      </c>
      <c r="AN31" s="198"/>
      <c r="AO31" s="903">
        <f t="shared" si="5"/>
        <v>17004727.941241398</v>
      </c>
      <c r="AP31" s="903"/>
      <c r="AQ31" s="903">
        <f t="shared" si="6"/>
        <v>6275.0891992071001</v>
      </c>
      <c r="AR31" s="903">
        <f t="shared" si="7"/>
        <v>5165.4740799063075</v>
      </c>
      <c r="AS31" s="889"/>
      <c r="AT31" s="225">
        <v>603240</v>
      </c>
      <c r="AU31" s="108"/>
      <c r="AV31" s="108"/>
      <c r="AW31" s="108"/>
      <c r="AX31" s="108"/>
      <c r="AY31" s="108"/>
      <c r="AZ31" s="198">
        <f t="shared" si="17"/>
        <v>1.3014492266872679E-2</v>
      </c>
      <c r="BA31" s="198">
        <f t="shared" si="21"/>
        <v>2.1612765038382831E-2</v>
      </c>
      <c r="BB31" s="198"/>
      <c r="BC31" s="198"/>
      <c r="BD31" s="198"/>
      <c r="BE31" s="198"/>
      <c r="BF31" s="198"/>
      <c r="BG31" s="252">
        <v>89570299.808875725</v>
      </c>
      <c r="BH31" s="251">
        <f t="shared" si="16"/>
        <v>6.7348217130810987E-3</v>
      </c>
      <c r="BI31" s="252"/>
      <c r="BJ31" s="252"/>
      <c r="BK31" s="198">
        <f t="shared" si="18"/>
        <v>9.8544971481178134E-3</v>
      </c>
      <c r="BL31" s="198">
        <f t="shared" si="24"/>
        <v>1.8183916849807913E-2</v>
      </c>
      <c r="BM31" s="177">
        <v>192.02600000000001</v>
      </c>
      <c r="BN31" s="183">
        <f t="shared" si="8"/>
        <v>3.9089781943470001E-2</v>
      </c>
      <c r="BO31" s="176">
        <v>79.703999999999994</v>
      </c>
      <c r="BP31" s="184">
        <f t="shared" si="9"/>
        <v>9.4176634390705241E-2</v>
      </c>
      <c r="BQ31" s="184"/>
      <c r="BR31" s="184">
        <v>0.15055265890081374</v>
      </c>
      <c r="BS31" s="179">
        <v>49.857999999999997</v>
      </c>
      <c r="BT31" s="106">
        <v>15.6</v>
      </c>
      <c r="BU31" s="107">
        <v>5.8559999999999999</v>
      </c>
      <c r="BV31" s="105">
        <v>8.39</v>
      </c>
      <c r="BW31" s="889"/>
      <c r="BX31" s="889"/>
      <c r="CA31" s="100" t="s">
        <v>864</v>
      </c>
      <c r="CB31" s="100" t="s">
        <v>865</v>
      </c>
      <c r="CC31" s="104">
        <v>1.2360365323941469E-2</v>
      </c>
      <c r="CD31" s="100"/>
      <c r="CE31" s="100" t="s">
        <v>866</v>
      </c>
    </row>
    <row r="32" spans="1:83" s="1316" customFormat="1" ht="18.5">
      <c r="A32" s="1289" t="s">
        <v>343</v>
      </c>
      <c r="B32" s="1290"/>
      <c r="C32" s="1290"/>
      <c r="D32" s="1289"/>
      <c r="E32" s="1289"/>
      <c r="F32" s="1291">
        <v>8.9555669228020029</v>
      </c>
      <c r="G32" s="1291"/>
      <c r="H32" s="1292">
        <v>21.0793</v>
      </c>
      <c r="I32" s="1293"/>
      <c r="J32" s="1294">
        <f t="shared" si="23"/>
        <v>0.16874771288215662</v>
      </c>
      <c r="K32" s="1295">
        <f t="shared" si="1"/>
        <v>42.485124851404002</v>
      </c>
      <c r="L32" s="1295">
        <f t="shared" si="2"/>
        <v>42.485124851404002</v>
      </c>
      <c r="M32" s="1296">
        <f t="shared" si="11"/>
        <v>2.0819661943233481E-2</v>
      </c>
      <c r="N32" s="1296">
        <f t="shared" si="12"/>
        <v>2.0819661943233481E-2</v>
      </c>
      <c r="O32" s="1297">
        <f t="shared" si="20"/>
        <v>1.7181377573564305E-2</v>
      </c>
      <c r="P32" s="1297">
        <f>((L32/L22)^(1/COUNT(L23:L32)))-1</f>
        <v>4.2140855858108894E-2</v>
      </c>
      <c r="Q32" s="1298"/>
      <c r="R32" s="1298"/>
      <c r="S32" s="1298"/>
      <c r="T32" s="1298">
        <f t="shared" si="19"/>
        <v>2.2306296051787688E-2</v>
      </c>
      <c r="U32" s="1298">
        <f t="shared" si="13"/>
        <v>2.2306296051787688E-2</v>
      </c>
      <c r="V32" s="1299">
        <f t="shared" si="25"/>
        <v>4.2140855858108894E-2</v>
      </c>
      <c r="W32" s="1298">
        <f t="shared" si="30"/>
        <v>3.8574765669896482E-2</v>
      </c>
      <c r="X32" s="1300">
        <v>56240100</v>
      </c>
      <c r="Y32" s="1301">
        <f t="shared" si="3"/>
        <v>159.23810453398917</v>
      </c>
      <c r="Z32" s="1301">
        <f t="shared" si="4"/>
        <v>755.42406310451088</v>
      </c>
      <c r="AA32" s="1302"/>
      <c r="AB32" s="1302"/>
      <c r="AC32" s="1303">
        <v>232592</v>
      </c>
      <c r="AD32" s="1303">
        <v>86.677000000000007</v>
      </c>
      <c r="AE32" s="1303">
        <v>72.543000000000006</v>
      </c>
      <c r="AF32" s="1295">
        <f t="shared" si="22"/>
        <v>988324.8334811877</v>
      </c>
      <c r="AG32" s="1298">
        <f t="shared" si="27"/>
        <v>2.4643587701683511E-2</v>
      </c>
      <c r="AH32" s="1298"/>
      <c r="AI32" s="1295">
        <f t="shared" si="14"/>
        <v>368.30601048896318</v>
      </c>
      <c r="AJ32" s="1298">
        <f t="shared" si="28"/>
        <v>1.5300179667936176E-2</v>
      </c>
      <c r="AK32" s="1298"/>
      <c r="AL32" s="1295">
        <f t="shared" si="15"/>
        <v>308.24812717215474</v>
      </c>
      <c r="AM32" s="1298">
        <f t="shared" si="29"/>
        <v>1.6285588450532629E-2</v>
      </c>
      <c r="AN32" s="1298"/>
      <c r="AO32" s="1302">
        <f t="shared" si="5"/>
        <v>17573312.164828792</v>
      </c>
      <c r="AP32" s="1302"/>
      <c r="AQ32" s="1302">
        <f t="shared" si="6"/>
        <v>6548.8150001327022</v>
      </c>
      <c r="AR32" s="1302">
        <f t="shared" si="7"/>
        <v>5480.9313492002102</v>
      </c>
      <c r="AS32" s="1303"/>
      <c r="AT32" s="1304">
        <v>752422</v>
      </c>
      <c r="AU32" s="1296"/>
      <c r="AV32" s="1296"/>
      <c r="AW32" s="1296"/>
      <c r="AX32" s="1296"/>
      <c r="AY32" s="1296"/>
      <c r="AZ32" s="1298">
        <f t="shared" si="17"/>
        <v>0.24730123997082432</v>
      </c>
      <c r="BA32" s="1298">
        <f t="shared" si="21"/>
        <v>8.1565678275046682E-2</v>
      </c>
      <c r="BB32" s="1298"/>
      <c r="BC32" s="1298"/>
      <c r="BD32" s="1298"/>
      <c r="BE32" s="1305"/>
      <c r="BF32" s="1305"/>
      <c r="BG32" s="1306">
        <v>89941037.919092521</v>
      </c>
      <c r="BH32" s="1307">
        <f t="shared" si="16"/>
        <v>8.3657251173468745E-3</v>
      </c>
      <c r="BI32" s="1306"/>
      <c r="BJ32" s="1306"/>
      <c r="BK32" s="1298">
        <f t="shared" si="18"/>
        <v>0.24215984828493076</v>
      </c>
      <c r="BL32" s="1298">
        <f t="shared" si="24"/>
        <v>7.8017254399778801E-2</v>
      </c>
      <c r="BM32" s="1308">
        <v>232.16800000000001</v>
      </c>
      <c r="BN32" s="1309">
        <f t="shared" si="8"/>
        <v>3.8573648921479284E-2</v>
      </c>
      <c r="BO32" s="1310">
        <v>95.331999999999994</v>
      </c>
      <c r="BP32" s="1311">
        <f t="shared" si="9"/>
        <v>9.3940827033965543E-2</v>
      </c>
      <c r="BQ32" s="1311"/>
      <c r="BR32" s="1311">
        <v>0.15081790035032008</v>
      </c>
      <c r="BS32" s="1312">
        <v>59.379999999999981</v>
      </c>
      <c r="BT32" s="1313">
        <v>18.399999999999999</v>
      </c>
      <c r="BU32" s="1314">
        <v>7.5869999999999997</v>
      </c>
      <c r="BV32" s="1315">
        <v>9.9649999999999999</v>
      </c>
      <c r="BW32" s="1303"/>
      <c r="BX32" s="1303"/>
      <c r="CA32" s="1317"/>
      <c r="CB32" s="1317"/>
      <c r="CC32" s="1318"/>
      <c r="CD32" s="1317"/>
      <c r="CE32" s="1317"/>
    </row>
    <row r="33" spans="1:85" ht="18.5">
      <c r="A33" s="111" t="s">
        <v>344</v>
      </c>
      <c r="B33" s="103"/>
      <c r="C33" s="103"/>
      <c r="D33" s="111"/>
      <c r="E33" s="111"/>
      <c r="F33" s="110">
        <v>11.037462919942818</v>
      </c>
      <c r="G33" s="110"/>
      <c r="H33" s="1184">
        <v>25.102900000000002</v>
      </c>
      <c r="I33" s="366"/>
      <c r="J33" s="908">
        <f t="shared" si="23"/>
        <v>0.19087920376862622</v>
      </c>
      <c r="K33" s="367">
        <f t="shared" si="1"/>
        <v>43.968875787031848</v>
      </c>
      <c r="L33" s="367">
        <f t="shared" si="2"/>
        <v>43.968875787031848</v>
      </c>
      <c r="M33" s="108">
        <f t="shared" si="11"/>
        <v>3.4924010246348836E-2</v>
      </c>
      <c r="N33" s="108">
        <f t="shared" si="12"/>
        <v>3.4924010246348836E-2</v>
      </c>
      <c r="O33" s="198">
        <f t="shared" si="20"/>
        <v>1.6052135363184172E-2</v>
      </c>
      <c r="P33" s="198">
        <f t="shared" si="26"/>
        <v>4.1815964539961614E-2</v>
      </c>
      <c r="Q33" s="198"/>
      <c r="R33" s="198"/>
      <c r="S33" s="198"/>
      <c r="T33" s="198">
        <f t="shared" si="19"/>
        <v>2.7847643513674303E-2</v>
      </c>
      <c r="U33" s="198">
        <f t="shared" si="13"/>
        <v>2.7847643513674303E-2</v>
      </c>
      <c r="V33" s="198">
        <f t="shared" si="25"/>
        <v>4.1815964539961614E-2</v>
      </c>
      <c r="W33" s="198">
        <f t="shared" si="30"/>
        <v>3.7601137526655615E-2</v>
      </c>
      <c r="X33" s="887">
        <v>56329700</v>
      </c>
      <c r="Y33" s="902">
        <f t="shared" si="3"/>
        <v>195.9439322407685</v>
      </c>
      <c r="Z33" s="902">
        <f t="shared" si="4"/>
        <v>780.56293193522856</v>
      </c>
      <c r="AA33" s="903"/>
      <c r="AB33" s="903"/>
      <c r="AC33" s="889">
        <v>267518</v>
      </c>
      <c r="AD33" s="889">
        <v>102.98399999999999</v>
      </c>
      <c r="AE33" s="889">
        <v>85.908000000000001</v>
      </c>
      <c r="AF33" s="367">
        <f t="shared" si="22"/>
        <v>954531.42882296455</v>
      </c>
      <c r="AG33" s="198">
        <f t="shared" si="27"/>
        <v>1.9803023782953177E-2</v>
      </c>
      <c r="AH33" s="198"/>
      <c r="AI33" s="367">
        <f t="shared" si="14"/>
        <v>367.45738479617887</v>
      </c>
      <c r="AJ33" s="198">
        <f t="shared" si="28"/>
        <v>1.1413061374500044E-2</v>
      </c>
      <c r="AK33" s="198"/>
      <c r="AL33" s="367">
        <f t="shared" si="15"/>
        <v>306.52848027917088</v>
      </c>
      <c r="AM33" s="198">
        <f t="shared" si="29"/>
        <v>1.2100160162597406E-2</v>
      </c>
      <c r="AN33" s="198"/>
      <c r="AO33" s="903">
        <f t="shared" si="5"/>
        <v>16945437.820953503</v>
      </c>
      <c r="AP33" s="903"/>
      <c r="AQ33" s="903">
        <f t="shared" si="6"/>
        <v>6523.3328918169082</v>
      </c>
      <c r="AR33" s="903">
        <f t="shared" si="7"/>
        <v>5441.6849420318395</v>
      </c>
      <c r="AS33" s="889"/>
      <c r="AT33" s="224">
        <v>664919</v>
      </c>
      <c r="AU33" s="108"/>
      <c r="AV33" s="108"/>
      <c r="AW33" s="108"/>
      <c r="AX33" s="108"/>
      <c r="AY33" s="108"/>
      <c r="AZ33" s="198">
        <f t="shared" si="17"/>
        <v>-0.11629511098824863</v>
      </c>
      <c r="BA33" s="198">
        <f t="shared" si="21"/>
        <v>4.5373282133395643E-2</v>
      </c>
      <c r="BB33" s="198"/>
      <c r="BC33" s="198"/>
      <c r="BD33" s="198"/>
      <c r="BE33" s="198"/>
      <c r="BF33" s="198"/>
      <c r="BG33" s="252">
        <v>90379819.440237597</v>
      </c>
      <c r="BH33" s="251">
        <f t="shared" si="16"/>
        <v>7.3569410087134385E-3</v>
      </c>
      <c r="BI33" s="252"/>
      <c r="BJ33" s="252"/>
      <c r="BK33" s="198">
        <f t="shared" si="18"/>
        <v>-0.12058537598153407</v>
      </c>
      <c r="BL33" s="198">
        <f t="shared" si="24"/>
        <v>4.1768995408725029E-2</v>
      </c>
      <c r="BM33" s="177">
        <v>267.048</v>
      </c>
      <c r="BN33" s="183">
        <f t="shared" si="8"/>
        <v>4.1331382073420575E-2</v>
      </c>
      <c r="BO33" s="176">
        <v>114.73099999999999</v>
      </c>
      <c r="BP33" s="184">
        <f t="shared" si="9"/>
        <v>9.6202969728694243E-2</v>
      </c>
      <c r="BQ33" s="184"/>
      <c r="BR33" s="184">
        <v>0.15482266934034897</v>
      </c>
      <c r="BS33" s="179">
        <v>71.290999999999997</v>
      </c>
      <c r="BT33" s="106">
        <v>22.2</v>
      </c>
      <c r="BU33" s="107">
        <v>9.1630000000000003</v>
      </c>
      <c r="BV33" s="105">
        <v>12.077</v>
      </c>
      <c r="BW33" s="889"/>
      <c r="BX33" s="889"/>
      <c r="CA33" s="100" t="s">
        <v>864</v>
      </c>
      <c r="CB33" s="100" t="s">
        <v>866</v>
      </c>
      <c r="CC33" s="104">
        <v>1.2360365323941469E-2</v>
      </c>
      <c r="CD33" s="100"/>
      <c r="CE33" s="100"/>
    </row>
    <row r="34" spans="1:85" ht="18.5">
      <c r="A34" s="111" t="s">
        <v>345</v>
      </c>
      <c r="B34" s="103"/>
      <c r="C34" s="103"/>
      <c r="D34" s="111"/>
      <c r="E34" s="111"/>
      <c r="F34" s="110">
        <v>12.477695228734813</v>
      </c>
      <c r="G34" s="110"/>
      <c r="H34" s="1184">
        <v>27.747699999999998</v>
      </c>
      <c r="I34" s="366"/>
      <c r="J34" s="908">
        <f t="shared" si="23"/>
        <v>0.10535834505176678</v>
      </c>
      <c r="K34" s="367">
        <f t="shared" ref="K34:K65" si="31">(F34/H34)*H$75</f>
        <v>44.968394601119421</v>
      </c>
      <c r="L34" s="367">
        <f t="shared" si="2"/>
        <v>44.968394601119421</v>
      </c>
      <c r="M34" s="108">
        <f t="shared" si="11"/>
        <v>2.2732416878904482E-2</v>
      </c>
      <c r="N34" s="108">
        <f t="shared" si="12"/>
        <v>2.2732416878904482E-2</v>
      </c>
      <c r="O34" s="198">
        <f t="shared" si="20"/>
        <v>1.6638947344715271E-2</v>
      </c>
      <c r="P34" s="198">
        <f t="shared" si="26"/>
        <v>3.8246794711863208E-2</v>
      </c>
      <c r="Q34" s="198"/>
      <c r="R34" s="198"/>
      <c r="S34" s="198"/>
      <c r="T34" s="198">
        <f t="shared" si="19"/>
        <v>2.8810154637509688E-2</v>
      </c>
      <c r="U34" s="198">
        <f t="shared" si="13"/>
        <v>2.8810154637509688E-2</v>
      </c>
      <c r="V34" s="198">
        <f t="shared" si="25"/>
        <v>3.8246794711863208E-2</v>
      </c>
      <c r="W34" s="198">
        <f t="shared" si="30"/>
        <v>3.5152723763360205E-2</v>
      </c>
      <c r="X34" s="887">
        <v>56357500</v>
      </c>
      <c r="Y34" s="902">
        <f t="shared" ref="Y34:Y65" si="32">(F34*1000000000)/X34</f>
        <v>221.40256804746153</v>
      </c>
      <c r="Z34" s="902">
        <f t="shared" ref="Z34:Z65" si="33">(K34*1000000000)/X34</f>
        <v>797.91322541133695</v>
      </c>
      <c r="AA34" s="903"/>
      <c r="AB34" s="903"/>
      <c r="AC34" s="889">
        <v>298261</v>
      </c>
      <c r="AD34" s="889">
        <v>121.922</v>
      </c>
      <c r="AE34" s="889">
        <v>101.48</v>
      </c>
      <c r="AF34" s="367">
        <f t="shared" si="22"/>
        <v>962787.84517996083</v>
      </c>
      <c r="AG34" s="198">
        <f t="shared" si="27"/>
        <v>1.5188619788262692E-2</v>
      </c>
      <c r="AH34" s="198"/>
      <c r="AI34" s="367">
        <f t="shared" si="14"/>
        <v>393.56476260735127</v>
      </c>
      <c r="AJ34" s="198">
        <f t="shared" si="28"/>
        <v>1.8541699882250517E-2</v>
      </c>
      <c r="AK34" s="198"/>
      <c r="AL34" s="367">
        <f t="shared" si="15"/>
        <v>327.5778949606634</v>
      </c>
      <c r="AM34" s="198">
        <f t="shared" si="29"/>
        <v>2.2909988782408242E-2</v>
      </c>
      <c r="AN34" s="198"/>
      <c r="AO34" s="903">
        <f t="shared" ref="AO34:AO65" si="34">(AF34*1000000000)/X34</f>
        <v>17083579.739696775</v>
      </c>
      <c r="AP34" s="903"/>
      <c r="AQ34" s="903">
        <f t="shared" ref="AQ34:AQ65" si="35">(AI34*1000000000)/X34</f>
        <v>6983.360912165218</v>
      </c>
      <c r="AR34" s="903">
        <f t="shared" ref="AR34:AR65" si="36">(AL34*1000000000)/X34</f>
        <v>5812.4986906918048</v>
      </c>
      <c r="AS34" s="889"/>
      <c r="AT34" s="223">
        <v>628333</v>
      </c>
      <c r="AZ34" s="198">
        <f t="shared" si="17"/>
        <v>-5.5023243432658742E-2</v>
      </c>
      <c r="BA34" s="198">
        <f t="shared" si="21"/>
        <v>1.4793246265840665E-2</v>
      </c>
      <c r="BB34" s="198"/>
      <c r="BC34" s="198"/>
      <c r="BD34" s="198"/>
      <c r="BE34" s="198"/>
      <c r="BF34" s="198"/>
      <c r="BG34" s="253">
        <v>90573959.805242747</v>
      </c>
      <c r="BH34" s="251">
        <f t="shared" si="16"/>
        <v>6.9372367218025711E-3</v>
      </c>
      <c r="BI34" s="253"/>
      <c r="BJ34" s="253"/>
      <c r="BK34" s="198">
        <f t="shared" si="18"/>
        <v>-5.7048749801551613E-2</v>
      </c>
      <c r="BL34" s="198">
        <f t="shared" si="24"/>
        <v>1.1481489609355133E-2</v>
      </c>
      <c r="BM34" s="177">
        <v>297.71899999999999</v>
      </c>
      <c r="BN34" s="183">
        <f t="shared" ref="BN34:BN65" si="37">F34/BM34</f>
        <v>4.1910980584829366E-2</v>
      </c>
      <c r="BO34" s="176">
        <v>128.154</v>
      </c>
      <c r="BP34" s="184">
        <f t="shared" ref="BP34:BP65" si="38">F34/BO34</f>
        <v>9.7364851887064105E-2</v>
      </c>
      <c r="BQ34" s="184"/>
      <c r="BR34" s="184">
        <v>0.1626330465275708</v>
      </c>
      <c r="BS34" s="179">
        <v>76.722999999999999</v>
      </c>
      <c r="BT34" s="106">
        <v>27</v>
      </c>
      <c r="BU34" s="107">
        <v>11.231999999999999</v>
      </c>
      <c r="BV34" s="105">
        <v>13.199</v>
      </c>
      <c r="BW34" s="889"/>
      <c r="BX34" s="889"/>
      <c r="CA34" s="100" t="s">
        <v>867</v>
      </c>
      <c r="CB34" s="100" t="s">
        <v>868</v>
      </c>
      <c r="CC34" s="104">
        <v>5.3854173088072388E-2</v>
      </c>
      <c r="CD34" s="100"/>
      <c r="CE34" s="100"/>
    </row>
    <row r="35" spans="1:85" ht="18.5">
      <c r="A35" s="111" t="s">
        <v>346</v>
      </c>
      <c r="B35" s="103"/>
      <c r="C35" s="103"/>
      <c r="D35" s="111"/>
      <c r="E35" s="111"/>
      <c r="F35" s="110">
        <v>13.522456888849179</v>
      </c>
      <c r="G35" s="110"/>
      <c r="H35" s="1184">
        <v>29.793500000000002</v>
      </c>
      <c r="I35" s="366"/>
      <c r="J35" s="908">
        <f t="shared" si="23"/>
        <v>7.3728633364206875E-2</v>
      </c>
      <c r="K35" s="367">
        <f t="shared" si="31"/>
        <v>45.387272018558342</v>
      </c>
      <c r="L35" s="367">
        <f t="shared" si="2"/>
        <v>45.387272018558342</v>
      </c>
      <c r="M35" s="108">
        <f t="shared" ref="M35:M66" si="39">K35/K34-1</f>
        <v>9.3149293221264085E-3</v>
      </c>
      <c r="N35" s="108">
        <f t="shared" ref="N35:N66" si="40">L35/L34-1</f>
        <v>9.3149293221264085E-3</v>
      </c>
      <c r="O35" s="198">
        <f t="shared" si="20"/>
        <v>2.2284675347832072E-2</v>
      </c>
      <c r="P35" s="198">
        <f t="shared" si="26"/>
        <v>3.325101257756824E-2</v>
      </c>
      <c r="Q35" s="198"/>
      <c r="R35" s="198"/>
      <c r="S35" s="198"/>
      <c r="T35" s="198">
        <f t="shared" si="19"/>
        <v>1.6001524141366019E-2</v>
      </c>
      <c r="U35" s="198">
        <f t="shared" ref="U35:U66" si="41">((L35/L33)^(1/COUNT(L34:L35)))-1</f>
        <v>1.6001524141366019E-2</v>
      </c>
      <c r="V35" s="198">
        <f t="shared" si="25"/>
        <v>3.325101257756824E-2</v>
      </c>
      <c r="W35" s="198">
        <f t="shared" si="30"/>
        <v>3.4616127041905198E-2</v>
      </c>
      <c r="X35" s="887">
        <v>56290700</v>
      </c>
      <c r="Y35" s="902">
        <f t="shared" si="32"/>
        <v>240.22541714438049</v>
      </c>
      <c r="Z35" s="902">
        <f t="shared" si="33"/>
        <v>806.30143200490204</v>
      </c>
      <c r="AA35" s="903"/>
      <c r="AB35" s="903"/>
      <c r="AC35" s="889">
        <v>327449</v>
      </c>
      <c r="AD35" s="889">
        <v>132.87899999999999</v>
      </c>
      <c r="AE35" s="889">
        <v>110.42100000000001</v>
      </c>
      <c r="AF35" s="367">
        <f t="shared" si="22"/>
        <v>984426.42506922653</v>
      </c>
      <c r="AG35" s="198">
        <f t="shared" si="27"/>
        <v>1.4122270549211224E-2</v>
      </c>
      <c r="AH35" s="198"/>
      <c r="AI35" s="367">
        <f t="shared" ref="AI35:AI66" si="42">(AD35/$H35)*$H$72</f>
        <v>399.4808319364962</v>
      </c>
      <c r="AJ35" s="198">
        <f t="shared" si="28"/>
        <v>2.5459431372448993E-2</v>
      </c>
      <c r="AK35" s="198"/>
      <c r="AL35" s="367">
        <f t="shared" ref="AL35:AL66" si="43">(AE35/$H35)*$H$72</f>
        <v>331.96421513753</v>
      </c>
      <c r="AM35" s="198">
        <f t="shared" si="29"/>
        <v>2.7276894682337405E-2</v>
      </c>
      <c r="AN35" s="198"/>
      <c r="AO35" s="903">
        <f t="shared" si="34"/>
        <v>17488260.495414454</v>
      </c>
      <c r="AP35" s="903"/>
      <c r="AQ35" s="903">
        <f t="shared" si="35"/>
        <v>7096.7465662444456</v>
      </c>
      <c r="AR35" s="903">
        <f t="shared" si="36"/>
        <v>5897.3190089576083</v>
      </c>
      <c r="AS35" s="889"/>
      <c r="AT35" s="214">
        <v>622480</v>
      </c>
      <c r="AZ35" s="198">
        <f t="shared" si="17"/>
        <v>-9.3151243051057264E-3</v>
      </c>
      <c r="BA35" s="198">
        <f t="shared" si="21"/>
        <v>8.9047945270757101E-3</v>
      </c>
      <c r="BB35" s="198"/>
      <c r="BC35" s="198"/>
      <c r="BD35" s="198"/>
      <c r="BE35" s="198"/>
      <c r="BF35" s="198"/>
      <c r="BG35" s="253">
        <v>90471321.783241898</v>
      </c>
      <c r="BH35" s="251">
        <f t="shared" si="16"/>
        <v>6.8804123531143397E-3</v>
      </c>
      <c r="BI35" s="253"/>
      <c r="BJ35" s="253"/>
      <c r="BK35" s="198">
        <f t="shared" si="18"/>
        <v>-8.1912108476336343E-3</v>
      </c>
      <c r="BL35" s="198">
        <f t="shared" si="24"/>
        <v>6.2582023551849275E-3</v>
      </c>
      <c r="BM35" s="177">
        <v>326.89400000000001</v>
      </c>
      <c r="BN35" s="183">
        <f t="shared" si="37"/>
        <v>4.1366488491220946E-2</v>
      </c>
      <c r="BO35" s="176">
        <v>141.62799999999999</v>
      </c>
      <c r="BP35" s="184">
        <f t="shared" si="38"/>
        <v>9.5478696930332854E-2</v>
      </c>
      <c r="BQ35" s="184"/>
      <c r="BR35" s="184">
        <v>0.15930137936584574</v>
      </c>
      <c r="BS35" s="179">
        <v>84.885999999999981</v>
      </c>
      <c r="BT35" s="106">
        <v>30.8</v>
      </c>
      <c r="BU35" s="107">
        <v>12.087</v>
      </c>
      <c r="BV35" s="105">
        <v>13.855</v>
      </c>
      <c r="BW35" s="889"/>
      <c r="BX35" s="889"/>
      <c r="CA35" s="100" t="s">
        <v>869</v>
      </c>
      <c r="CB35" s="100" t="s">
        <v>870</v>
      </c>
      <c r="CC35" s="104">
        <v>6.1107498872199129E-2</v>
      </c>
      <c r="CD35" s="100"/>
      <c r="CE35" s="100"/>
    </row>
    <row r="36" spans="1:85" ht="18.5">
      <c r="A36" s="111" t="s">
        <v>347</v>
      </c>
      <c r="B36" s="103"/>
      <c r="C36" s="103"/>
      <c r="D36" s="111"/>
      <c r="E36" s="111"/>
      <c r="F36" s="110">
        <v>14.456622364188707</v>
      </c>
      <c r="G36" s="110"/>
      <c r="H36" s="1184">
        <v>31.212</v>
      </c>
      <c r="I36" s="366"/>
      <c r="J36" s="908">
        <f t="shared" si="23"/>
        <v>4.7611056102841109E-2</v>
      </c>
      <c r="K36" s="367">
        <f t="shared" si="31"/>
        <v>46.317513662016871</v>
      </c>
      <c r="L36" s="367">
        <f t="shared" si="2"/>
        <v>46.317513662016871</v>
      </c>
      <c r="M36" s="108">
        <f t="shared" si="39"/>
        <v>2.0495650037705815E-2</v>
      </c>
      <c r="N36" s="108">
        <f t="shared" si="40"/>
        <v>2.0495650037705815E-2</v>
      </c>
      <c r="O36" s="198">
        <f t="shared" si="20"/>
        <v>2.1624908809371846E-2</v>
      </c>
      <c r="P36" s="198">
        <f t="shared" si="26"/>
        <v>2.6485091958535989E-2</v>
      </c>
      <c r="Q36" s="198"/>
      <c r="R36" s="198"/>
      <c r="S36" s="198"/>
      <c r="T36" s="198">
        <f t="shared" si="19"/>
        <v>1.4889892989059517E-2</v>
      </c>
      <c r="U36" s="198">
        <f t="shared" si="41"/>
        <v>1.4889892989059517E-2</v>
      </c>
      <c r="V36" s="198">
        <f t="shared" si="25"/>
        <v>2.6485091958535989E-2</v>
      </c>
      <c r="W36" s="198">
        <f t="shared" si="30"/>
        <v>3.6295839111857742E-2</v>
      </c>
      <c r="X36" s="887">
        <v>56315700</v>
      </c>
      <c r="Y36" s="902">
        <f t="shared" si="32"/>
        <v>256.70678628142252</v>
      </c>
      <c r="Z36" s="902">
        <f t="shared" si="33"/>
        <v>822.46182968544952</v>
      </c>
      <c r="AA36" s="1111">
        <f>Z36/Z35-1</f>
        <v>2.0042625548070792E-2</v>
      </c>
      <c r="AB36" s="1109">
        <v>55</v>
      </c>
      <c r="AC36" s="889">
        <v>358062</v>
      </c>
      <c r="AD36" s="889">
        <v>141.36099999999999</v>
      </c>
      <c r="AE36" s="889">
        <v>118.31</v>
      </c>
      <c r="AF36" s="367">
        <f t="shared" si="22"/>
        <v>1027537.6752979623</v>
      </c>
      <c r="AG36" s="198">
        <f t="shared" si="27"/>
        <v>1.468761269415797E-2</v>
      </c>
      <c r="AH36" s="198"/>
      <c r="AI36" s="367">
        <f t="shared" si="42"/>
        <v>405.66648602140202</v>
      </c>
      <c r="AJ36" s="198">
        <f t="shared" si="28"/>
        <v>2.8481751968865154E-2</v>
      </c>
      <c r="AK36" s="198"/>
      <c r="AL36" s="367">
        <f t="shared" si="43"/>
        <v>339.51657077406128</v>
      </c>
      <c r="AM36" s="198">
        <f t="shared" si="29"/>
        <v>3.189831447631164E-2</v>
      </c>
      <c r="AN36" s="198"/>
      <c r="AO36" s="903">
        <f t="shared" si="34"/>
        <v>18246025.09243359</v>
      </c>
      <c r="AP36" s="1109"/>
      <c r="AQ36" s="903">
        <f t="shared" si="35"/>
        <v>7203.4350282674641</v>
      </c>
      <c r="AR36" s="903">
        <f t="shared" si="36"/>
        <v>6028.8084987678621</v>
      </c>
      <c r="AS36" s="889"/>
      <c r="AT36" s="215">
        <v>726186</v>
      </c>
      <c r="AZ36" s="198">
        <f t="shared" si="17"/>
        <v>0.16660133658912746</v>
      </c>
      <c r="BA36" s="198">
        <f t="shared" si="21"/>
        <v>3.7794938269189116E-2</v>
      </c>
      <c r="BB36" s="198"/>
      <c r="BC36" s="198"/>
      <c r="BD36" s="198"/>
      <c r="BE36" s="198"/>
      <c r="BF36" s="198"/>
      <c r="BG36" s="253">
        <v>90309866.006475031</v>
      </c>
      <c r="BH36" s="251">
        <f t="shared" si="16"/>
        <v>8.0410483606291033E-3</v>
      </c>
      <c r="BI36" s="253"/>
      <c r="BJ36" s="253"/>
      <c r="BK36" s="198">
        <f t="shared" si="18"/>
        <v>0.1686869838534335</v>
      </c>
      <c r="BL36" s="198">
        <f t="shared" si="24"/>
        <v>3.6089599393732907E-2</v>
      </c>
      <c r="BM36" s="177">
        <v>357.53199999999998</v>
      </c>
      <c r="BN36" s="183">
        <f t="shared" si="37"/>
        <v>4.0434485204649394E-2</v>
      </c>
      <c r="BO36" s="176">
        <v>153.40899999999999</v>
      </c>
      <c r="BP36" s="184">
        <f t="shared" si="38"/>
        <v>9.4235816439639838E-2</v>
      </c>
      <c r="BQ36" s="184"/>
      <c r="BR36" s="184">
        <v>0.15863387574275453</v>
      </c>
      <c r="BS36" s="179">
        <v>91.132000000000005</v>
      </c>
      <c r="BT36" s="106">
        <v>34.5</v>
      </c>
      <c r="BU36" s="107">
        <v>13.225</v>
      </c>
      <c r="BV36" s="105">
        <v>14.552</v>
      </c>
      <c r="BW36" s="889"/>
      <c r="BX36" s="889"/>
      <c r="CA36" s="100" t="s">
        <v>871</v>
      </c>
      <c r="CB36" s="100" t="s">
        <v>872</v>
      </c>
      <c r="CC36" s="104">
        <v>4.6981271867877483E-2</v>
      </c>
      <c r="CD36" s="100"/>
      <c r="CE36" s="100"/>
    </row>
    <row r="37" spans="1:85" ht="18.5">
      <c r="A37" s="111" t="s">
        <v>348</v>
      </c>
      <c r="B37" s="103"/>
      <c r="C37" s="103"/>
      <c r="D37" s="111"/>
      <c r="E37" s="111"/>
      <c r="F37" s="110">
        <v>15.372930218012867</v>
      </c>
      <c r="G37" s="110"/>
      <c r="H37" s="1184">
        <v>33.035400000000003</v>
      </c>
      <c r="I37" s="366"/>
      <c r="J37" s="908">
        <f t="shared" si="23"/>
        <v>5.841983852364474E-2</v>
      </c>
      <c r="K37" s="367">
        <f t="shared" si="31"/>
        <v>46.534717963193621</v>
      </c>
      <c r="L37" s="367">
        <f t="shared" si="2"/>
        <v>46.534717963193621</v>
      </c>
      <c r="M37" s="108">
        <f t="shared" si="39"/>
        <v>4.6894637471628364E-3</v>
      </c>
      <c r="N37" s="108">
        <f t="shared" si="40"/>
        <v>4.6894637471628364E-3</v>
      </c>
      <c r="O37" s="1245">
        <f t="shared" si="20"/>
        <v>1.8375722529513139E-2</v>
      </c>
      <c r="P37" s="198">
        <f t="shared" si="26"/>
        <v>1.7778374858713475E-2</v>
      </c>
      <c r="Q37" s="198"/>
      <c r="R37" s="198"/>
      <c r="S37" s="198"/>
      <c r="T37" s="198">
        <f t="shared" ref="T37:T68" si="44">((K37/K35)^(1/COUNT(K36:K37)))-1</f>
        <v>1.2561715350079217E-2</v>
      </c>
      <c r="U37" s="198">
        <f t="shared" si="41"/>
        <v>1.2561715350079217E-2</v>
      </c>
      <c r="V37" s="198">
        <f t="shared" si="25"/>
        <v>1.7778374858713475E-2</v>
      </c>
      <c r="W37" s="198">
        <f t="shared" si="30"/>
        <v>3.3873186097456598E-2</v>
      </c>
      <c r="X37" s="887">
        <v>56409300</v>
      </c>
      <c r="Y37" s="902">
        <f t="shared" si="32"/>
        <v>272.5247471252589</v>
      </c>
      <c r="Z37" s="902">
        <f t="shared" si="33"/>
        <v>824.94762323222619</v>
      </c>
      <c r="AA37" s="1111">
        <f t="shared" ref="AA37:AA75" si="45">Z37/Z36-1</f>
        <v>3.0223816559697969E-3</v>
      </c>
      <c r="AB37" s="1109">
        <v>51</v>
      </c>
      <c r="AC37" s="889">
        <v>385979</v>
      </c>
      <c r="AD37" s="889">
        <v>151.36500000000001</v>
      </c>
      <c r="AE37" s="889">
        <v>129.74700000000001</v>
      </c>
      <c r="AF37" s="367">
        <f t="shared" si="22"/>
        <v>1046514.4431821621</v>
      </c>
      <c r="AG37" s="198">
        <f t="shared" si="27"/>
        <v>1.1507491710532669E-2</v>
      </c>
      <c r="AH37" s="198"/>
      <c r="AI37" s="367">
        <f t="shared" si="42"/>
        <v>410.39968156886249</v>
      </c>
      <c r="AJ37" s="198">
        <f t="shared" si="28"/>
        <v>2.1879393984106432E-2</v>
      </c>
      <c r="AK37" s="198"/>
      <c r="AL37" s="367">
        <f t="shared" si="43"/>
        <v>351.7862615830291</v>
      </c>
      <c r="AM37" s="198">
        <f t="shared" si="29"/>
        <v>2.6775945096623399E-2</v>
      </c>
      <c r="AN37" s="198"/>
      <c r="AO37" s="903">
        <f t="shared" si="34"/>
        <v>18552161.490785424</v>
      </c>
      <c r="AP37" s="1109"/>
      <c r="AQ37" s="903">
        <f t="shared" si="35"/>
        <v>7275.3904332949087</v>
      </c>
      <c r="AR37" s="903">
        <f t="shared" si="36"/>
        <v>6236.3167347056087</v>
      </c>
      <c r="AS37" s="889"/>
      <c r="AT37" s="216">
        <v>692945</v>
      </c>
      <c r="AZ37" s="198">
        <f t="shared" si="17"/>
        <v>-4.5774773955983727E-2</v>
      </c>
      <c r="BA37" s="198">
        <f t="shared" si="21"/>
        <v>-1.6334463028205848E-2</v>
      </c>
      <c r="BB37" s="198"/>
      <c r="BC37" s="198"/>
      <c r="BD37" s="198"/>
      <c r="BE37" s="198"/>
      <c r="BF37" s="198"/>
      <c r="BG37" s="253">
        <v>90315804.336554229</v>
      </c>
      <c r="BH37" s="251">
        <f t="shared" si="16"/>
        <v>7.6724666860940403E-3</v>
      </c>
      <c r="BI37" s="253"/>
      <c r="BJ37" s="253"/>
      <c r="BK37" s="198">
        <f t="shared" si="18"/>
        <v>-4.58375149613236E-2</v>
      </c>
      <c r="BL37" s="198">
        <f t="shared" si="24"/>
        <v>-1.715216756638005E-2</v>
      </c>
      <c r="BM37" s="177">
        <v>385.44099999999997</v>
      </c>
      <c r="BN37" s="183">
        <f t="shared" si="37"/>
        <v>3.9884003564781299E-2</v>
      </c>
      <c r="BO37" s="176">
        <v>164.05099999999999</v>
      </c>
      <c r="BP37" s="184">
        <f t="shared" si="38"/>
        <v>9.3708238401551153E-2</v>
      </c>
      <c r="BQ37" s="184"/>
      <c r="BR37" s="184">
        <v>0.15804877520652294</v>
      </c>
      <c r="BS37" s="179">
        <v>97.266999999999996</v>
      </c>
      <c r="BT37" s="106">
        <v>37.299999999999997</v>
      </c>
      <c r="BU37" s="107">
        <v>14.72</v>
      </c>
      <c r="BV37" s="105">
        <v>14.763999999999999</v>
      </c>
      <c r="BW37" s="889"/>
      <c r="BX37" s="889"/>
      <c r="CA37" s="100" t="s">
        <v>873</v>
      </c>
      <c r="CB37" s="100" t="s">
        <v>874</v>
      </c>
      <c r="CC37" s="104">
        <v>2.6645551266773371E-2</v>
      </c>
      <c r="CD37" s="100"/>
      <c r="CE37" s="100"/>
    </row>
    <row r="38" spans="1:85" ht="18.5">
      <c r="A38" s="111" t="s">
        <v>349</v>
      </c>
      <c r="B38" s="103"/>
      <c r="C38" s="103"/>
      <c r="D38" s="111"/>
      <c r="E38" s="111"/>
      <c r="F38" s="110">
        <v>16.477257639385275</v>
      </c>
      <c r="G38" s="110"/>
      <c r="H38" s="1184">
        <v>34.832700000000003</v>
      </c>
      <c r="I38" s="366"/>
      <c r="J38" s="908">
        <f t="shared" si="23"/>
        <v>5.4405274342069321E-2</v>
      </c>
      <c r="K38" s="367">
        <f t="shared" si="31"/>
        <v>47.303992051679238</v>
      </c>
      <c r="L38" s="367">
        <f t="shared" si="2"/>
        <v>47.303992051679238</v>
      </c>
      <c r="M38" s="108">
        <f t="shared" si="39"/>
        <v>1.6531186223027516E-2</v>
      </c>
      <c r="N38" s="108">
        <f t="shared" si="40"/>
        <v>1.6531186223027516E-2</v>
      </c>
      <c r="O38" s="198">
        <f t="shared" si="20"/>
        <v>1.4729967341999606E-2</v>
      </c>
      <c r="P38" s="198">
        <f t="shared" si="26"/>
        <v>1.5390836148747589E-2</v>
      </c>
      <c r="Q38" s="198"/>
      <c r="R38" s="198"/>
      <c r="S38" s="198"/>
      <c r="T38" s="198">
        <f t="shared" si="44"/>
        <v>1.0592980565707677E-2</v>
      </c>
      <c r="U38" s="198">
        <f t="shared" si="41"/>
        <v>1.0592980565707677E-2</v>
      </c>
      <c r="V38" s="198">
        <f t="shared" si="25"/>
        <v>1.5390836148747589E-2</v>
      </c>
      <c r="W38" s="198">
        <f t="shared" si="30"/>
        <v>3.0894039442338483E-2</v>
      </c>
      <c r="X38" s="887">
        <v>56554000</v>
      </c>
      <c r="Y38" s="902">
        <f t="shared" si="32"/>
        <v>291.3544159455613</v>
      </c>
      <c r="Z38" s="902">
        <f t="shared" si="33"/>
        <v>836.43936859778682</v>
      </c>
      <c r="AA38" s="1111">
        <f t="shared" si="45"/>
        <v>1.3930272712993297E-2</v>
      </c>
      <c r="AC38" s="889">
        <v>423724</v>
      </c>
      <c r="AD38" s="889">
        <v>162.245</v>
      </c>
      <c r="AE38" s="889">
        <v>138.577</v>
      </c>
      <c r="AF38" s="367">
        <f t="shared" si="22"/>
        <v>1089574.7835453467</v>
      </c>
      <c r="AG38" s="198">
        <f t="shared" si="27"/>
        <v>2.6817737624814431E-2</v>
      </c>
      <c r="AH38" s="198"/>
      <c r="AI38" s="367">
        <f t="shared" si="42"/>
        <v>417.20096278784018</v>
      </c>
      <c r="AJ38" s="198">
        <f t="shared" si="28"/>
        <v>2.5717262063701396E-2</v>
      </c>
      <c r="AK38" s="198"/>
      <c r="AL38" s="367">
        <f t="shared" si="43"/>
        <v>356.34045930691559</v>
      </c>
      <c r="AM38" s="198">
        <f t="shared" si="29"/>
        <v>3.0573238472102693E-2</v>
      </c>
      <c r="AN38" s="198"/>
      <c r="AO38" s="903">
        <f t="shared" si="34"/>
        <v>19266095.829567257</v>
      </c>
      <c r="AP38" s="1109"/>
      <c r="AQ38" s="903">
        <f t="shared" si="35"/>
        <v>7377.0372173115993</v>
      </c>
      <c r="AR38" s="903">
        <f t="shared" si="36"/>
        <v>6300.8886958820876</v>
      </c>
      <c r="AS38" s="889"/>
      <c r="AT38" s="217">
        <v>674453</v>
      </c>
      <c r="AZ38" s="198">
        <f t="shared" si="17"/>
        <v>-2.6686100628476983E-2</v>
      </c>
      <c r="BA38" s="198">
        <f t="shared" si="21"/>
        <v>2.8514102084999937E-3</v>
      </c>
      <c r="BB38" s="198"/>
      <c r="BC38" s="198"/>
      <c r="BD38" s="198"/>
      <c r="BE38" s="198"/>
      <c r="BF38" s="198"/>
      <c r="BG38" s="253">
        <v>91108334.513375163</v>
      </c>
      <c r="BH38" s="251">
        <f t="shared" si="16"/>
        <v>7.4027585248085826E-3</v>
      </c>
      <c r="BI38" s="253"/>
      <c r="BJ38" s="253"/>
      <c r="BK38" s="198">
        <f t="shared" si="18"/>
        <v>-3.5152731490420197E-2</v>
      </c>
      <c r="BL38" s="198">
        <f t="shared" si="24"/>
        <v>1.2424675922955153E-3</v>
      </c>
      <c r="BM38" s="177">
        <v>423.31900000000002</v>
      </c>
      <c r="BN38" s="183">
        <f t="shared" si="37"/>
        <v>3.8923973739391035E-2</v>
      </c>
      <c r="BO38" s="176">
        <v>171.261</v>
      </c>
      <c r="BP38" s="184">
        <f t="shared" si="38"/>
        <v>9.6211382856489655E-2</v>
      </c>
      <c r="BQ38" s="184"/>
      <c r="BR38" s="184">
        <v>0.16561555959217691</v>
      </c>
      <c r="BS38" s="179">
        <v>99.491000000000014</v>
      </c>
      <c r="BT38" s="106">
        <v>40.799999999999997</v>
      </c>
      <c r="BU38" s="107">
        <v>16.600999999999999</v>
      </c>
      <c r="BV38" s="105">
        <v>14.369</v>
      </c>
      <c r="BW38" s="889"/>
      <c r="BX38" s="889"/>
      <c r="CA38" s="100" t="s">
        <v>875</v>
      </c>
      <c r="CB38" s="100" t="s">
        <v>876</v>
      </c>
      <c r="CC38" s="104">
        <v>8.5279634799977355E-3</v>
      </c>
      <c r="CD38" s="100"/>
      <c r="CE38" s="100"/>
    </row>
    <row r="39" spans="1:85" ht="18.5">
      <c r="A39" s="111" t="s">
        <v>350</v>
      </c>
      <c r="B39" s="111"/>
      <c r="C39" s="111"/>
      <c r="D39" s="111"/>
      <c r="E39" s="111"/>
      <c r="F39" s="110">
        <v>17.899269120800572</v>
      </c>
      <c r="G39" s="110"/>
      <c r="H39" s="1184">
        <v>36.244300000000003</v>
      </c>
      <c r="I39" s="366"/>
      <c r="J39" s="908">
        <f t="shared" si="23"/>
        <v>4.0525138734579969E-2</v>
      </c>
      <c r="K39" s="367">
        <f t="shared" si="31"/>
        <v>49.3850595012197</v>
      </c>
      <c r="L39" s="367">
        <f t="shared" si="2"/>
        <v>49.3850595012197</v>
      </c>
      <c r="M39" s="108">
        <f t="shared" si="39"/>
        <v>4.3993484678141126E-2</v>
      </c>
      <c r="N39" s="108">
        <f t="shared" si="40"/>
        <v>4.3993484678141126E-2</v>
      </c>
      <c r="O39" s="198">
        <f t="shared" ref="O39:O70" si="46">((K39/K34)^(1/COUNT(K35:K39)))-1</f>
        <v>1.8914258259841832E-2</v>
      </c>
      <c r="P39" s="198">
        <f t="shared" si="26"/>
        <v>1.7775966974956203E-2</v>
      </c>
      <c r="Q39" s="198"/>
      <c r="R39" s="198"/>
      <c r="S39" s="198"/>
      <c r="T39" s="198">
        <f t="shared" si="44"/>
        <v>3.0170828255674742E-2</v>
      </c>
      <c r="U39" s="198">
        <f t="shared" si="41"/>
        <v>3.0170828255674742E-2</v>
      </c>
      <c r="V39" s="198">
        <f t="shared" si="25"/>
        <v>1.7775966974956203E-2</v>
      </c>
      <c r="W39" s="198">
        <f t="shared" si="30"/>
        <v>2.983039784066488E-2</v>
      </c>
      <c r="X39" s="887">
        <v>56683800</v>
      </c>
      <c r="Y39" s="902">
        <f t="shared" si="32"/>
        <v>315.77397988138711</v>
      </c>
      <c r="Z39" s="902">
        <f t="shared" si="33"/>
        <v>871.23762876200442</v>
      </c>
      <c r="AA39" s="1111">
        <f t="shared" si="45"/>
        <v>4.1602848300353878E-2</v>
      </c>
      <c r="AB39" s="1109">
        <v>40</v>
      </c>
      <c r="AC39" s="889">
        <v>455183</v>
      </c>
      <c r="AD39" s="889">
        <v>170.27600000000001</v>
      </c>
      <c r="AE39" s="889">
        <v>147.97900000000001</v>
      </c>
      <c r="AF39" s="367">
        <f t="shared" si="22"/>
        <v>1124883.2162602118</v>
      </c>
      <c r="AG39" s="198">
        <f t="shared" si="27"/>
        <v>3.160958257205615E-2</v>
      </c>
      <c r="AH39" s="198"/>
      <c r="AI39" s="367">
        <f t="shared" si="42"/>
        <v>420.79913909773398</v>
      </c>
      <c r="AJ39" s="198">
        <f t="shared" si="28"/>
        <v>1.3471935707417781E-2</v>
      </c>
      <c r="AK39" s="198"/>
      <c r="AL39" s="367">
        <f t="shared" si="43"/>
        <v>365.69707888688703</v>
      </c>
      <c r="AM39" s="198">
        <f t="shared" si="29"/>
        <v>2.2260030790936414E-2</v>
      </c>
      <c r="AN39" s="198"/>
      <c r="AO39" s="903">
        <f t="shared" si="34"/>
        <v>19844880.129070595</v>
      </c>
      <c r="AP39" s="1109"/>
      <c r="AQ39" s="903">
        <f t="shared" si="35"/>
        <v>7423.6226064190123</v>
      </c>
      <c r="AR39" s="903">
        <f t="shared" si="36"/>
        <v>6451.52722447837</v>
      </c>
      <c r="AS39" s="889"/>
      <c r="AT39" s="218">
        <v>673107</v>
      </c>
      <c r="AZ39" s="198">
        <f t="shared" si="17"/>
        <v>-1.9956913231907736E-3</v>
      </c>
      <c r="BA39" s="198">
        <f t="shared" si="21"/>
        <v>1.3862004001222061E-2</v>
      </c>
      <c r="BB39" s="198"/>
      <c r="BC39" s="198"/>
      <c r="BD39" s="198"/>
      <c r="BE39" s="198"/>
      <c r="BF39" s="198"/>
      <c r="BG39" s="253">
        <v>91701794.002411336</v>
      </c>
      <c r="BH39" s="251">
        <f t="shared" si="16"/>
        <v>7.340172646811036E-3</v>
      </c>
      <c r="BI39" s="253"/>
      <c r="BJ39" s="253"/>
      <c r="BK39" s="198">
        <f t="shared" si="18"/>
        <v>-8.4543995036181485E-3</v>
      </c>
      <c r="BL39" s="198">
        <f t="shared" si="24"/>
        <v>1.135575971267655E-2</v>
      </c>
      <c r="BM39" s="177">
        <v>455.20800000000003</v>
      </c>
      <c r="BN39" s="183">
        <f t="shared" si="37"/>
        <v>3.9321077662959725E-2</v>
      </c>
      <c r="BO39" s="176">
        <v>178.43199999999999</v>
      </c>
      <c r="BP39" s="184">
        <f t="shared" si="38"/>
        <v>0.1003142324291639</v>
      </c>
      <c r="BQ39" s="184"/>
      <c r="BR39" s="184">
        <v>0.17462360852276609</v>
      </c>
      <c r="BS39" s="179">
        <v>102.50200000000001</v>
      </c>
      <c r="BT39" s="106">
        <v>43.8</v>
      </c>
      <c r="BU39" s="107">
        <v>17.22</v>
      </c>
      <c r="BV39" s="105">
        <v>14.91</v>
      </c>
      <c r="BW39" s="889"/>
      <c r="BX39" s="889"/>
      <c r="CA39" s="100" t="s">
        <v>877</v>
      </c>
      <c r="CB39" s="100" t="s">
        <v>878</v>
      </c>
      <c r="CC39" s="104">
        <v>6.8301996850070656E-2</v>
      </c>
      <c r="CD39" s="100"/>
      <c r="CE39" s="100"/>
    </row>
    <row r="40" spans="1:85" ht="18.5">
      <c r="A40" s="111" t="s">
        <v>351</v>
      </c>
      <c r="B40" s="111"/>
      <c r="C40" s="111"/>
      <c r="D40" s="111"/>
      <c r="E40" s="111"/>
      <c r="F40" s="110">
        <v>20.509992852037168</v>
      </c>
      <c r="G40" s="110"/>
      <c r="H40" s="1184">
        <v>38.355699999999999</v>
      </c>
      <c r="I40" s="366"/>
      <c r="J40" s="908">
        <f t="shared" si="23"/>
        <v>5.8254677287187029E-2</v>
      </c>
      <c r="K40" s="367">
        <f t="shared" si="31"/>
        <v>53.47312877104882</v>
      </c>
      <c r="L40" s="367">
        <f t="shared" si="2"/>
        <v>53.47312877104882</v>
      </c>
      <c r="M40" s="108">
        <f t="shared" si="39"/>
        <v>8.2779474422383759E-2</v>
      </c>
      <c r="N40" s="108">
        <f t="shared" si="40"/>
        <v>8.2779474422383759E-2</v>
      </c>
      <c r="O40" s="198">
        <f t="shared" si="46"/>
        <v>3.3333009676913994E-2</v>
      </c>
      <c r="P40" s="198">
        <f t="shared" si="26"/>
        <v>2.7793997026525741E-2</v>
      </c>
      <c r="Q40" s="198"/>
      <c r="R40" s="198"/>
      <c r="S40" s="198"/>
      <c r="T40" s="198">
        <f t="shared" si="44"/>
        <v>6.3209629678075752E-2</v>
      </c>
      <c r="U40" s="198">
        <f t="shared" si="41"/>
        <v>6.3209629678075752E-2</v>
      </c>
      <c r="V40" s="198">
        <f t="shared" si="25"/>
        <v>2.7793997026525741E-2</v>
      </c>
      <c r="W40" s="198">
        <f t="shared" si="30"/>
        <v>2.9355731897959148E-2</v>
      </c>
      <c r="X40" s="887">
        <v>56804000</v>
      </c>
      <c r="Y40" s="902">
        <f t="shared" si="32"/>
        <v>361.06599626852278</v>
      </c>
      <c r="Z40" s="902">
        <f t="shared" si="33"/>
        <v>941.36203033323045</v>
      </c>
      <c r="AA40" s="1111">
        <f t="shared" si="45"/>
        <v>8.0488260901758979E-2</v>
      </c>
      <c r="AB40" s="1109">
        <v>40</v>
      </c>
      <c r="AC40" s="889">
        <v>511512</v>
      </c>
      <c r="AD40" s="889">
        <v>185.15799999999999</v>
      </c>
      <c r="AE40" s="889">
        <v>161.99700000000001</v>
      </c>
      <c r="AF40" s="367">
        <f t="shared" ref="AF40:AF74" si="47">(AC40/H40)*H$72</f>
        <v>1194502.4177997012</v>
      </c>
      <c r="AG40" s="198">
        <f t="shared" si="27"/>
        <v>3.9443179843646092E-2</v>
      </c>
      <c r="AH40" s="198"/>
      <c r="AI40" s="367">
        <f t="shared" si="42"/>
        <v>432.38805477673463</v>
      </c>
      <c r="AJ40" s="198">
        <f t="shared" si="28"/>
        <v>1.5957517921071585E-2</v>
      </c>
      <c r="AK40" s="198"/>
      <c r="AL40" s="367">
        <f t="shared" si="43"/>
        <v>378.30160030712523</v>
      </c>
      <c r="AM40" s="198">
        <f t="shared" si="29"/>
        <v>2.6477375599769593E-2</v>
      </c>
      <c r="AN40" s="198"/>
      <c r="AO40" s="903">
        <f t="shared" si="34"/>
        <v>21028491.264694411</v>
      </c>
      <c r="AP40" s="1109"/>
      <c r="AQ40" s="903">
        <f t="shared" si="35"/>
        <v>7611.9297017240797</v>
      </c>
      <c r="AR40" s="903">
        <f t="shared" si="36"/>
        <v>6659.7704441082533</v>
      </c>
      <c r="AS40" s="889"/>
      <c r="AT40" s="219">
        <v>717892</v>
      </c>
      <c r="AU40" s="212">
        <v>876246</v>
      </c>
      <c r="AV40" s="213"/>
      <c r="AW40" s="213">
        <f t="shared" ref="AW40:AW58" si="48">AU40*AW$60</f>
        <v>5039322.0596945286</v>
      </c>
      <c r="AX40" s="213">
        <f>AW40</f>
        <v>5039322.0596945286</v>
      </c>
      <c r="AY40" s="213">
        <f t="shared" ref="AY40:AY71" si="49">(AX40/AX$62)*100</f>
        <v>208.19128328335916</v>
      </c>
      <c r="AZ40" s="198">
        <f t="shared" si="17"/>
        <v>6.6534741133281949E-2</v>
      </c>
      <c r="BA40" s="198">
        <f t="shared" si="21"/>
        <v>2.893216157079892E-2</v>
      </c>
      <c r="BB40" s="198" t="s">
        <v>853</v>
      </c>
      <c r="BC40" s="198">
        <f>(AF49/AF40)^(1/COUNTA(AF41:AF49))-1</f>
        <v>1.921644979353454E-2</v>
      </c>
      <c r="BD40" s="198"/>
      <c r="BE40" s="198"/>
      <c r="BF40" s="198"/>
      <c r="BG40" s="255">
        <v>92186575.737377539</v>
      </c>
      <c r="BH40" s="251">
        <f t="shared" si="16"/>
        <v>7.7873811263490383E-3</v>
      </c>
      <c r="BI40" s="251">
        <f t="shared" ref="BI40:BI60" si="50">AU40/BG40</f>
        <v>9.5051366534782931E-3</v>
      </c>
      <c r="BJ40" s="255"/>
      <c r="BK40" s="198">
        <f t="shared" si="18"/>
        <v>6.0926152701911374E-2</v>
      </c>
      <c r="BL40" s="198">
        <f t="shared" si="24"/>
        <v>2.5074411791984774E-2</v>
      </c>
      <c r="BM40" s="177">
        <v>511.13200000000001</v>
      </c>
      <c r="BN40" s="183">
        <f t="shared" si="37"/>
        <v>4.0126606927441771E-2</v>
      </c>
      <c r="BO40" s="176">
        <v>189.26</v>
      </c>
      <c r="BP40" s="184">
        <f t="shared" si="38"/>
        <v>0.10836940109921361</v>
      </c>
      <c r="BQ40" s="184"/>
      <c r="BR40" s="184">
        <v>0.18589510520195746</v>
      </c>
      <c r="BS40" s="179">
        <v>110.331</v>
      </c>
      <c r="BT40" s="106">
        <v>45.6</v>
      </c>
      <c r="BU40" s="107">
        <v>18.433</v>
      </c>
      <c r="BV40" s="105">
        <v>14.896000000000001</v>
      </c>
      <c r="BW40" s="889"/>
      <c r="BX40" s="889"/>
      <c r="CA40" s="100" t="s">
        <v>846</v>
      </c>
      <c r="CB40" s="100" t="s">
        <v>847</v>
      </c>
      <c r="CC40" s="104">
        <v>6.7621931571772542E-2</v>
      </c>
      <c r="CD40" s="100"/>
      <c r="CE40" s="100"/>
    </row>
    <row r="41" spans="1:85" s="1316" customFormat="1" ht="18.5">
      <c r="A41" s="1289" t="s">
        <v>352</v>
      </c>
      <c r="B41" s="1289"/>
      <c r="C41" s="1289"/>
      <c r="D41" s="1289"/>
      <c r="E41" s="1289"/>
      <c r="F41" s="1291">
        <v>22.684385275196568</v>
      </c>
      <c r="G41" s="1291"/>
      <c r="H41" s="1292">
        <v>40.967300000000002</v>
      </c>
      <c r="I41" s="1293"/>
      <c r="J41" s="1294">
        <f t="shared" si="23"/>
        <v>6.8088967219996022E-2</v>
      </c>
      <c r="K41" s="1295">
        <f t="shared" si="31"/>
        <v>55.371931455567172</v>
      </c>
      <c r="L41" s="1295">
        <f t="shared" si="2"/>
        <v>55.371931455567172</v>
      </c>
      <c r="M41" s="1296">
        <f t="shared" si="39"/>
        <v>3.550947416315009E-2</v>
      </c>
      <c r="N41" s="1296">
        <f t="shared" si="40"/>
        <v>3.550947416315009E-2</v>
      </c>
      <c r="O41" s="1298">
        <f t="shared" si="46"/>
        <v>3.635581091874851E-2</v>
      </c>
      <c r="P41" s="1298">
        <f t="shared" si="26"/>
        <v>2.8963998798757329E-2</v>
      </c>
      <c r="Q41" s="1298"/>
      <c r="R41" s="1298"/>
      <c r="S41" s="1298"/>
      <c r="T41" s="1298">
        <f t="shared" si="44"/>
        <v>5.8880731807777531E-2</v>
      </c>
      <c r="U41" s="1298">
        <f t="shared" si="41"/>
        <v>5.8880731807777531E-2</v>
      </c>
      <c r="V41" s="1298">
        <f t="shared" si="25"/>
        <v>2.8963998798757329E-2</v>
      </c>
      <c r="W41" s="1298">
        <f t="shared" si="30"/>
        <v>2.5322153922727075E-2</v>
      </c>
      <c r="X41" s="1300">
        <v>56916400</v>
      </c>
      <c r="Y41" s="1301">
        <f t="shared" si="32"/>
        <v>398.55622061825005</v>
      </c>
      <c r="Z41" s="1301">
        <f t="shared" si="33"/>
        <v>972.86426154091214</v>
      </c>
      <c r="AA41" s="1319">
        <f t="shared" si="45"/>
        <v>3.3464522885557901E-2</v>
      </c>
      <c r="AC41" s="1303">
        <v>570330</v>
      </c>
      <c r="AD41" s="1303">
        <v>202.79400000000001</v>
      </c>
      <c r="AE41" s="1303">
        <v>177.70099999999999</v>
      </c>
      <c r="AF41" s="1295">
        <f t="shared" si="47"/>
        <v>1246952.7403807426</v>
      </c>
      <c r="AG41" s="1298">
        <f t="shared" si="27"/>
        <v>3.946638146607806E-2</v>
      </c>
      <c r="AH41" s="1298"/>
      <c r="AI41" s="1295">
        <f t="shared" si="42"/>
        <v>443.38283806352871</v>
      </c>
      <c r="AJ41" s="1298">
        <f t="shared" si="28"/>
        <v>1.7939459601961971E-2</v>
      </c>
      <c r="AK41" s="1298"/>
      <c r="AL41" s="1295">
        <f t="shared" si="43"/>
        <v>388.52024077007752</v>
      </c>
      <c r="AM41" s="1298">
        <f t="shared" si="29"/>
        <v>2.7331334542995744E-2</v>
      </c>
      <c r="AN41" s="1298"/>
      <c r="AO41" s="1302">
        <f t="shared" si="34"/>
        <v>21908496.327609308</v>
      </c>
      <c r="AP41" s="1320"/>
      <c r="AQ41" s="1302">
        <f t="shared" si="35"/>
        <v>7790.071720339457</v>
      </c>
      <c r="AR41" s="1302">
        <f t="shared" si="36"/>
        <v>6826.1562707774474</v>
      </c>
      <c r="AS41" s="1303"/>
      <c r="AT41" s="1724">
        <v>741822</v>
      </c>
      <c r="AU41" s="1725">
        <v>922676</v>
      </c>
      <c r="AV41" s="1321"/>
      <c r="AW41" s="1321">
        <f t="shared" si="48"/>
        <v>5306342.6489258828</v>
      </c>
      <c r="AX41" s="1321">
        <f t="shared" ref="AX41:AX59" si="51">AW41</f>
        <v>5306342.6489258828</v>
      </c>
      <c r="AY41" s="1321">
        <f t="shared" si="49"/>
        <v>219.22279872861807</v>
      </c>
      <c r="AZ41" s="1298">
        <f t="shared" si="17"/>
        <v>3.3333704791249863E-2</v>
      </c>
      <c r="BA41" s="1298">
        <f>((AT40/AT36)^(1/COUNT(AT37:AT40)))-1</f>
        <v>-2.8676405542521488E-3</v>
      </c>
      <c r="BB41" s="1298" t="s">
        <v>853</v>
      </c>
      <c r="BC41" s="1298">
        <f>BC40</f>
        <v>1.921644979353454E-2</v>
      </c>
      <c r="BD41" s="1298"/>
      <c r="BE41" s="1305"/>
      <c r="BF41" s="1305"/>
      <c r="BG41" s="1322">
        <v>92534744.357115865</v>
      </c>
      <c r="BH41" s="1307">
        <f t="shared" si="16"/>
        <v>8.0166861123764956E-3</v>
      </c>
      <c r="BI41" s="1307">
        <f t="shared" si="50"/>
        <v>9.9711303728159794E-3</v>
      </c>
      <c r="BJ41" s="1322"/>
      <c r="BK41" s="1298">
        <f t="shared" si="18"/>
        <v>2.9445712532495838E-2</v>
      </c>
      <c r="BL41" s="1298">
        <f>((BH40/BH36)^(1/COUNT(BH37:BH40)))-1</f>
        <v>-7.9816879305164568E-3</v>
      </c>
      <c r="BM41" s="1308">
        <v>570.56799999999998</v>
      </c>
      <c r="BN41" s="1309">
        <f t="shared" si="37"/>
        <v>3.9757549100539406E-2</v>
      </c>
      <c r="BO41" s="1310">
        <v>195.88900000000001</v>
      </c>
      <c r="BP41" s="1311">
        <f t="shared" si="38"/>
        <v>0.11580224144896634</v>
      </c>
      <c r="BQ41" s="1311"/>
      <c r="BR41" s="1311">
        <v>0.19788186324711751</v>
      </c>
      <c r="BS41" s="1312">
        <v>114.63600000000002</v>
      </c>
      <c r="BT41" s="1313">
        <v>46.5</v>
      </c>
      <c r="BU41" s="1314">
        <v>18.966999999999999</v>
      </c>
      <c r="BV41" s="1315">
        <v>15.786</v>
      </c>
      <c r="BW41" s="1303"/>
      <c r="BX41" s="1303"/>
      <c r="CA41" s="1317" t="s">
        <v>842</v>
      </c>
      <c r="CB41" s="1317" t="s">
        <v>879</v>
      </c>
      <c r="CC41" s="1318">
        <v>4.0568238635055875E-2</v>
      </c>
      <c r="CD41" s="1317"/>
      <c r="CE41" s="1317"/>
    </row>
    <row r="42" spans="1:85" ht="18.5">
      <c r="A42" s="111" t="s">
        <v>353</v>
      </c>
      <c r="B42" s="111"/>
      <c r="C42" s="111"/>
      <c r="D42" s="111"/>
      <c r="E42" s="111"/>
      <c r="F42" s="110">
        <v>24.38806290207291</v>
      </c>
      <c r="G42" s="110"/>
      <c r="H42" s="1184">
        <v>44.273800000000001</v>
      </c>
      <c r="I42" s="366"/>
      <c r="J42" s="908">
        <f t="shared" si="23"/>
        <v>8.0710713178559379E-2</v>
      </c>
      <c r="K42" s="367">
        <f t="shared" si="31"/>
        <v>55.084639001108805</v>
      </c>
      <c r="L42" s="367">
        <f t="shared" si="2"/>
        <v>55.084639001108805</v>
      </c>
      <c r="M42" s="108">
        <f t="shared" si="39"/>
        <v>-5.1884130985913046E-3</v>
      </c>
      <c r="N42" s="108">
        <f t="shared" si="40"/>
        <v>-5.1884130985913046E-3</v>
      </c>
      <c r="O42" s="1245">
        <f t="shared" si="46"/>
        <v>3.430990644890497E-2</v>
      </c>
      <c r="P42" s="1245">
        <f t="shared" si="26"/>
        <v>2.6311891336808335E-2</v>
      </c>
      <c r="Q42" s="198"/>
      <c r="R42" s="198"/>
      <c r="S42" s="198"/>
      <c r="T42" s="198">
        <f t="shared" si="44"/>
        <v>1.4956562244752725E-2</v>
      </c>
      <c r="U42" s="198">
        <f t="shared" si="41"/>
        <v>1.4956562244752725E-2</v>
      </c>
      <c r="V42" s="290">
        <f t="shared" si="25"/>
        <v>2.6311891336808335E-2</v>
      </c>
      <c r="W42" s="198">
        <f t="shared" si="30"/>
        <v>2.2025645518922499E-2</v>
      </c>
      <c r="X42" s="887">
        <v>57076500</v>
      </c>
      <c r="Y42" s="902">
        <f t="shared" si="32"/>
        <v>427.28728814963972</v>
      </c>
      <c r="Z42" s="902">
        <f t="shared" si="33"/>
        <v>965.10190710903441</v>
      </c>
      <c r="AA42" s="1111">
        <f t="shared" si="45"/>
        <v>-7.9788668766421766E-3</v>
      </c>
      <c r="AB42" s="1109">
        <v>37</v>
      </c>
      <c r="AC42" s="889">
        <v>629559</v>
      </c>
      <c r="AD42" s="889">
        <v>218.76499999999999</v>
      </c>
      <c r="AE42" s="889">
        <v>193.24299999999999</v>
      </c>
      <c r="AF42" s="367">
        <f t="shared" si="47"/>
        <v>1273651.9287321169</v>
      </c>
      <c r="AG42" s="198">
        <f t="shared" si="27"/>
        <v>4.0066495248132439E-2</v>
      </c>
      <c r="AH42" s="198"/>
      <c r="AI42" s="367">
        <f t="shared" si="42"/>
        <v>442.58038434695004</v>
      </c>
      <c r="AJ42" s="198">
        <f t="shared" si="28"/>
        <v>1.5212670272287232E-2</v>
      </c>
      <c r="AK42" s="198"/>
      <c r="AL42" s="367">
        <f t="shared" si="43"/>
        <v>390.94718630657411</v>
      </c>
      <c r="AM42" s="198">
        <f t="shared" si="29"/>
        <v>2.1334126228922612E-2</v>
      </c>
      <c r="AN42" s="198"/>
      <c r="AO42" s="903">
        <f t="shared" si="34"/>
        <v>22314821.839673366</v>
      </c>
      <c r="AP42" s="1109"/>
      <c r="AQ42" s="903">
        <f t="shared" si="35"/>
        <v>7754.1612458183317</v>
      </c>
      <c r="AR42" s="903">
        <f t="shared" si="36"/>
        <v>6849.5297768183773</v>
      </c>
      <c r="AS42" s="889"/>
      <c r="AT42" s="220">
        <v>746694</v>
      </c>
      <c r="AU42" s="212">
        <v>958976</v>
      </c>
      <c r="AV42" s="213"/>
      <c r="AW42" s="213">
        <f t="shared" si="48"/>
        <v>5515105.24614962</v>
      </c>
      <c r="AX42" s="213">
        <f t="shared" si="51"/>
        <v>5515105.24614962</v>
      </c>
      <c r="AY42" s="213">
        <f t="shared" si="49"/>
        <v>227.84748127574059</v>
      </c>
      <c r="AZ42" s="198">
        <f t="shared" si="17"/>
        <v>6.5676132549317146E-3</v>
      </c>
      <c r="BA42" s="198">
        <f>((AT42/AT37)^(1/COUNT(AT38:AT42)))-1</f>
        <v>1.5053140543534127E-2</v>
      </c>
      <c r="BB42" s="198" t="s">
        <v>853</v>
      </c>
      <c r="BC42" s="198">
        <f t="shared" ref="BC42:BC49" si="52">BC41</f>
        <v>1.921644979353454E-2</v>
      </c>
      <c r="BD42" s="198"/>
      <c r="BE42" s="198"/>
      <c r="BF42" s="198"/>
      <c r="BG42" s="255">
        <v>92912540.43492505</v>
      </c>
      <c r="BH42" s="251">
        <f t="shared" si="16"/>
        <v>8.0365254948870594E-3</v>
      </c>
      <c r="BI42" s="251">
        <f t="shared" si="50"/>
        <v>1.0321276283169294E-2</v>
      </c>
      <c r="BJ42" s="255"/>
      <c r="BK42" s="198">
        <f t="shared" si="18"/>
        <v>2.4747610462052538E-3</v>
      </c>
      <c r="BL42" s="198">
        <f>((BH42/BH37)^(1/COUNT(BH38:BH42)))-1</f>
        <v>9.3148500575421789E-3</v>
      </c>
      <c r="BM42" s="177">
        <v>629.07500000000005</v>
      </c>
      <c r="BN42" s="183">
        <f t="shared" si="37"/>
        <v>3.8768132419938657E-2</v>
      </c>
      <c r="BO42" s="176">
        <v>216.79499999999999</v>
      </c>
      <c r="BP42" s="184">
        <f t="shared" si="38"/>
        <v>0.11249365945742712</v>
      </c>
      <c r="BQ42" s="184"/>
      <c r="BR42" s="184">
        <v>0.18622528178125311</v>
      </c>
      <c r="BS42" s="179">
        <v>130.96</v>
      </c>
      <c r="BT42" s="106">
        <v>49.3</v>
      </c>
      <c r="BU42" s="107">
        <v>19.773</v>
      </c>
      <c r="BV42" s="105">
        <v>16.762</v>
      </c>
      <c r="BW42" s="889"/>
      <c r="BX42" s="889"/>
      <c r="CA42" s="100" t="s">
        <v>880</v>
      </c>
      <c r="CB42" s="100" t="s">
        <v>881</v>
      </c>
      <c r="CC42" s="104">
        <v>5.6564696160910755E-2</v>
      </c>
      <c r="CD42" s="100"/>
      <c r="CE42" s="100"/>
    </row>
    <row r="43" spans="1:85" ht="18.5">
      <c r="A43" s="111" t="s">
        <v>354</v>
      </c>
      <c r="B43" s="111"/>
      <c r="C43" s="111"/>
      <c r="D43" s="111"/>
      <c r="E43" s="111"/>
      <c r="F43" s="110">
        <v>27.1</v>
      </c>
      <c r="G43" s="110"/>
      <c r="H43" s="1184">
        <v>47.991799999999998</v>
      </c>
      <c r="I43" s="366"/>
      <c r="J43" s="908">
        <f t="shared" si="23"/>
        <v>8.3977431347659337E-2</v>
      </c>
      <c r="K43" s="367">
        <f t="shared" si="31"/>
        <v>56.467979946574211</v>
      </c>
      <c r="L43" s="367">
        <f t="shared" si="2"/>
        <v>56.467979946574211</v>
      </c>
      <c r="M43" s="108">
        <f t="shared" si="39"/>
        <v>2.5113007374661489E-2</v>
      </c>
      <c r="N43" s="108">
        <f t="shared" si="40"/>
        <v>2.5113007374661489E-2</v>
      </c>
      <c r="O43" s="198">
        <f t="shared" si="46"/>
        <v>3.605042152655491E-2</v>
      </c>
      <c r="P43" s="198">
        <f t="shared" si="26"/>
        <v>2.5334779669696994E-2</v>
      </c>
      <c r="Q43" s="198"/>
      <c r="R43" s="198"/>
      <c r="S43" s="198"/>
      <c r="T43" s="198">
        <f t="shared" si="44"/>
        <v>9.8486508480675194E-3</v>
      </c>
      <c r="U43" s="198">
        <f t="shared" si="41"/>
        <v>9.8486508480675194E-3</v>
      </c>
      <c r="V43" s="198">
        <f t="shared" si="25"/>
        <v>2.5334779669696994E-2</v>
      </c>
      <c r="W43" s="198">
        <f t="shared" si="30"/>
        <v>2.2406190538660553E-2</v>
      </c>
      <c r="X43" s="887">
        <v>57237500</v>
      </c>
      <c r="Y43" s="902">
        <f t="shared" si="32"/>
        <v>473.46582223192837</v>
      </c>
      <c r="Z43" s="902">
        <f t="shared" si="33"/>
        <v>986.55566624283404</v>
      </c>
      <c r="AA43" s="1111">
        <f t="shared" si="45"/>
        <v>2.2229527240355873E-2</v>
      </c>
      <c r="AB43" s="1109">
        <v>37</v>
      </c>
      <c r="AC43" s="889">
        <v>679270</v>
      </c>
      <c r="AD43" s="889">
        <v>230.536</v>
      </c>
      <c r="AE43" s="889">
        <v>206.55799999999999</v>
      </c>
      <c r="AF43" s="367">
        <f t="shared" si="47"/>
        <v>1267758.4528815339</v>
      </c>
      <c r="AG43" s="198">
        <f t="shared" si="27"/>
        <v>3.0756054020891543E-2</v>
      </c>
      <c r="AH43" s="198"/>
      <c r="AI43" s="367">
        <f t="shared" si="42"/>
        <v>430.26184388166308</v>
      </c>
      <c r="AJ43" s="198">
        <f t="shared" si="28"/>
        <v>6.1842302292400841E-3</v>
      </c>
      <c r="AK43" s="198"/>
      <c r="AL43" s="367">
        <f t="shared" si="43"/>
        <v>385.51040162277718</v>
      </c>
      <c r="AM43" s="198">
        <f t="shared" si="29"/>
        <v>1.5860778688967736E-2</v>
      </c>
      <c r="AN43" s="198"/>
      <c r="AO43" s="903">
        <f t="shared" si="34"/>
        <v>22149088.49760269</v>
      </c>
      <c r="AP43" s="1109"/>
      <c r="AQ43" s="903">
        <f t="shared" si="35"/>
        <v>7517.132018024251</v>
      </c>
      <c r="AR43" s="903">
        <f t="shared" si="36"/>
        <v>6735.2767263206315</v>
      </c>
      <c r="AS43" s="889"/>
      <c r="AT43" s="1726">
        <v>729061</v>
      </c>
      <c r="AU43" s="1727">
        <v>948243</v>
      </c>
      <c r="AV43" s="213"/>
      <c r="AW43" s="213">
        <f t="shared" si="48"/>
        <v>5453379.3795930808</v>
      </c>
      <c r="AX43" s="213">
        <f t="shared" si="51"/>
        <v>5453379.3795930808</v>
      </c>
      <c r="AY43" s="213">
        <f t="shared" si="49"/>
        <v>225.29737885760656</v>
      </c>
      <c r="AZ43" s="198">
        <f t="shared" si="17"/>
        <v>-2.3614760531087686E-2</v>
      </c>
      <c r="BA43" s="198">
        <f>((AT43/AT38)^(1/COUNT(AT39:AT43)))-1</f>
        <v>1.5692943547421123E-2</v>
      </c>
      <c r="BB43" s="198" t="s">
        <v>853</v>
      </c>
      <c r="BC43" s="198">
        <f t="shared" si="52"/>
        <v>1.921644979353454E-2</v>
      </c>
      <c r="BD43" s="198"/>
      <c r="BE43" s="198"/>
      <c r="BF43" s="198"/>
      <c r="BG43" s="255">
        <v>93171388.807212159</v>
      </c>
      <c r="BH43" s="251">
        <f t="shared" si="16"/>
        <v>7.8249450752371445E-3</v>
      </c>
      <c r="BI43" s="251">
        <f t="shared" si="50"/>
        <v>1.0177405447525099E-2</v>
      </c>
      <c r="BJ43" s="255"/>
      <c r="BK43" s="198">
        <f t="shared" si="18"/>
        <v>-2.6327350020170392E-2</v>
      </c>
      <c r="BL43" s="198">
        <f>((BH43/BH38)^(1/COUNT(BH39:BH43)))-1</f>
        <v>1.1154555840701352E-2</v>
      </c>
      <c r="BM43" s="177">
        <v>679.572</v>
      </c>
      <c r="BN43" s="183">
        <f t="shared" si="37"/>
        <v>3.9878040884556751E-2</v>
      </c>
      <c r="BO43" s="176">
        <v>235.07400000000001</v>
      </c>
      <c r="BP43" s="184">
        <f t="shared" si="38"/>
        <v>0.11528284710346529</v>
      </c>
      <c r="BQ43" s="184"/>
      <c r="BR43" s="184">
        <v>0.18833176969317905</v>
      </c>
      <c r="BS43" s="179">
        <v>143.89500000000001</v>
      </c>
      <c r="BT43" s="106">
        <v>55</v>
      </c>
      <c r="BU43" s="107">
        <v>19.472000000000001</v>
      </c>
      <c r="BV43" s="105">
        <v>16.707000000000001</v>
      </c>
      <c r="BW43" s="889"/>
      <c r="BX43" s="889"/>
      <c r="CA43" s="100" t="s">
        <v>882</v>
      </c>
      <c r="CB43" s="100" t="s">
        <v>883</v>
      </c>
      <c r="CC43" s="104">
        <v>4.9748474455850067E-2</v>
      </c>
      <c r="CD43" s="100"/>
      <c r="CE43" s="100"/>
    </row>
    <row r="44" spans="1:85" ht="18.5">
      <c r="A44" s="111" t="s">
        <v>355</v>
      </c>
      <c r="B44" s="111"/>
      <c r="C44" s="111"/>
      <c r="D44" s="111"/>
      <c r="E44" s="111"/>
      <c r="F44" s="110">
        <v>30.9</v>
      </c>
      <c r="G44" s="110"/>
      <c r="H44" s="1184">
        <v>50.886200000000002</v>
      </c>
      <c r="I44" s="366"/>
      <c r="J44" s="908">
        <f t="shared" si="23"/>
        <v>6.0310303010097766E-2</v>
      </c>
      <c r="K44" s="367">
        <f t="shared" si="31"/>
        <v>60.723732564035039</v>
      </c>
      <c r="L44" s="367">
        <f t="shared" si="2"/>
        <v>60.723732564035039</v>
      </c>
      <c r="M44" s="108">
        <f t="shared" si="39"/>
        <v>7.5365766961865921E-2</v>
      </c>
      <c r="N44" s="108">
        <f t="shared" si="40"/>
        <v>7.5365766961865921E-2</v>
      </c>
      <c r="O44" s="198">
        <f t="shared" si="46"/>
        <v>4.2203615662696148E-2</v>
      </c>
      <c r="P44" s="198">
        <f t="shared" si="26"/>
        <v>3.0493146027027684E-2</v>
      </c>
      <c r="Q44" s="198"/>
      <c r="R44" s="198"/>
      <c r="S44" s="198"/>
      <c r="T44" s="198">
        <f t="shared" si="44"/>
        <v>4.9938776976085286E-2</v>
      </c>
      <c r="U44" s="198">
        <f t="shared" si="41"/>
        <v>4.9938776976085286E-2</v>
      </c>
      <c r="V44" s="198">
        <f t="shared" ref="V44:V75" si="53">((K44/K34)^(1/COUNT(K35:K44)))-1</f>
        <v>3.0493146027027684E-2</v>
      </c>
      <c r="W44" s="198">
        <f t="shared" si="30"/>
        <v>2.9079272420506896E-2</v>
      </c>
      <c r="X44" s="887">
        <v>57438700</v>
      </c>
      <c r="Y44" s="902">
        <f t="shared" si="32"/>
        <v>537.96482162723044</v>
      </c>
      <c r="Z44" s="902">
        <f t="shared" si="33"/>
        <v>1057.191972729798</v>
      </c>
      <c r="AA44" s="1111">
        <f t="shared" si="45"/>
        <v>7.1598906076909774E-2</v>
      </c>
      <c r="AB44" s="1109">
        <v>40</v>
      </c>
      <c r="AC44" s="889">
        <v>714363</v>
      </c>
      <c r="AD44" s="889">
        <v>239.81100000000001</v>
      </c>
      <c r="AE44" s="889">
        <v>216.75</v>
      </c>
      <c r="AF44" s="367">
        <f t="shared" si="47"/>
        <v>1257419.0959651142</v>
      </c>
      <c r="AG44" s="198">
        <f t="shared" si="27"/>
        <v>2.2526384223640061E-2</v>
      </c>
      <c r="AH44" s="198"/>
      <c r="AI44" s="367">
        <f t="shared" si="42"/>
        <v>422.11443037011998</v>
      </c>
      <c r="AJ44" s="198">
        <f t="shared" si="28"/>
        <v>6.2435957969730893E-4</v>
      </c>
      <c r="AK44" s="198"/>
      <c r="AL44" s="367">
        <f t="shared" si="43"/>
        <v>381.52254393136059</v>
      </c>
      <c r="AM44" s="198">
        <f t="shared" si="29"/>
        <v>8.5089176803094801E-3</v>
      </c>
      <c r="AN44" s="198"/>
      <c r="AO44" s="903">
        <f t="shared" si="34"/>
        <v>21891496.429499872</v>
      </c>
      <c r="AP44" s="1109"/>
      <c r="AQ44" s="903">
        <f t="shared" si="35"/>
        <v>7348.9551534091124</v>
      </c>
      <c r="AR44" s="903">
        <f t="shared" si="36"/>
        <v>6642.2558994434166</v>
      </c>
      <c r="AS44" s="889"/>
      <c r="AT44" s="221">
        <v>663264</v>
      </c>
      <c r="AU44" s="222">
        <v>917717</v>
      </c>
      <c r="AV44" s="213"/>
      <c r="AW44" s="213">
        <f t="shared" si="48"/>
        <v>5277823.2627101103</v>
      </c>
      <c r="AX44" s="213">
        <f t="shared" si="51"/>
        <v>5277823.2627101103</v>
      </c>
      <c r="AY44" s="213">
        <f t="shared" si="49"/>
        <v>218.0445673029657</v>
      </c>
      <c r="AZ44" s="198">
        <f t="shared" si="17"/>
        <v>-9.0248964078451621E-2</v>
      </c>
      <c r="BA44" s="198">
        <f>((AT44/AT39)^(1/COUNT(AT40:AT44)))-1</f>
        <v>-2.9419052171770765E-3</v>
      </c>
      <c r="BB44" s="198" t="s">
        <v>853</v>
      </c>
      <c r="BC44" s="198">
        <f t="shared" si="52"/>
        <v>1.921644979353454E-2</v>
      </c>
      <c r="BD44" s="198"/>
      <c r="BE44" s="198"/>
      <c r="BF44" s="198"/>
      <c r="BG44" s="255">
        <v>93501966.075056911</v>
      </c>
      <c r="BH44" s="251">
        <f t="shared" si="16"/>
        <v>7.0935834597058373E-3</v>
      </c>
      <c r="BI44" s="251">
        <f t="shared" si="50"/>
        <v>9.8149486959805774E-3</v>
      </c>
      <c r="BJ44" s="255"/>
      <c r="BK44" s="198">
        <f t="shared" si="18"/>
        <v>-9.346539924552022E-2</v>
      </c>
      <c r="BL44" s="198">
        <f>((BH44/BH39)^(1/COUNT(BH40:BH44)))-1</f>
        <v>-6.8110442456932319E-3</v>
      </c>
      <c r="BM44" s="177">
        <v>716.28800000000001</v>
      </c>
      <c r="BN44" s="183">
        <f t="shared" si="37"/>
        <v>4.3139072551822727E-2</v>
      </c>
      <c r="BO44" s="176">
        <v>260.88099999999997</v>
      </c>
      <c r="BP44" s="184">
        <f t="shared" si="38"/>
        <v>0.11844480816924192</v>
      </c>
      <c r="BQ44" s="184"/>
      <c r="BR44" s="184">
        <v>0.19038230491974986</v>
      </c>
      <c r="BS44" s="179">
        <v>162.30499999999998</v>
      </c>
      <c r="BT44" s="106">
        <v>65.599999999999994</v>
      </c>
      <c r="BU44" s="107">
        <v>17.536999999999999</v>
      </c>
      <c r="BV44" s="105">
        <v>15.439</v>
      </c>
      <c r="BW44" s="889"/>
      <c r="BX44" s="889"/>
      <c r="CA44" s="100" t="s">
        <v>884</v>
      </c>
      <c r="CB44" s="100" t="s">
        <v>885</v>
      </c>
      <c r="CC44" s="104">
        <v>3.7305833367336616E-2</v>
      </c>
      <c r="CD44" s="100"/>
      <c r="CE44" s="100"/>
    </row>
    <row r="45" spans="1:85" ht="18.5">
      <c r="A45" s="111" t="s">
        <v>356</v>
      </c>
      <c r="B45" s="111"/>
      <c r="C45" s="111"/>
      <c r="D45" s="111"/>
      <c r="E45" s="111"/>
      <c r="F45" s="110">
        <v>34.200000000000003</v>
      </c>
      <c r="G45" s="110"/>
      <c r="H45" s="1184">
        <v>52.290199999999999</v>
      </c>
      <c r="I45" s="366"/>
      <c r="J45" s="908">
        <f t="shared" si="23"/>
        <v>2.7590977514532433E-2</v>
      </c>
      <c r="K45" s="367">
        <f t="shared" si="31"/>
        <v>65.404224883438971</v>
      </c>
      <c r="L45" s="367">
        <f t="shared" si="2"/>
        <v>65.404224883438971</v>
      </c>
      <c r="M45" s="108">
        <f t="shared" si="39"/>
        <v>7.7078468693738689E-2</v>
      </c>
      <c r="N45" s="108">
        <f t="shared" si="40"/>
        <v>7.7078468693738689E-2</v>
      </c>
      <c r="O45" s="198">
        <f t="shared" si="46"/>
        <v>4.1103823506221326E-2</v>
      </c>
      <c r="P45" s="198">
        <f t="shared" si="26"/>
        <v>3.7211139223748635E-2</v>
      </c>
      <c r="Q45" s="198"/>
      <c r="R45" s="198"/>
      <c r="S45" s="198"/>
      <c r="T45" s="198">
        <f t="shared" si="44"/>
        <v>7.6221777128187451E-2</v>
      </c>
      <c r="U45" s="198">
        <f t="shared" si="41"/>
        <v>7.6221777128187451E-2</v>
      </c>
      <c r="V45" s="198">
        <f t="shared" si="53"/>
        <v>3.7211139223748635E-2</v>
      </c>
      <c r="W45" s="198">
        <f t="shared" si="30"/>
        <v>3.2815410442555759E-2</v>
      </c>
      <c r="X45" s="887">
        <v>57584500</v>
      </c>
      <c r="Y45" s="902">
        <f t="shared" si="32"/>
        <v>593.90981948267336</v>
      </c>
      <c r="Z45" s="902">
        <f t="shared" si="33"/>
        <v>1135.795654793199</v>
      </c>
      <c r="AA45" s="1111">
        <f t="shared" si="45"/>
        <v>7.4351379967856568E-2</v>
      </c>
      <c r="AC45" s="889">
        <v>738807</v>
      </c>
      <c r="AD45" s="889">
        <v>237.1</v>
      </c>
      <c r="AE45" s="889">
        <v>214.79599999999999</v>
      </c>
      <c r="AF45" s="367">
        <f t="shared" si="47"/>
        <v>1265528.1744552518</v>
      </c>
      <c r="AG45" s="198">
        <f t="shared" si="27"/>
        <v>1.1618952157918194E-2</v>
      </c>
      <c r="AH45" s="198"/>
      <c r="AI45" s="367">
        <f t="shared" si="42"/>
        <v>406.13682621217743</v>
      </c>
      <c r="AJ45" s="198">
        <f t="shared" si="28"/>
        <v>-1.2448537219136635E-2</v>
      </c>
      <c r="AK45" s="198"/>
      <c r="AL45" s="367">
        <f t="shared" si="43"/>
        <v>367.93152983159371</v>
      </c>
      <c r="AM45" s="198">
        <f t="shared" si="29"/>
        <v>-5.5435577147793236E-3</v>
      </c>
      <c r="AN45" s="198"/>
      <c r="AO45" s="903">
        <f t="shared" si="34"/>
        <v>21976889.170788176</v>
      </c>
      <c r="AP45" s="1109"/>
      <c r="AQ45" s="903">
        <f t="shared" si="35"/>
        <v>7052.8844778052671</v>
      </c>
      <c r="AR45" s="903">
        <f t="shared" si="36"/>
        <v>6389.4195457387614</v>
      </c>
      <c r="AS45" s="889"/>
      <c r="AT45" s="108"/>
      <c r="AU45" s="1727">
        <v>994974</v>
      </c>
      <c r="AV45" s="213"/>
      <c r="AW45" s="213">
        <f t="shared" si="48"/>
        <v>5722131.0305810282</v>
      </c>
      <c r="AX45" s="213">
        <f t="shared" si="51"/>
        <v>5722131.0305810282</v>
      </c>
      <c r="AY45" s="213">
        <f t="shared" si="49"/>
        <v>236.40041026558401</v>
      </c>
      <c r="AZ45" s="198">
        <f>AU45/AU44-1</f>
        <v>8.4183904188328107E-2</v>
      </c>
      <c r="BA45" s="198">
        <f t="shared" ref="BA45:BA60" si="54">((AU45/AU40)^(1/COUNT(AU41:AU45)))-1</f>
        <v>2.5739634034596559E-2</v>
      </c>
      <c r="BB45" s="198" t="s">
        <v>853</v>
      </c>
      <c r="BC45" s="198">
        <f t="shared" si="52"/>
        <v>1.921644979353454E-2</v>
      </c>
      <c r="BD45" s="198"/>
      <c r="BE45" s="198"/>
      <c r="BF45" s="198"/>
      <c r="BG45" s="255">
        <v>93709104.756987125</v>
      </c>
      <c r="BH45" s="255"/>
      <c r="BI45" s="251">
        <f t="shared" si="50"/>
        <v>1.0617687604424723E-2</v>
      </c>
      <c r="BJ45" s="255"/>
      <c r="BK45" s="198">
        <f>BI45/BI44-1</f>
        <v>8.1787376919543409E-2</v>
      </c>
      <c r="BL45" s="198">
        <f t="shared" ref="BL45:BL60" si="55">((BI45/BI40)^(1/COUNT(BI41:BI45)))-1</f>
        <v>2.2384638832711357E-2</v>
      </c>
      <c r="BM45" s="177">
        <v>738.95500000000004</v>
      </c>
      <c r="BN45" s="183">
        <f t="shared" si="37"/>
        <v>4.6281573302839822E-2</v>
      </c>
      <c r="BO45" s="176">
        <v>281.48099999999999</v>
      </c>
      <c r="BP45" s="184">
        <f t="shared" si="38"/>
        <v>0.12150020782930288</v>
      </c>
      <c r="BQ45" s="184"/>
      <c r="BR45" s="184">
        <v>0.19712383642179895</v>
      </c>
      <c r="BS45" s="179">
        <v>173.49499999999998</v>
      </c>
      <c r="BT45" s="106">
        <v>74.3</v>
      </c>
      <c r="BU45" s="107">
        <v>18.393999999999998</v>
      </c>
      <c r="BV45" s="105">
        <v>15.292</v>
      </c>
      <c r="BW45" s="889"/>
      <c r="BX45" s="889"/>
      <c r="CA45" s="100" t="s">
        <v>886</v>
      </c>
      <c r="CB45" s="100" t="s">
        <v>887</v>
      </c>
      <c r="CC45" s="104">
        <v>-2.7252904873703576E-3</v>
      </c>
      <c r="CD45" s="100"/>
      <c r="CE45" s="100"/>
    </row>
    <row r="46" spans="1:85" ht="18.5">
      <c r="A46" s="111" t="s">
        <v>357</v>
      </c>
      <c r="B46" s="111"/>
      <c r="C46" s="111"/>
      <c r="D46" s="111"/>
      <c r="E46" s="111"/>
      <c r="F46" s="110">
        <v>36.6</v>
      </c>
      <c r="G46" s="110"/>
      <c r="H46" s="1184">
        <v>53.780999999999999</v>
      </c>
      <c r="I46" s="366"/>
      <c r="J46" s="908">
        <f t="shared" si="23"/>
        <v>2.8510122355623002E-2</v>
      </c>
      <c r="K46" s="367">
        <f t="shared" si="31"/>
        <v>68.053773637529986</v>
      </c>
      <c r="L46" s="367">
        <f t="shared" si="2"/>
        <v>68.053773637529986</v>
      </c>
      <c r="M46" s="108">
        <f t="shared" si="39"/>
        <v>4.0510360895078978E-2</v>
      </c>
      <c r="N46" s="108">
        <f t="shared" si="40"/>
        <v>4.0510360895078978E-2</v>
      </c>
      <c r="O46" s="198">
        <f t="shared" si="46"/>
        <v>4.2107467389892683E-2</v>
      </c>
      <c r="P46" s="198">
        <f t="shared" si="26"/>
        <v>3.9227660058822611E-2</v>
      </c>
      <c r="Q46" s="198"/>
      <c r="R46" s="198"/>
      <c r="S46" s="198"/>
      <c r="T46" s="198">
        <f t="shared" si="44"/>
        <v>5.863653166364946E-2</v>
      </c>
      <c r="U46" s="198">
        <f t="shared" si="41"/>
        <v>5.863653166364946E-2</v>
      </c>
      <c r="V46" s="198">
        <f t="shared" si="53"/>
        <v>3.9227660058822611E-2</v>
      </c>
      <c r="W46" s="198">
        <f t="shared" si="30"/>
        <v>3.4225828475156428E-2</v>
      </c>
      <c r="X46" s="887">
        <v>57713900</v>
      </c>
      <c r="Y46" s="902">
        <f t="shared" si="32"/>
        <v>634.16265405734146</v>
      </c>
      <c r="Z46" s="902">
        <f t="shared" si="33"/>
        <v>1179.1574237320642</v>
      </c>
      <c r="AA46" s="1111">
        <f t="shared" si="45"/>
        <v>3.8177438657977847E-2</v>
      </c>
      <c r="AB46" s="1109">
        <v>44</v>
      </c>
      <c r="AC46" s="889">
        <v>780640</v>
      </c>
      <c r="AD46" s="889">
        <v>244.88300000000001</v>
      </c>
      <c r="AE46" s="889">
        <v>221.792</v>
      </c>
      <c r="AF46" s="367">
        <f t="shared" si="47"/>
        <v>1300118.8265000652</v>
      </c>
      <c r="AG46" s="198">
        <f t="shared" si="27"/>
        <v>8.385542935958501E-3</v>
      </c>
      <c r="AH46" s="198"/>
      <c r="AI46" s="367">
        <f t="shared" si="42"/>
        <v>407.84100044811368</v>
      </c>
      <c r="AJ46" s="198">
        <f t="shared" si="28"/>
        <v>-1.6572381301423578E-2</v>
      </c>
      <c r="AK46" s="198"/>
      <c r="AL46" s="367">
        <f t="shared" si="43"/>
        <v>369.38403715810421</v>
      </c>
      <c r="AM46" s="198">
        <f t="shared" si="29"/>
        <v>-1.0050832232230578E-2</v>
      </c>
      <c r="AN46" s="198"/>
      <c r="AO46" s="903">
        <f t="shared" si="34"/>
        <v>22526961.901726712</v>
      </c>
      <c r="AP46" s="1109"/>
      <c r="AQ46" s="903">
        <f t="shared" si="35"/>
        <v>7066.5992152343479</v>
      </c>
      <c r="AR46" s="903">
        <f t="shared" si="36"/>
        <v>6400.2612396338527</v>
      </c>
      <c r="AS46" s="889"/>
      <c r="AT46" s="108"/>
      <c r="AU46" s="212">
        <v>1065369</v>
      </c>
      <c r="AV46" s="213"/>
      <c r="AW46" s="213">
        <f t="shared" si="48"/>
        <v>6126975.1912302021</v>
      </c>
      <c r="AX46" s="213">
        <f t="shared" si="51"/>
        <v>6126975.1912302021</v>
      </c>
      <c r="AY46" s="213">
        <f t="shared" si="49"/>
        <v>253.12587935386753</v>
      </c>
      <c r="AZ46" s="198">
        <f t="shared" ref="AZ46:AZ60" si="56">AU46/AU45-1</f>
        <v>7.0750592477793361E-2</v>
      </c>
      <c r="BA46" s="198">
        <f t="shared" si="54"/>
        <v>2.9177223285026477E-2</v>
      </c>
      <c r="BB46" s="198" t="s">
        <v>853</v>
      </c>
      <c r="BC46" s="198">
        <f t="shared" si="52"/>
        <v>1.921644979353454E-2</v>
      </c>
      <c r="BD46" s="198"/>
      <c r="BE46" s="198"/>
      <c r="BF46" s="198"/>
      <c r="BG46" s="255">
        <v>93852989.154189378</v>
      </c>
      <c r="BH46" s="255"/>
      <c r="BI46" s="251">
        <f t="shared" si="50"/>
        <v>1.1351465836103787E-2</v>
      </c>
      <c r="BJ46" s="255"/>
      <c r="BK46" s="198">
        <f t="shared" ref="BK46:BK60" si="57">BI46/BI45-1</f>
        <v>6.9109043232094658E-2</v>
      </c>
      <c r="BL46" s="198">
        <f t="shared" si="55"/>
        <v>2.6269708347706366E-2</v>
      </c>
      <c r="BM46" s="177">
        <v>783.21100000000001</v>
      </c>
      <c r="BN46" s="183">
        <f t="shared" si="37"/>
        <v>4.6730702199024275E-2</v>
      </c>
      <c r="BO46" s="176">
        <v>293.68</v>
      </c>
      <c r="BP46" s="184">
        <f t="shared" si="38"/>
        <v>0.12462544265867612</v>
      </c>
      <c r="BQ46" s="184"/>
      <c r="BR46" s="184">
        <v>0.20718583890451905</v>
      </c>
      <c r="BS46" s="179">
        <v>176.65299999999999</v>
      </c>
      <c r="BT46" s="106">
        <v>81.3</v>
      </c>
      <c r="BU46" s="107">
        <v>20.149000000000001</v>
      </c>
      <c r="BV46" s="105">
        <v>15.577999999999999</v>
      </c>
      <c r="BW46" s="889"/>
      <c r="BX46" s="889"/>
      <c r="CA46" s="100" t="s">
        <v>832</v>
      </c>
      <c r="CB46" s="100" t="s">
        <v>834</v>
      </c>
      <c r="CC46" s="104">
        <v>-1.3962291790667436E-2</v>
      </c>
      <c r="CD46" s="100"/>
      <c r="CE46" s="100"/>
      <c r="CF46" s="100"/>
      <c r="CG46" s="100"/>
    </row>
    <row r="47" spans="1:85" ht="18.5">
      <c r="A47" s="111" t="s">
        <v>358</v>
      </c>
      <c r="B47" s="111"/>
      <c r="C47" s="111"/>
      <c r="D47" s="111"/>
      <c r="E47" s="111"/>
      <c r="F47" s="110">
        <v>39.4</v>
      </c>
      <c r="G47" s="110"/>
      <c r="H47" s="1184">
        <v>54.670099999999998</v>
      </c>
      <c r="I47" s="366"/>
      <c r="J47" s="908">
        <f t="shared" si="23"/>
        <v>1.653186069429724E-2</v>
      </c>
      <c r="K47" s="367">
        <f t="shared" si="31"/>
        <v>72.068644469280287</v>
      </c>
      <c r="L47" s="367">
        <f t="shared" si="2"/>
        <v>72.068644469280287</v>
      </c>
      <c r="M47" s="108">
        <f t="shared" si="39"/>
        <v>5.8995565082612833E-2</v>
      </c>
      <c r="N47" s="108">
        <f t="shared" si="40"/>
        <v>5.8995565082612833E-2</v>
      </c>
      <c r="O47" s="1245">
        <f t="shared" si="46"/>
        <v>5.5220377130749343E-2</v>
      </c>
      <c r="P47" s="198">
        <f t="shared" si="26"/>
        <v>4.4712826356163582E-2</v>
      </c>
      <c r="Q47" s="198"/>
      <c r="R47" s="198"/>
      <c r="S47" s="198"/>
      <c r="T47" s="198">
        <f t="shared" si="44"/>
        <v>4.9712273725708744E-2</v>
      </c>
      <c r="U47" s="198">
        <f t="shared" si="41"/>
        <v>4.9712273725708744E-2</v>
      </c>
      <c r="V47" s="198">
        <f t="shared" si="53"/>
        <v>4.4712826356163582E-2</v>
      </c>
      <c r="W47" s="198">
        <f t="shared" si="30"/>
        <v>3.5925782979838061E-2</v>
      </c>
      <c r="X47" s="887">
        <v>57862100</v>
      </c>
      <c r="Y47" s="902">
        <f t="shared" si="32"/>
        <v>680.92931296997517</v>
      </c>
      <c r="Z47" s="902">
        <f t="shared" si="33"/>
        <v>1245.5241767803154</v>
      </c>
      <c r="AA47" s="1111">
        <f t="shared" si="45"/>
        <v>5.6283199946448814E-2</v>
      </c>
      <c r="AB47" s="1109">
        <v>44</v>
      </c>
      <c r="AC47" s="889">
        <v>820882</v>
      </c>
      <c r="AD47" s="889">
        <v>264.72699999999998</v>
      </c>
      <c r="AE47" s="889">
        <v>240.98</v>
      </c>
      <c r="AF47" s="367">
        <f t="shared" si="47"/>
        <v>1344906.1639799452</v>
      </c>
      <c r="AG47" s="198">
        <f t="shared" si="27"/>
        <v>1.0946668205806587E-2</v>
      </c>
      <c r="AH47" s="198"/>
      <c r="AI47" s="367">
        <f t="shared" si="42"/>
        <v>433.72004023954588</v>
      </c>
      <c r="AJ47" s="198">
        <f t="shared" si="28"/>
        <v>-4.0364017646099537E-3</v>
      </c>
      <c r="AK47" s="198"/>
      <c r="AL47" s="367">
        <f t="shared" si="43"/>
        <v>394.81373375940416</v>
      </c>
      <c r="AM47" s="198">
        <f t="shared" si="29"/>
        <v>1.9702616400538719E-3</v>
      </c>
      <c r="AN47" s="198"/>
      <c r="AO47" s="903">
        <f t="shared" si="34"/>
        <v>23243300.260100227</v>
      </c>
      <c r="AP47" s="1109"/>
      <c r="AQ47" s="903">
        <f t="shared" si="35"/>
        <v>7495.7535284676133</v>
      </c>
      <c r="AR47" s="903">
        <f t="shared" si="36"/>
        <v>6823.3564588807558</v>
      </c>
      <c r="AS47" s="889"/>
      <c r="AT47" s="108"/>
      <c r="AU47" s="1727">
        <v>1044051</v>
      </c>
      <c r="AV47" s="213"/>
      <c r="AW47" s="213">
        <f t="shared" si="48"/>
        <v>6004374.6114060804</v>
      </c>
      <c r="AX47" s="213">
        <f t="shared" si="51"/>
        <v>6004374.6114060804</v>
      </c>
      <c r="AY47" s="213">
        <f t="shared" si="49"/>
        <v>248.06083851255744</v>
      </c>
      <c r="AZ47" s="198">
        <f t="shared" si="56"/>
        <v>-2.0009968377153853E-2</v>
      </c>
      <c r="BA47" s="198">
        <f t="shared" si="54"/>
        <v>1.7144827854949085E-2</v>
      </c>
      <c r="BB47" s="198" t="s">
        <v>853</v>
      </c>
      <c r="BC47" s="198">
        <f t="shared" si="52"/>
        <v>1.921644979353454E-2</v>
      </c>
      <c r="BD47" s="198"/>
      <c r="BE47" s="198"/>
      <c r="BF47" s="198"/>
      <c r="BG47" s="255">
        <v>93973249.869194508</v>
      </c>
      <c r="BH47" s="255"/>
      <c r="BI47" s="251">
        <f t="shared" si="50"/>
        <v>1.1110087194528873E-2</v>
      </c>
      <c r="BJ47" s="255"/>
      <c r="BK47" s="198">
        <f t="shared" si="57"/>
        <v>-2.1264094440314407E-2</v>
      </c>
      <c r="BL47" s="198">
        <f t="shared" si="55"/>
        <v>1.4838215031289348E-2</v>
      </c>
      <c r="BM47" s="177">
        <v>821.875</v>
      </c>
      <c r="BN47" s="183">
        <f t="shared" si="37"/>
        <v>4.7939163498098861E-2</v>
      </c>
      <c r="BO47" s="176">
        <v>305.48099999999999</v>
      </c>
      <c r="BP47" s="184">
        <f t="shared" si="38"/>
        <v>0.12897692491513382</v>
      </c>
      <c r="BQ47" s="184"/>
      <c r="BR47" s="184">
        <v>0.21501503468072453</v>
      </c>
      <c r="BS47" s="179">
        <v>183.24299999999997</v>
      </c>
      <c r="BT47" s="106">
        <v>83.8</v>
      </c>
      <c r="BU47" s="107">
        <v>22.783000000000001</v>
      </c>
      <c r="BV47" s="105">
        <v>15.654999999999999</v>
      </c>
      <c r="BW47" s="889"/>
      <c r="BX47" s="889"/>
    </row>
    <row r="48" spans="1:85" ht="18.5">
      <c r="A48" s="111" t="s">
        <v>359</v>
      </c>
      <c r="B48" s="111"/>
      <c r="C48" s="111"/>
      <c r="D48" s="111"/>
      <c r="E48" s="111"/>
      <c r="F48" s="110">
        <v>41.4</v>
      </c>
      <c r="G48" s="110"/>
      <c r="H48" s="1184">
        <v>56.405099999999997</v>
      </c>
      <c r="I48" s="366"/>
      <c r="J48" s="908">
        <f t="shared" si="23"/>
        <v>3.1735811714264317E-2</v>
      </c>
      <c r="K48" s="367">
        <f t="shared" si="31"/>
        <v>73.397618300472828</v>
      </c>
      <c r="L48" s="367">
        <f t="shared" si="2"/>
        <v>73.397618300472828</v>
      </c>
      <c r="M48" s="108">
        <f t="shared" si="39"/>
        <v>1.8440388895603954E-2</v>
      </c>
      <c r="N48" s="108">
        <f t="shared" si="40"/>
        <v>1.8440388895603954E-2</v>
      </c>
      <c r="O48" s="198">
        <f t="shared" si="46"/>
        <v>5.3843068002812577E-2</v>
      </c>
      <c r="P48" s="198">
        <f t="shared" si="26"/>
        <v>4.4908873934541793E-2</v>
      </c>
      <c r="Q48" s="198"/>
      <c r="R48" s="198"/>
      <c r="S48" s="198"/>
      <c r="T48" s="198">
        <f t="shared" si="44"/>
        <v>3.8520031170056868E-2</v>
      </c>
      <c r="U48" s="198">
        <f t="shared" si="41"/>
        <v>3.8520031170056868E-2</v>
      </c>
      <c r="V48" s="198">
        <f t="shared" si="53"/>
        <v>4.4908873934541793E-2</v>
      </c>
      <c r="W48" s="198">
        <f t="shared" si="30"/>
        <v>3.5614648038537089E-2</v>
      </c>
      <c r="X48" s="887">
        <v>58024800</v>
      </c>
      <c r="Y48" s="902">
        <f t="shared" si="32"/>
        <v>713.48802580965378</v>
      </c>
      <c r="Z48" s="902">
        <f t="shared" si="33"/>
        <v>1264.9353087037409</v>
      </c>
      <c r="AA48" s="1111">
        <f t="shared" si="45"/>
        <v>1.5584709060889823E-2</v>
      </c>
      <c r="AB48" s="1109">
        <v>37</v>
      </c>
      <c r="AC48" s="889">
        <v>863062</v>
      </c>
      <c r="AD48" s="889">
        <v>287.46800000000002</v>
      </c>
      <c r="AE48" s="889">
        <v>260.55799999999999</v>
      </c>
      <c r="AF48" s="367">
        <f t="shared" si="47"/>
        <v>1370517.9925467733</v>
      </c>
      <c r="AG48" s="198">
        <f t="shared" si="27"/>
        <v>1.5709806024793993E-2</v>
      </c>
      <c r="AH48" s="198">
        <f>(AF48/AF40)^(1/COUNTA(AF41:AF48))-1</f>
        <v>1.7330847889836409E-2</v>
      </c>
      <c r="AI48" s="367">
        <f t="shared" si="42"/>
        <v>456.49103573258446</v>
      </c>
      <c r="AJ48" s="198">
        <f t="shared" si="28"/>
        <v>1.1905331008004172E-2</v>
      </c>
      <c r="AK48" s="198">
        <f>(AI48/AI40)^(1/COUNTA(AI41:AI48))-1</f>
        <v>6.8037413610571029E-3</v>
      </c>
      <c r="AL48" s="367">
        <f t="shared" si="43"/>
        <v>413.75871849531336</v>
      </c>
      <c r="AM48" s="198">
        <f t="shared" si="29"/>
        <v>1.4243449596972768E-2</v>
      </c>
      <c r="AN48" s="198">
        <f>(AL48/AL40)^(1/COUNTA(AL41:AL48))-1</f>
        <v>1.1261847033454897E-2</v>
      </c>
      <c r="AO48" s="903">
        <f t="shared" si="34"/>
        <v>23619521.179681331</v>
      </c>
      <c r="AP48" s="1109"/>
      <c r="AQ48" s="903">
        <f t="shared" si="35"/>
        <v>7867.1712049431362</v>
      </c>
      <c r="AR48" s="903">
        <f t="shared" si="36"/>
        <v>7130.7220101631265</v>
      </c>
      <c r="AS48" s="889"/>
      <c r="AT48" s="108"/>
      <c r="AU48" s="212">
        <v>1048029</v>
      </c>
      <c r="AV48" s="213"/>
      <c r="AW48" s="213">
        <f t="shared" si="48"/>
        <v>6027252.2315646484</v>
      </c>
      <c r="AX48" s="213">
        <f t="shared" si="51"/>
        <v>6027252.2315646484</v>
      </c>
      <c r="AY48" s="213">
        <f t="shared" si="49"/>
        <v>249.00598967433299</v>
      </c>
      <c r="AZ48" s="198">
        <f t="shared" si="56"/>
        <v>3.8101586991439174E-3</v>
      </c>
      <c r="BA48" s="198">
        <f t="shared" si="54"/>
        <v>2.0212712831839896E-2</v>
      </c>
      <c r="BB48" s="198" t="s">
        <v>853</v>
      </c>
      <c r="BC48" s="198">
        <f t="shared" si="52"/>
        <v>1.921644979353454E-2</v>
      </c>
      <c r="BD48" s="198"/>
      <c r="BE48" s="198"/>
      <c r="BF48" s="198"/>
      <c r="BG48" s="255">
        <v>94218695.430743337</v>
      </c>
      <c r="BH48" s="255"/>
      <c r="BI48" s="251">
        <f t="shared" si="50"/>
        <v>1.1123365646368635E-2</v>
      </c>
      <c r="BJ48" s="255"/>
      <c r="BK48" s="198">
        <f t="shared" si="57"/>
        <v>1.1951708035469188E-3</v>
      </c>
      <c r="BL48" s="198">
        <f t="shared" si="55"/>
        <v>1.7934485138759726E-2</v>
      </c>
      <c r="BM48" s="177">
        <v>866.24199999999996</v>
      </c>
      <c r="BN48" s="183">
        <f t="shared" si="37"/>
        <v>4.7792649167322759E-2</v>
      </c>
      <c r="BO48" s="176">
        <v>319.40199999999999</v>
      </c>
      <c r="BP48" s="184">
        <f t="shared" si="38"/>
        <v>0.12961722218395627</v>
      </c>
      <c r="BQ48" s="184"/>
      <c r="BR48" s="184">
        <v>0.21777553339224848</v>
      </c>
      <c r="BS48" s="179">
        <v>190.10399999999998</v>
      </c>
      <c r="BT48" s="106">
        <v>87.5</v>
      </c>
      <c r="BU48" s="107">
        <v>26.126000000000001</v>
      </c>
      <c r="BV48" s="105">
        <v>15.672000000000001</v>
      </c>
      <c r="BW48" s="889"/>
      <c r="BX48" s="889"/>
    </row>
    <row r="49" spans="1:81" ht="20.5">
      <c r="A49" s="111" t="s">
        <v>360</v>
      </c>
      <c r="B49" s="111"/>
      <c r="C49" s="111"/>
      <c r="D49" s="111"/>
      <c r="E49" s="111"/>
      <c r="F49" s="110">
        <v>42.8</v>
      </c>
      <c r="G49" s="110"/>
      <c r="H49" s="1184">
        <v>58.314500000000002</v>
      </c>
      <c r="I49" s="366"/>
      <c r="J49" s="908">
        <f t="shared" si="23"/>
        <v>3.385154888476416E-2</v>
      </c>
      <c r="K49" s="367">
        <f t="shared" si="31"/>
        <v>73.395124711692631</v>
      </c>
      <c r="L49" s="367">
        <f t="shared" si="2"/>
        <v>73.395124711692631</v>
      </c>
      <c r="M49" s="108">
        <f t="shared" si="39"/>
        <v>-3.3973701571432535E-5</v>
      </c>
      <c r="N49" s="108">
        <f t="shared" si="40"/>
        <v>-3.3973701571432535E-5</v>
      </c>
      <c r="O49" s="198">
        <f t="shared" si="46"/>
        <v>3.8632123878539426E-2</v>
      </c>
      <c r="P49" s="198">
        <f t="shared" si="26"/>
        <v>4.0416337265827051E-2</v>
      </c>
      <c r="Q49" s="198"/>
      <c r="R49" s="198"/>
      <c r="S49" s="198"/>
      <c r="T49" s="198">
        <f t="shared" si="44"/>
        <v>9.1609330061104277E-3</v>
      </c>
      <c r="U49" s="198">
        <f t="shared" si="41"/>
        <v>9.1609330061104277E-3</v>
      </c>
      <c r="V49" s="198">
        <f t="shared" si="53"/>
        <v>4.0416337265827051E-2</v>
      </c>
      <c r="W49" s="198">
        <f t="shared" ref="W49:W77" si="58">((K49/K35)^(1/COUNT(K36:K49)))-1</f>
        <v>3.4926504658992386E-2</v>
      </c>
      <c r="X49" s="887">
        <v>58164400</v>
      </c>
      <c r="Y49" s="902">
        <f t="shared" si="32"/>
        <v>735.84529368479684</v>
      </c>
      <c r="Z49" s="902">
        <f t="shared" si="33"/>
        <v>1261.8564742642</v>
      </c>
      <c r="AA49" s="1111">
        <f t="shared" si="45"/>
        <v>-2.433985689510143E-3</v>
      </c>
      <c r="AB49" s="1109">
        <v>36</v>
      </c>
      <c r="AC49" s="889">
        <v>922997</v>
      </c>
      <c r="AD49" s="889">
        <v>299.65199999999999</v>
      </c>
      <c r="AE49" s="889">
        <v>273.89299999999997</v>
      </c>
      <c r="AF49" s="367">
        <f t="shared" si="47"/>
        <v>1417701.6760994263</v>
      </c>
      <c r="AG49" s="198">
        <f t="shared" si="27"/>
        <v>2.428534777770297E-2</v>
      </c>
      <c r="AI49" s="367">
        <f t="shared" si="42"/>
        <v>460.25842190878768</v>
      </c>
      <c r="AJ49" s="198">
        <f t="shared" si="28"/>
        <v>1.7452888303559622E-2</v>
      </c>
      <c r="AL49" s="367">
        <f t="shared" si="43"/>
        <v>420.69320395613431</v>
      </c>
      <c r="AM49" s="198">
        <f t="shared" si="29"/>
        <v>1.9739068012820216E-2</v>
      </c>
      <c r="AO49" s="903">
        <f t="shared" si="34"/>
        <v>24374044.537542317</v>
      </c>
      <c r="AP49" s="1109"/>
      <c r="AQ49" s="903">
        <f t="shared" si="35"/>
        <v>7913.060599074136</v>
      </c>
      <c r="AR49" s="903">
        <f t="shared" si="36"/>
        <v>7232.8297714088749</v>
      </c>
      <c r="AS49" s="889"/>
      <c r="AT49" s="108"/>
      <c r="AU49" s="1727">
        <v>1158004</v>
      </c>
      <c r="AV49" s="213"/>
      <c r="AW49" s="213">
        <f t="shared" si="48"/>
        <v>6659722.3866522675</v>
      </c>
      <c r="AX49" s="213">
        <f t="shared" si="51"/>
        <v>6659722.3866522675</v>
      </c>
      <c r="AY49" s="213">
        <f t="shared" si="49"/>
        <v>275.13545146826692</v>
      </c>
      <c r="AZ49" s="198">
        <f t="shared" si="56"/>
        <v>0.10493507336151953</v>
      </c>
      <c r="BA49" s="198">
        <f t="shared" si="54"/>
        <v>4.761149849464319E-2</v>
      </c>
      <c r="BB49" s="198" t="s">
        <v>853</v>
      </c>
      <c r="BC49" s="198">
        <f t="shared" si="52"/>
        <v>1.921644979353454E-2</v>
      </c>
      <c r="BD49" s="198"/>
      <c r="BE49" s="198"/>
      <c r="BF49" s="198"/>
      <c r="BG49" s="255">
        <v>94396669.176653951</v>
      </c>
      <c r="BH49" s="255"/>
      <c r="BI49" s="251">
        <f t="shared" si="50"/>
        <v>1.2267424371011556E-2</v>
      </c>
      <c r="BJ49" s="255"/>
      <c r="BK49" s="198">
        <f t="shared" si="57"/>
        <v>0.10285184907289402</v>
      </c>
      <c r="BL49" s="198">
        <f t="shared" si="55"/>
        <v>4.5618048617953599E-2</v>
      </c>
      <c r="BM49" s="177">
        <v>924.29700000000003</v>
      </c>
      <c r="BN49" s="183">
        <f t="shared" si="37"/>
        <v>4.6305462421710769E-2</v>
      </c>
      <c r="BO49" s="176">
        <v>323.92500000000001</v>
      </c>
      <c r="BP49" s="184">
        <f t="shared" si="38"/>
        <v>0.13212935092999922</v>
      </c>
      <c r="BQ49" s="184"/>
      <c r="BR49" s="184">
        <v>0.22585990353460192</v>
      </c>
      <c r="BS49" s="179">
        <v>189.49800000000002</v>
      </c>
      <c r="BT49" s="106">
        <v>90.9</v>
      </c>
      <c r="BU49" s="107">
        <v>27.565000000000001</v>
      </c>
      <c r="BV49" s="105">
        <v>15.962</v>
      </c>
      <c r="BW49" s="889"/>
      <c r="BX49" s="889"/>
      <c r="CA49" s="102" t="s">
        <v>888</v>
      </c>
      <c r="CB49" s="109" t="s">
        <v>889</v>
      </c>
      <c r="CC49" s="104">
        <f>CC17</f>
        <v>3.6020530702963072E-2</v>
      </c>
    </row>
    <row r="50" spans="1:81" ht="20.5">
      <c r="A50" s="111" t="s">
        <v>361</v>
      </c>
      <c r="B50" s="111"/>
      <c r="C50" s="111"/>
      <c r="D50" s="111"/>
      <c r="E50" s="111"/>
      <c r="F50" s="110">
        <v>44.5</v>
      </c>
      <c r="G50" s="110"/>
      <c r="H50" s="1184">
        <v>58.304600000000001</v>
      </c>
      <c r="I50" s="366"/>
      <c r="J50" s="908">
        <f t="shared" si="23"/>
        <v>-1.697690968799348E-4</v>
      </c>
      <c r="K50" s="367">
        <f t="shared" si="31"/>
        <v>76.323308967045477</v>
      </c>
      <c r="L50" s="367">
        <f t="shared" si="2"/>
        <v>76.323308967045477</v>
      </c>
      <c r="M50" s="108">
        <f t="shared" si="39"/>
        <v>3.989616840158261E-2</v>
      </c>
      <c r="N50" s="108">
        <f t="shared" si="40"/>
        <v>3.989616840158261E-2</v>
      </c>
      <c r="O50" s="198">
        <f t="shared" si="46"/>
        <v>3.1359985029006499E-2</v>
      </c>
      <c r="P50" s="198">
        <f t="shared" si="26"/>
        <v>3.6220451364002981E-2</v>
      </c>
      <c r="Q50" s="198"/>
      <c r="R50" s="198"/>
      <c r="S50" s="198"/>
      <c r="T50" s="198">
        <f t="shared" si="44"/>
        <v>1.9735671279323297E-2</v>
      </c>
      <c r="U50" s="198">
        <f t="shared" si="41"/>
        <v>1.9735671279323297E-2</v>
      </c>
      <c r="V50" s="198">
        <f t="shared" si="53"/>
        <v>3.6220451364002981E-2</v>
      </c>
      <c r="W50" s="198">
        <f t="shared" si="58"/>
        <v>3.6319597163660955E-2</v>
      </c>
      <c r="X50" s="887">
        <v>58314200</v>
      </c>
      <c r="Y50" s="902">
        <f t="shared" si="32"/>
        <v>763.10744209815107</v>
      </c>
      <c r="Z50" s="902">
        <f t="shared" si="33"/>
        <v>1308.8288781642459</v>
      </c>
      <c r="AA50" s="1111">
        <f t="shared" si="45"/>
        <v>3.7224838845032693E-2</v>
      </c>
      <c r="AB50" s="1109">
        <v>34</v>
      </c>
      <c r="AC50" s="889">
        <v>964687</v>
      </c>
      <c r="AD50" s="889">
        <v>334.19099999999997</v>
      </c>
      <c r="AE50" s="889">
        <v>301.03899999999999</v>
      </c>
      <c r="AF50" s="367">
        <f t="shared" si="47"/>
        <v>1481988.1310205369</v>
      </c>
      <c r="AG50" s="198">
        <f t="shared" si="27"/>
        <v>3.2082897394860144E-2</v>
      </c>
      <c r="AH50" s="198"/>
      <c r="AI50" s="367">
        <f t="shared" si="42"/>
        <v>513.39667217852445</v>
      </c>
      <c r="AJ50" s="198">
        <f t="shared" si="28"/>
        <v>4.7987579972644356E-2</v>
      </c>
      <c r="AK50" s="198"/>
      <c r="AL50" s="367">
        <f t="shared" si="43"/>
        <v>462.467333937631</v>
      </c>
      <c r="AM50" s="198">
        <f t="shared" si="29"/>
        <v>4.6797823945293748E-2</v>
      </c>
      <c r="AN50" s="198"/>
      <c r="AO50" s="903">
        <f t="shared" si="34"/>
        <v>25413846.559166327</v>
      </c>
      <c r="AP50" s="1109"/>
      <c r="AQ50" s="903">
        <f t="shared" si="35"/>
        <v>8803.9735120866699</v>
      </c>
      <c r="AR50" s="903">
        <f t="shared" si="36"/>
        <v>7930.6126798898204</v>
      </c>
      <c r="AS50" s="889"/>
      <c r="AT50" s="108"/>
      <c r="AU50" s="212">
        <v>1297662</v>
      </c>
      <c r="AV50" s="213"/>
      <c r="AW50" s="213">
        <f t="shared" si="48"/>
        <v>7462900.5354972472</v>
      </c>
      <c r="AX50" s="213">
        <f t="shared" si="51"/>
        <v>7462900.5354972472</v>
      </c>
      <c r="AY50" s="213">
        <f t="shared" si="49"/>
        <v>308.31743260231758</v>
      </c>
      <c r="AZ50" s="198">
        <f t="shared" si="56"/>
        <v>0.12060234679672965</v>
      </c>
      <c r="BA50" s="198">
        <f t="shared" si="54"/>
        <v>5.4556786752623321E-2</v>
      </c>
      <c r="BB50" s="198" t="s">
        <v>890</v>
      </c>
      <c r="BC50" s="198">
        <f>(AF60/AF50)^(1/COUNTA(AF51:AF60))-1</f>
        <v>2.8263996786323409E-2</v>
      </c>
      <c r="BD50" s="198"/>
      <c r="BE50" s="198"/>
      <c r="BF50" s="198"/>
      <c r="BG50" s="255">
        <v>94596745.440053433</v>
      </c>
      <c r="BH50" s="255"/>
      <c r="BI50" s="251">
        <f t="shared" si="50"/>
        <v>1.3717829233589614E-2</v>
      </c>
      <c r="BJ50" s="255"/>
      <c r="BK50" s="198">
        <f t="shared" si="57"/>
        <v>0.11823222370992781</v>
      </c>
      <c r="BL50" s="198">
        <f t="shared" si="55"/>
        <v>5.2570247325169683E-2</v>
      </c>
      <c r="BM50" s="177">
        <v>962.70799999999997</v>
      </c>
      <c r="BN50" s="183">
        <f t="shared" si="37"/>
        <v>4.6223777095443272E-2</v>
      </c>
      <c r="BO50" s="176">
        <v>333.23</v>
      </c>
      <c r="BP50" s="184">
        <f t="shared" si="38"/>
        <v>0.13354139783332833</v>
      </c>
      <c r="BQ50" s="184"/>
      <c r="BR50" s="184">
        <v>0.23041355349477813</v>
      </c>
      <c r="BS50" s="179">
        <v>193.13100000000003</v>
      </c>
      <c r="BT50" s="106">
        <v>92.1</v>
      </c>
      <c r="BU50" s="107">
        <v>29.300999999999998</v>
      </c>
      <c r="BV50" s="105">
        <v>18.698</v>
      </c>
      <c r="BW50" s="889"/>
      <c r="BX50" s="889"/>
      <c r="CA50" s="102" t="s">
        <v>891</v>
      </c>
      <c r="CB50" s="109" t="s">
        <v>892</v>
      </c>
      <c r="CC50" s="123">
        <f>(K31/K2)^(1/(COUNT(K3:K31)))-1</f>
        <v>3.4897261403096902E-2</v>
      </c>
    </row>
    <row r="51" spans="1:81" ht="20.5">
      <c r="A51" s="111" t="s">
        <v>362</v>
      </c>
      <c r="B51" s="111"/>
      <c r="C51" s="111"/>
      <c r="D51" s="111"/>
      <c r="E51" s="111"/>
      <c r="F51" s="110">
        <v>46.9</v>
      </c>
      <c r="G51" s="110"/>
      <c r="H51" s="1184">
        <v>59.101500000000001</v>
      </c>
      <c r="I51" s="366"/>
      <c r="J51" s="908">
        <f t="shared" si="23"/>
        <v>1.3667875261986095E-2</v>
      </c>
      <c r="K51" s="367">
        <f t="shared" si="31"/>
        <v>79.355007910120719</v>
      </c>
      <c r="L51" s="367">
        <f t="shared" si="2"/>
        <v>79.355007910120719</v>
      </c>
      <c r="M51" s="108">
        <f t="shared" si="39"/>
        <v>3.9721796448634716E-2</v>
      </c>
      <c r="N51" s="108">
        <f t="shared" si="40"/>
        <v>3.9721796448634716E-2</v>
      </c>
      <c r="O51" s="198">
        <f t="shared" si="46"/>
        <v>3.1203611675201914E-2</v>
      </c>
      <c r="P51" s="198">
        <f t="shared" si="26"/>
        <v>3.6641203177914861E-2</v>
      </c>
      <c r="Q51" s="198"/>
      <c r="R51" s="198"/>
      <c r="S51" s="198"/>
      <c r="T51" s="198">
        <f t="shared" si="44"/>
        <v>3.9808978769920733E-2</v>
      </c>
      <c r="U51" s="198">
        <f t="shared" si="41"/>
        <v>3.9808978769920733E-2</v>
      </c>
      <c r="V51" s="198">
        <f t="shared" si="53"/>
        <v>3.6641203177914861E-2</v>
      </c>
      <c r="W51" s="198">
        <f t="shared" si="58"/>
        <v>3.8859813486851857E-2</v>
      </c>
      <c r="X51" s="887">
        <v>58474900</v>
      </c>
      <c r="Y51" s="902">
        <f t="shared" si="32"/>
        <v>802.05353066016357</v>
      </c>
      <c r="Z51" s="902">
        <f t="shared" si="33"/>
        <v>1357.0781294216956</v>
      </c>
      <c r="AA51" s="1111">
        <f t="shared" si="45"/>
        <v>3.6864445812903934E-2</v>
      </c>
      <c r="AB51" s="1109">
        <v>42</v>
      </c>
      <c r="AC51" s="889">
        <v>1010042</v>
      </c>
      <c r="AD51" s="889">
        <v>355.58499999999998</v>
      </c>
      <c r="AE51" s="889">
        <v>321.166</v>
      </c>
      <c r="AF51" s="367">
        <f t="shared" si="47"/>
        <v>1530742.1795961184</v>
      </c>
      <c r="AG51" s="198">
        <f t="shared" si="27"/>
        <v>3.3198579558450847E-2</v>
      </c>
      <c r="AH51" s="198"/>
      <c r="AI51" s="367">
        <f t="shared" si="42"/>
        <v>538.89735073559893</v>
      </c>
      <c r="AJ51" s="198">
        <f t="shared" si="28"/>
        <v>5.7311687759238561E-2</v>
      </c>
      <c r="AK51" s="198"/>
      <c r="AL51" s="367">
        <f t="shared" si="43"/>
        <v>486.73455445631663</v>
      </c>
      <c r="AM51" s="198">
        <f t="shared" si="29"/>
        <v>5.6727017099750032E-2</v>
      </c>
      <c r="AN51" s="198"/>
      <c r="AO51" s="903">
        <f t="shared" si="34"/>
        <v>26177764.811844371</v>
      </c>
      <c r="AP51" s="1109"/>
      <c r="AQ51" s="903">
        <f t="shared" si="35"/>
        <v>9215.8746870126997</v>
      </c>
      <c r="AR51" s="903">
        <f t="shared" si="36"/>
        <v>8323.8202110019283</v>
      </c>
      <c r="AS51" s="889"/>
      <c r="AT51" s="108"/>
      <c r="AU51" s="212">
        <v>1072860</v>
      </c>
      <c r="AV51" s="213"/>
      <c r="AW51" s="213">
        <f t="shared" si="48"/>
        <v>6170056.1999300104</v>
      </c>
      <c r="AX51" s="213">
        <f t="shared" si="51"/>
        <v>6170056.1999300104</v>
      </c>
      <c r="AY51" s="213">
        <f t="shared" si="49"/>
        <v>254.90570020677376</v>
      </c>
      <c r="AZ51" s="198">
        <f t="shared" si="56"/>
        <v>-0.17323617398058966</v>
      </c>
      <c r="BA51" s="198">
        <f t="shared" si="54"/>
        <v>1.4023347147105181E-3</v>
      </c>
      <c r="BB51" s="198" t="s">
        <v>890</v>
      </c>
      <c r="BC51" s="198">
        <f>BC50</f>
        <v>2.8263996786323409E-2</v>
      </c>
      <c r="BD51" s="198"/>
      <c r="BE51" s="198"/>
      <c r="BF51" s="198"/>
      <c r="BG51" s="255">
        <v>94828232.59239164</v>
      </c>
      <c r="BH51" s="255"/>
      <c r="BI51" s="251">
        <f t="shared" si="50"/>
        <v>1.1313719244474022E-2</v>
      </c>
      <c r="BJ51" s="255"/>
      <c r="BK51" s="198">
        <f t="shared" si="57"/>
        <v>-0.17525440419019533</v>
      </c>
      <c r="BL51" s="198">
        <f t="shared" si="55"/>
        <v>-6.659386460597938E-4</v>
      </c>
      <c r="BM51" s="177">
        <v>1012.21</v>
      </c>
      <c r="BN51" s="183">
        <f t="shared" si="37"/>
        <v>4.6334258701257638E-2</v>
      </c>
      <c r="BO51" s="176">
        <v>342.93599999999998</v>
      </c>
      <c r="BP51" s="184">
        <f t="shared" si="38"/>
        <v>0.13676021181794853</v>
      </c>
      <c r="BQ51" s="184"/>
      <c r="BR51" s="184">
        <v>0.23329271022458778</v>
      </c>
      <c r="BS51" s="179">
        <v>201.03499999999997</v>
      </c>
      <c r="BT51" s="106">
        <v>94.3</v>
      </c>
      <c r="BU51" s="107">
        <v>28.841999999999999</v>
      </c>
      <c r="BV51" s="105">
        <v>18.759</v>
      </c>
      <c r="BW51" s="889"/>
      <c r="BX51" s="889"/>
      <c r="CA51" s="102" t="s">
        <v>382</v>
      </c>
      <c r="CB51" s="109" t="s">
        <v>893</v>
      </c>
      <c r="CC51" s="123">
        <f>(K49/K31)^(1/(COUNT(K32:K49)))-1</f>
        <v>3.2019114484649558E-2</v>
      </c>
    </row>
    <row r="52" spans="1:81" s="1316" customFormat="1" ht="20.5">
      <c r="A52" s="1289" t="s">
        <v>363</v>
      </c>
      <c r="B52" s="1289"/>
      <c r="C52" s="1289"/>
      <c r="D52" s="1289"/>
      <c r="E52" s="1289"/>
      <c r="F52" s="1291">
        <v>49.4</v>
      </c>
      <c r="G52" s="1291"/>
      <c r="H52" s="1292">
        <v>59.89</v>
      </c>
      <c r="I52" s="1293"/>
      <c r="J52" s="1294">
        <f t="shared" si="23"/>
        <v>1.3341454954612031E-2</v>
      </c>
      <c r="K52" s="1295">
        <f t="shared" si="31"/>
        <v>82.484555017532131</v>
      </c>
      <c r="L52" s="1295">
        <f t="shared" si="2"/>
        <v>82.484555017532131</v>
      </c>
      <c r="M52" s="1296">
        <f t="shared" si="39"/>
        <v>3.9437298159632261E-2</v>
      </c>
      <c r="N52" s="1296">
        <f t="shared" si="40"/>
        <v>3.9437298159632261E-2</v>
      </c>
      <c r="O52" s="1297">
        <f t="shared" si="46"/>
        <v>2.7366159731559758E-2</v>
      </c>
      <c r="P52" s="1297">
        <f t="shared" si="26"/>
        <v>4.1200127988517909E-2</v>
      </c>
      <c r="Q52" s="1298"/>
      <c r="R52" s="1298"/>
      <c r="S52" s="1298"/>
      <c r="T52" s="1298">
        <f t="shared" si="44"/>
        <v>3.9579537571920564E-2</v>
      </c>
      <c r="U52" s="1298">
        <f t="shared" si="41"/>
        <v>3.9579537571920564E-2</v>
      </c>
      <c r="V52" s="1299">
        <f t="shared" si="53"/>
        <v>4.1200127988517909E-2</v>
      </c>
      <c r="W52" s="1298">
        <f t="shared" si="58"/>
        <v>4.051465907541596E-2</v>
      </c>
      <c r="X52" s="1300">
        <v>58684400</v>
      </c>
      <c r="Y52" s="1301">
        <f t="shared" si="32"/>
        <v>841.79100408285672</v>
      </c>
      <c r="Z52" s="1301">
        <f t="shared" si="33"/>
        <v>1405.5618702335225</v>
      </c>
      <c r="AA52" s="1319">
        <f t="shared" si="45"/>
        <v>3.5726565597581139E-2</v>
      </c>
      <c r="AB52" s="1320">
        <v>46</v>
      </c>
      <c r="AC52" s="1303">
        <v>1058069</v>
      </c>
      <c r="AD52" s="1303">
        <v>379.75200000000001</v>
      </c>
      <c r="AE52" s="1303">
        <v>344.32299999999998</v>
      </c>
      <c r="AF52" s="1295">
        <f t="shared" si="47"/>
        <v>1582416.4786992818</v>
      </c>
      <c r="AG52" s="1298">
        <f t="shared" si="27"/>
        <v>3.3060515081971165E-2</v>
      </c>
      <c r="AH52" s="1298"/>
      <c r="AI52" s="1295">
        <f t="shared" si="42"/>
        <v>567.9457791684755</v>
      </c>
      <c r="AJ52" s="1298">
        <f t="shared" si="28"/>
        <v>5.5405802103910995E-2</v>
      </c>
      <c r="AK52" s="1298"/>
      <c r="AL52" s="1295">
        <f t="shared" si="43"/>
        <v>514.95922212556354</v>
      </c>
      <c r="AM52" s="1298">
        <f t="shared" si="29"/>
        <v>5.4571712430186547E-2</v>
      </c>
      <c r="AN52" s="1298"/>
      <c r="AO52" s="1302">
        <f t="shared" si="34"/>
        <v>26964857.41865439</v>
      </c>
      <c r="AP52" s="1320"/>
      <c r="AQ52" s="1302">
        <f t="shared" si="35"/>
        <v>9677.9685771427412</v>
      </c>
      <c r="AR52" s="1302">
        <f t="shared" si="36"/>
        <v>8775.0615517167007</v>
      </c>
      <c r="AS52" s="1303"/>
      <c r="AT52" s="1296"/>
      <c r="AU52" s="1323">
        <v>1037066</v>
      </c>
      <c r="AV52" s="1321"/>
      <c r="AW52" s="1321">
        <f t="shared" si="48"/>
        <v>5964203.6267887847</v>
      </c>
      <c r="AX52" s="1321">
        <f t="shared" si="51"/>
        <v>5964203.6267887847</v>
      </c>
      <c r="AY52" s="1321">
        <f t="shared" si="49"/>
        <v>246.40124050727775</v>
      </c>
      <c r="AZ52" s="1298">
        <f t="shared" si="56"/>
        <v>-3.3363160151371085E-2</v>
      </c>
      <c r="BA52" s="1298">
        <f t="shared" si="54"/>
        <v>-1.3416524764400251E-3</v>
      </c>
      <c r="BB52" s="1298" t="s">
        <v>890</v>
      </c>
      <c r="BC52" s="1298">
        <f t="shared" ref="BC52:BC61" si="59">BC51</f>
        <v>2.8263996786323409E-2</v>
      </c>
      <c r="BD52" s="1298"/>
      <c r="BE52" s="1305"/>
      <c r="BF52" s="1305"/>
      <c r="BG52" s="1322">
        <v>95074870.799769297</v>
      </c>
      <c r="BH52" s="1322"/>
      <c r="BI52" s="1307">
        <f t="shared" si="50"/>
        <v>1.0907887555104797E-2</v>
      </c>
      <c r="BJ52" s="1322"/>
      <c r="BK52" s="1298">
        <f t="shared" si="57"/>
        <v>-3.5870758377484657E-2</v>
      </c>
      <c r="BL52" s="1298">
        <f t="shared" si="55"/>
        <v>-3.6667201958671125E-3</v>
      </c>
      <c r="BM52" s="1308">
        <v>1054.7139999999999</v>
      </c>
      <c r="BN52" s="1309">
        <f t="shared" si="37"/>
        <v>4.6837341686940724E-2</v>
      </c>
      <c r="BO52" s="1310">
        <v>355.91</v>
      </c>
      <c r="BP52" s="1311">
        <f t="shared" si="38"/>
        <v>0.13879913461268298</v>
      </c>
      <c r="BQ52" s="1311"/>
      <c r="BR52" s="1311">
        <v>0.23259208339414944</v>
      </c>
      <c r="BS52" s="1312">
        <v>212.38899999999998</v>
      </c>
      <c r="BT52" s="1313">
        <v>98.9</v>
      </c>
      <c r="BU52" s="1314">
        <v>25.196999999999999</v>
      </c>
      <c r="BV52" s="1315">
        <v>19.423999999999999</v>
      </c>
      <c r="BW52" s="1303"/>
      <c r="BX52" s="1303"/>
      <c r="CA52" s="1316" t="s">
        <v>384</v>
      </c>
      <c r="CB52" s="1324" t="s">
        <v>894</v>
      </c>
      <c r="CC52" s="1325">
        <f>(K62/K49)^(1/(COUNT(K50:K62)))-1</f>
        <v>5.9428880273581619E-2</v>
      </c>
    </row>
    <row r="53" spans="1:81" ht="20.5">
      <c r="A53" s="111" t="s">
        <v>364</v>
      </c>
      <c r="B53" s="111"/>
      <c r="C53" s="111"/>
      <c r="D53" s="111"/>
      <c r="E53" s="111"/>
      <c r="F53" s="110">
        <v>54.2</v>
      </c>
      <c r="G53" s="110"/>
      <c r="H53" s="1184">
        <v>60.501100000000001</v>
      </c>
      <c r="I53" s="366"/>
      <c r="J53" s="908">
        <f t="shared" si="23"/>
        <v>1.02037067957923E-2</v>
      </c>
      <c r="K53" s="367">
        <f t="shared" si="31"/>
        <v>89.585148038630706</v>
      </c>
      <c r="L53" s="367">
        <f t="shared" si="2"/>
        <v>89.585148038630706</v>
      </c>
      <c r="M53" s="108">
        <f t="shared" si="39"/>
        <v>8.6083910128257779E-2</v>
      </c>
      <c r="N53" s="108">
        <f t="shared" si="40"/>
        <v>8.6083910128257779E-2</v>
      </c>
      <c r="O53" s="198">
        <f t="shared" si="46"/>
        <v>4.0664667287082734E-2</v>
      </c>
      <c r="P53" s="198">
        <f t="shared" si="26"/>
        <v>4.7233138196049129E-2</v>
      </c>
      <c r="Q53" s="198"/>
      <c r="R53" s="198"/>
      <c r="S53" s="198"/>
      <c r="T53" s="198">
        <f t="shared" si="44"/>
        <v>6.250464710436221E-2</v>
      </c>
      <c r="U53" s="198">
        <f t="shared" si="41"/>
        <v>6.250464710436221E-2</v>
      </c>
      <c r="V53" s="198">
        <f t="shared" si="53"/>
        <v>4.7233138196049129E-2</v>
      </c>
      <c r="W53" s="198">
        <f t="shared" si="58"/>
        <v>4.3456423086464024E-2</v>
      </c>
      <c r="X53" s="887">
        <v>58886100</v>
      </c>
      <c r="Y53" s="902">
        <f t="shared" si="32"/>
        <v>920.42094823735988</v>
      </c>
      <c r="Z53" s="902">
        <f t="shared" si="33"/>
        <v>1521.3292787029657</v>
      </c>
      <c r="AA53" s="1111">
        <f t="shared" si="45"/>
        <v>8.2363794096242282E-2</v>
      </c>
      <c r="AB53" s="1109">
        <v>42</v>
      </c>
      <c r="AC53" s="889">
        <v>1114639</v>
      </c>
      <c r="AD53" s="889">
        <v>406.43599999999998</v>
      </c>
      <c r="AE53" s="889">
        <v>368.48399999999998</v>
      </c>
      <c r="AF53" s="367">
        <f t="shared" si="47"/>
        <v>1650182.903092671</v>
      </c>
      <c r="AG53" s="198">
        <f t="shared" si="27"/>
        <v>3.7837761505285616E-2</v>
      </c>
      <c r="AH53" s="198"/>
      <c r="AI53" s="367">
        <f t="shared" si="42"/>
        <v>601.71386287522034</v>
      </c>
      <c r="AJ53" s="198">
        <f t="shared" si="28"/>
        <v>5.679695376816829E-2</v>
      </c>
      <c r="AK53" s="198"/>
      <c r="AL53" s="367">
        <f t="shared" si="43"/>
        <v>545.52729346739147</v>
      </c>
      <c r="AM53" s="198">
        <f t="shared" si="29"/>
        <v>5.6851249360348577E-2</v>
      </c>
      <c r="AN53" s="198"/>
      <c r="AO53" s="903">
        <f t="shared" si="34"/>
        <v>28023300.96733645</v>
      </c>
      <c r="AP53" s="1109"/>
      <c r="AQ53" s="903">
        <f t="shared" si="35"/>
        <v>10218.266498803969</v>
      </c>
      <c r="AR53" s="903">
        <f t="shared" si="36"/>
        <v>9264.1097553988366</v>
      </c>
      <c r="AS53" s="889"/>
      <c r="AT53" s="108"/>
      <c r="AU53" s="1727">
        <v>1006727</v>
      </c>
      <c r="AV53" s="213"/>
      <c r="AW53" s="213">
        <f t="shared" si="48"/>
        <v>5789722.9535884829</v>
      </c>
      <c r="AX53" s="213">
        <f t="shared" si="51"/>
        <v>5789722.9535884829</v>
      </c>
      <c r="AY53" s="213">
        <f t="shared" si="49"/>
        <v>239.19285913545542</v>
      </c>
      <c r="AZ53" s="198">
        <f t="shared" si="56"/>
        <v>-2.9254647245209098E-2</v>
      </c>
      <c r="BA53" s="198">
        <f t="shared" si="54"/>
        <v>-8.0091112971870659E-3</v>
      </c>
      <c r="BB53" s="198" t="s">
        <v>890</v>
      </c>
      <c r="BC53" s="198">
        <f t="shared" si="59"/>
        <v>2.8263996786323409E-2</v>
      </c>
      <c r="BD53" s="198"/>
      <c r="BE53" s="198"/>
      <c r="BF53" s="198"/>
      <c r="BG53" s="255">
        <v>95374073.986041769</v>
      </c>
      <c r="BH53" s="255"/>
      <c r="BI53" s="251">
        <f t="shared" si="50"/>
        <v>1.0555562512170099E-2</v>
      </c>
      <c r="BJ53" s="255"/>
      <c r="BK53" s="198">
        <f t="shared" si="57"/>
        <v>-3.2300025202387839E-2</v>
      </c>
      <c r="BL53" s="198">
        <f t="shared" si="55"/>
        <v>-1.0424273845627607E-2</v>
      </c>
      <c r="BM53" s="177">
        <v>1110.346</v>
      </c>
      <c r="BN53" s="183">
        <f t="shared" si="37"/>
        <v>4.8813613053948948E-2</v>
      </c>
      <c r="BO53" s="176">
        <v>378.08300000000003</v>
      </c>
      <c r="BP53" s="184">
        <f t="shared" si="38"/>
        <v>0.14335476601698569</v>
      </c>
      <c r="BQ53" s="184"/>
      <c r="BR53" s="184">
        <v>0.2382197687246452</v>
      </c>
      <c r="BS53" s="179">
        <v>227.52100000000002</v>
      </c>
      <c r="BT53" s="106">
        <v>104.4</v>
      </c>
      <c r="BU53" s="107">
        <v>26.187999999999999</v>
      </c>
      <c r="BV53" s="105">
        <v>19.974</v>
      </c>
      <c r="BW53" s="889"/>
      <c r="BX53" s="889"/>
      <c r="CA53" s="102" t="s">
        <v>386</v>
      </c>
      <c r="CB53" s="109" t="s">
        <v>895</v>
      </c>
      <c r="CC53" s="123">
        <f>(K67/K62)^(1/(COUNT(K63:K67)))-1</f>
        <v>1.0413844395442018E-2</v>
      </c>
    </row>
    <row r="54" spans="1:81" ht="20.5">
      <c r="A54" s="111" t="s">
        <v>365</v>
      </c>
      <c r="B54" s="111"/>
      <c r="C54" s="111"/>
      <c r="D54" s="111"/>
      <c r="E54" s="111"/>
      <c r="F54" s="110">
        <v>59.8</v>
      </c>
      <c r="G54" s="110"/>
      <c r="H54" s="1184">
        <v>61.527999999999999</v>
      </c>
      <c r="I54" s="366"/>
      <c r="J54" s="908">
        <f t="shared" si="23"/>
        <v>1.6973245114551672E-2</v>
      </c>
      <c r="K54" s="367">
        <f t="shared" si="31"/>
        <v>97.191522558835004</v>
      </c>
      <c r="L54" s="367">
        <f t="shared" si="2"/>
        <v>97.191522558835004</v>
      </c>
      <c r="M54" s="108">
        <f t="shared" si="39"/>
        <v>8.4906646768327043E-2</v>
      </c>
      <c r="N54" s="108">
        <f t="shared" si="40"/>
        <v>8.4906646768327043E-2</v>
      </c>
      <c r="O54" s="198">
        <f t="shared" si="46"/>
        <v>5.777240877833778E-2</v>
      </c>
      <c r="P54" s="198">
        <f t="shared" si="26"/>
        <v>4.8158577463145003E-2</v>
      </c>
      <c r="Q54" s="198"/>
      <c r="R54" s="198"/>
      <c r="S54" s="198"/>
      <c r="T54" s="198">
        <f t="shared" si="44"/>
        <v>8.5495118849588048E-2</v>
      </c>
      <c r="U54" s="198">
        <f t="shared" si="41"/>
        <v>8.5495118849588048E-2</v>
      </c>
      <c r="V54" s="198">
        <f t="shared" si="53"/>
        <v>4.8158577463145003E-2</v>
      </c>
      <c r="W54" s="198">
        <f t="shared" si="58"/>
        <v>4.3602712580926628E-2</v>
      </c>
      <c r="X54" s="887">
        <v>59113016</v>
      </c>
      <c r="Y54" s="902">
        <f t="shared" si="32"/>
        <v>1011.6215352639088</v>
      </c>
      <c r="Z54" s="902">
        <f t="shared" si="33"/>
        <v>1644.1645027693226</v>
      </c>
      <c r="AA54" s="1111">
        <f t="shared" si="45"/>
        <v>8.0742036445313303E-2</v>
      </c>
      <c r="AB54" s="1109">
        <v>38</v>
      </c>
      <c r="AC54" s="889">
        <v>1152363</v>
      </c>
      <c r="AD54" s="889">
        <v>412.209</v>
      </c>
      <c r="AE54" s="889">
        <v>374.52699999999999</v>
      </c>
      <c r="AF54" s="367">
        <f t="shared" si="47"/>
        <v>1677558.318181966</v>
      </c>
      <c r="AG54" s="198">
        <f t="shared" si="27"/>
        <v>3.4233390076761516E-2</v>
      </c>
      <c r="AH54" s="198"/>
      <c r="AI54" s="367">
        <f t="shared" si="42"/>
        <v>600.07535540404365</v>
      </c>
      <c r="AJ54" s="198">
        <f t="shared" si="28"/>
        <v>5.4485978720628658E-2</v>
      </c>
      <c r="AK54" s="198"/>
      <c r="AL54" s="367">
        <f t="shared" si="43"/>
        <v>545.21959159894675</v>
      </c>
      <c r="AM54" s="198">
        <f t="shared" si="29"/>
        <v>5.3225077905762808E-2</v>
      </c>
      <c r="AN54" s="198"/>
      <c r="AO54" s="903">
        <f t="shared" si="34"/>
        <v>28378831.460434467</v>
      </c>
      <c r="AP54" s="1109"/>
      <c r="AQ54" s="903">
        <f t="shared" si="35"/>
        <v>10151.323617188535</v>
      </c>
      <c r="AR54" s="903">
        <f t="shared" si="36"/>
        <v>9223.3424800884259</v>
      </c>
      <c r="AS54" s="889"/>
      <c r="AT54" s="108"/>
      <c r="AU54" s="1727">
        <v>1035365</v>
      </c>
      <c r="AV54" s="213"/>
      <c r="AW54" s="213">
        <f t="shared" si="48"/>
        <v>5954421.1150015239</v>
      </c>
      <c r="AX54" s="213">
        <f t="shared" si="51"/>
        <v>5954421.1150015239</v>
      </c>
      <c r="AY54" s="213">
        <f t="shared" si="49"/>
        <v>245.9970921598217</v>
      </c>
      <c r="AZ54" s="198">
        <f t="shared" si="56"/>
        <v>2.8446639456376932E-2</v>
      </c>
      <c r="BA54" s="198">
        <f t="shared" si="54"/>
        <v>-2.2139994021544651E-2</v>
      </c>
      <c r="BB54" s="198" t="s">
        <v>890</v>
      </c>
      <c r="BC54" s="198">
        <f t="shared" si="59"/>
        <v>2.8263996786323409E-2</v>
      </c>
      <c r="BD54" s="198"/>
      <c r="BE54" s="198"/>
      <c r="BF54" s="198"/>
      <c r="BG54" s="255">
        <v>95783758.816747904</v>
      </c>
      <c r="BH54" s="255"/>
      <c r="BI54" s="251">
        <f t="shared" si="50"/>
        <v>1.0809400390945665E-2</v>
      </c>
      <c r="BJ54" s="255"/>
      <c r="BK54" s="198">
        <f t="shared" si="57"/>
        <v>2.4047783193259731E-2</v>
      </c>
      <c r="BL54" s="198">
        <f t="shared" si="55"/>
        <v>-2.4988713712691402E-2</v>
      </c>
      <c r="BM54" s="177">
        <v>1151.2449999999999</v>
      </c>
      <c r="BN54" s="183">
        <f t="shared" si="37"/>
        <v>5.194376522807917E-2</v>
      </c>
      <c r="BO54" s="176">
        <v>403.99700000000001</v>
      </c>
      <c r="BP54" s="184">
        <f t="shared" si="38"/>
        <v>0.14802090114530553</v>
      </c>
      <c r="BQ54" s="184"/>
      <c r="BR54" s="184">
        <v>0.23943656332456459</v>
      </c>
      <c r="BS54" s="179">
        <v>249.75300000000007</v>
      </c>
      <c r="BT54" s="106">
        <v>111.1</v>
      </c>
      <c r="BU54" s="107">
        <v>22.27</v>
      </c>
      <c r="BV54" s="105">
        <v>20.873999999999999</v>
      </c>
      <c r="BW54" s="889"/>
      <c r="BX54" s="889"/>
      <c r="CA54" s="102" t="s">
        <v>388</v>
      </c>
      <c r="CB54" s="109" t="s">
        <v>896</v>
      </c>
      <c r="CC54" s="123">
        <f>(K71/K67)^(1/(COUNT(K68:K71)))-1</f>
        <v>1.6442756865838293E-2</v>
      </c>
    </row>
    <row r="55" spans="1:81" ht="20.5">
      <c r="A55" s="111" t="s">
        <v>366</v>
      </c>
      <c r="B55" s="111"/>
      <c r="C55" s="111"/>
      <c r="D55" s="111"/>
      <c r="E55" s="111"/>
      <c r="F55" s="110">
        <v>66.2</v>
      </c>
      <c r="G55" s="110"/>
      <c r="H55" s="1184">
        <v>62.926200000000001</v>
      </c>
      <c r="I55" s="366"/>
      <c r="J55" s="908">
        <f t="shared" si="23"/>
        <v>2.2724613184241349E-2</v>
      </c>
      <c r="K55" s="367">
        <f t="shared" si="31"/>
        <v>105.20260241362102</v>
      </c>
      <c r="L55" s="367">
        <f t="shared" si="2"/>
        <v>105.20260241362102</v>
      </c>
      <c r="M55" s="108">
        <f t="shared" si="39"/>
        <v>8.2425705903891977E-2</v>
      </c>
      <c r="N55" s="108">
        <f t="shared" si="40"/>
        <v>8.2425705903891977E-2</v>
      </c>
      <c r="O55" s="198">
        <f t="shared" si="46"/>
        <v>6.6286371679730394E-2</v>
      </c>
      <c r="P55" s="198">
        <f t="shared" si="26"/>
        <v>4.8677784799621149E-2</v>
      </c>
      <c r="Q55" s="198"/>
      <c r="R55" s="198"/>
      <c r="S55" s="198"/>
      <c r="T55" s="198">
        <f t="shared" si="44"/>
        <v>8.3665466353906925E-2</v>
      </c>
      <c r="U55" s="198">
        <f t="shared" si="41"/>
        <v>8.3665466353906925E-2</v>
      </c>
      <c r="V55" s="198">
        <f t="shared" si="53"/>
        <v>4.8677784799621149E-2</v>
      </c>
      <c r="W55" s="198">
        <f t="shared" si="58"/>
        <v>4.6911022122605228E-2</v>
      </c>
      <c r="X55" s="887">
        <v>59365677</v>
      </c>
      <c r="Y55" s="902">
        <f t="shared" si="32"/>
        <v>1115.1224637765017</v>
      </c>
      <c r="Z55" s="902">
        <f t="shared" si="33"/>
        <v>1772.1115588999519</v>
      </c>
      <c r="AA55" s="1111">
        <f t="shared" si="45"/>
        <v>7.781888972491724E-2</v>
      </c>
      <c r="AB55" s="1109">
        <v>40</v>
      </c>
      <c r="AC55" s="889">
        <v>1208864</v>
      </c>
      <c r="AD55" s="889">
        <v>417.74200000000002</v>
      </c>
      <c r="AE55" s="889">
        <v>380.16399999999999</v>
      </c>
      <c r="AF55" s="367">
        <f t="shared" si="47"/>
        <v>1720707.5243825307</v>
      </c>
      <c r="AG55" s="198">
        <f t="shared" si="27"/>
        <v>3.0320797784013864E-2</v>
      </c>
      <c r="AH55" s="198"/>
      <c r="AI55" s="367">
        <f t="shared" si="42"/>
        <v>594.61759358423035</v>
      </c>
      <c r="AJ55" s="198">
        <f t="shared" si="28"/>
        <v>2.9809612080425429E-2</v>
      </c>
      <c r="AK55" s="198"/>
      <c r="AL55" s="367">
        <f t="shared" si="43"/>
        <v>541.12874177687502</v>
      </c>
      <c r="AM55" s="198">
        <f t="shared" si="29"/>
        <v>3.1914958472430976E-2</v>
      </c>
      <c r="AN55" s="198"/>
      <c r="AO55" s="903">
        <f t="shared" si="34"/>
        <v>28984888.429429192</v>
      </c>
      <c r="AP55" s="1109"/>
      <c r="AQ55" s="903">
        <f t="shared" si="35"/>
        <v>10016.184833270416</v>
      </c>
      <c r="AR55" s="903">
        <f t="shared" si="36"/>
        <v>9115.1784856572085</v>
      </c>
      <c r="AS55" s="889"/>
      <c r="AT55" s="108"/>
      <c r="AU55" s="212">
        <v>992075</v>
      </c>
      <c r="AV55" s="213"/>
      <c r="AW55" s="213">
        <f t="shared" si="48"/>
        <v>5705458.7779818103</v>
      </c>
      <c r="AX55" s="213">
        <f t="shared" si="51"/>
        <v>5705458.7779818103</v>
      </c>
      <c r="AY55" s="213">
        <f t="shared" si="49"/>
        <v>235.7116236346169</v>
      </c>
      <c r="AZ55" s="198">
        <f t="shared" si="56"/>
        <v>-4.1811341893921439E-2</v>
      </c>
      <c r="BA55" s="198">
        <f t="shared" si="54"/>
        <v>-5.2287554900425026E-2</v>
      </c>
      <c r="BB55" s="198" t="s">
        <v>890</v>
      </c>
      <c r="BC55" s="198">
        <f t="shared" si="59"/>
        <v>2.8263996786323409E-2</v>
      </c>
      <c r="BD55" s="198"/>
      <c r="BE55" s="198"/>
      <c r="BF55" s="198"/>
      <c r="BG55" s="255">
        <v>96207823.944902867</v>
      </c>
      <c r="BH55" s="255"/>
      <c r="BI55" s="251">
        <f t="shared" si="50"/>
        <v>1.0311791279762757E-2</v>
      </c>
      <c r="BJ55" s="255"/>
      <c r="BK55" s="198">
        <f t="shared" si="57"/>
        <v>-4.6034848667436012E-2</v>
      </c>
      <c r="BL55" s="198">
        <f t="shared" si="55"/>
        <v>-5.5483075454542896E-2</v>
      </c>
      <c r="BM55" s="177">
        <v>1208.5139999999999</v>
      </c>
      <c r="BN55" s="183">
        <f t="shared" si="37"/>
        <v>5.4778016638615694E-2</v>
      </c>
      <c r="BO55" s="176">
        <v>437.61900000000003</v>
      </c>
      <c r="BP55" s="184">
        <f t="shared" si="38"/>
        <v>0.15127313942036338</v>
      </c>
      <c r="BQ55" s="184"/>
      <c r="BR55" s="184">
        <v>0.23902023367657887</v>
      </c>
      <c r="BS55" s="179">
        <v>276.96400000000006</v>
      </c>
      <c r="BT55" s="106">
        <v>116.9</v>
      </c>
      <c r="BU55" s="107">
        <v>20.916</v>
      </c>
      <c r="BV55" s="105">
        <v>22.838999999999999</v>
      </c>
      <c r="BW55" s="889"/>
      <c r="BX55" s="889"/>
      <c r="CA55" s="102" t="s">
        <v>897</v>
      </c>
      <c r="CB55" s="109" t="s">
        <v>898</v>
      </c>
      <c r="CC55" s="123">
        <f>(K75/K72)^(1/(COUNT(K73:K75)))-1</f>
        <v>4.6127726751002296E-2</v>
      </c>
    </row>
    <row r="56" spans="1:81" ht="18.5">
      <c r="A56" s="111" t="s">
        <v>367</v>
      </c>
      <c r="B56" s="111"/>
      <c r="C56" s="111"/>
      <c r="D56" s="111"/>
      <c r="E56" s="111"/>
      <c r="F56" s="110">
        <v>74.900000000000006</v>
      </c>
      <c r="G56" s="110"/>
      <c r="H56" s="1184">
        <v>64.356800000000007</v>
      </c>
      <c r="I56" s="366"/>
      <c r="J56" s="908">
        <f t="shared" si="23"/>
        <v>2.2734568430955671E-2</v>
      </c>
      <c r="K56" s="367">
        <f t="shared" si="31"/>
        <v>116.38241801954106</v>
      </c>
      <c r="L56" s="367">
        <f t="shared" si="2"/>
        <v>116.38241801954106</v>
      </c>
      <c r="M56" s="108">
        <f t="shared" si="39"/>
        <v>0.10626938259535446</v>
      </c>
      <c r="N56" s="108">
        <f t="shared" si="40"/>
        <v>0.10626938259535446</v>
      </c>
      <c r="O56" s="198">
        <f t="shared" si="46"/>
        <v>7.9599332483116347E-2</v>
      </c>
      <c r="P56" s="198">
        <f t="shared" si="26"/>
        <v>5.5124035750644174E-2</v>
      </c>
      <c r="Q56" s="198"/>
      <c r="R56" s="198"/>
      <c r="S56" s="198"/>
      <c r="T56" s="198">
        <f t="shared" si="44"/>
        <v>9.4282603981091784E-2</v>
      </c>
      <c r="U56" s="198">
        <f t="shared" si="41"/>
        <v>9.4282603981091784E-2</v>
      </c>
      <c r="V56" s="198">
        <f t="shared" si="53"/>
        <v>5.5124035750644174E-2</v>
      </c>
      <c r="W56" s="198">
        <f t="shared" si="58"/>
        <v>5.4882437778051019E-2</v>
      </c>
      <c r="X56" s="887">
        <v>59636662</v>
      </c>
      <c r="Y56" s="902">
        <f t="shared" si="32"/>
        <v>1255.9388384279455</v>
      </c>
      <c r="Z56" s="902">
        <f t="shared" si="33"/>
        <v>1951.5246849252069</v>
      </c>
      <c r="AA56" s="1111">
        <f t="shared" si="45"/>
        <v>0.10124256857543812</v>
      </c>
      <c r="AB56" s="1109">
        <v>44</v>
      </c>
      <c r="AC56" s="889">
        <v>1272601</v>
      </c>
      <c r="AD56" s="889">
        <v>452.01</v>
      </c>
      <c r="AE56" s="889">
        <v>411.702</v>
      </c>
      <c r="AF56" s="367">
        <f t="shared" si="47"/>
        <v>1771164.6599846478</v>
      </c>
      <c r="AG56" s="198">
        <f t="shared" si="27"/>
        <v>2.9606742089761884E-2</v>
      </c>
      <c r="AH56" s="198"/>
      <c r="AI56" s="367">
        <f t="shared" si="42"/>
        <v>629.0928091048653</v>
      </c>
      <c r="AJ56" s="198">
        <f t="shared" si="28"/>
        <v>3.1434691520385138E-2</v>
      </c>
      <c r="AK56" s="198"/>
      <c r="AL56" s="367">
        <f t="shared" si="43"/>
        <v>572.99344637085744</v>
      </c>
      <c r="AM56" s="198">
        <f t="shared" si="29"/>
        <v>3.3169305383627279E-2</v>
      </c>
      <c r="AN56" s="198"/>
      <c r="AO56" s="903">
        <f t="shared" si="34"/>
        <v>29699258.821438525</v>
      </c>
      <c r="AP56" s="1109"/>
      <c r="AQ56" s="903">
        <f t="shared" si="35"/>
        <v>10548.759571836286</v>
      </c>
      <c r="AR56" s="903">
        <f t="shared" si="36"/>
        <v>9608.0737444838451</v>
      </c>
      <c r="AS56" s="889"/>
      <c r="AT56" s="108"/>
      <c r="AU56" s="1727">
        <v>905753</v>
      </c>
      <c r="AV56" s="213"/>
      <c r="AW56" s="213">
        <f t="shared" si="48"/>
        <v>5209017.8711623196</v>
      </c>
      <c r="AX56" s="213">
        <f t="shared" si="51"/>
        <v>5209017.8711623196</v>
      </c>
      <c r="AY56" s="213">
        <f t="shared" si="49"/>
        <v>215.20198598082314</v>
      </c>
      <c r="AZ56" s="198">
        <f t="shared" si="56"/>
        <v>-8.7011566665826656E-2</v>
      </c>
      <c r="BA56" s="198">
        <f t="shared" si="54"/>
        <v>-3.3296378602645782E-2</v>
      </c>
      <c r="BB56" s="198" t="s">
        <v>890</v>
      </c>
      <c r="BC56" s="198">
        <f t="shared" si="59"/>
        <v>2.8263996786323409E-2</v>
      </c>
      <c r="BD56" s="198"/>
      <c r="BE56" s="198"/>
      <c r="BF56" s="198"/>
      <c r="BG56" s="255">
        <v>96697331.91810438</v>
      </c>
      <c r="BH56" s="255"/>
      <c r="BI56" s="251">
        <f t="shared" si="50"/>
        <v>9.3668871936105434E-3</v>
      </c>
      <c r="BJ56" s="255"/>
      <c r="BK56" s="198">
        <f t="shared" si="57"/>
        <v>-9.1633360346094261E-2</v>
      </c>
      <c r="BL56" s="198">
        <f t="shared" si="55"/>
        <v>-3.7062769109872384E-2</v>
      </c>
      <c r="BM56" s="177">
        <v>1275.904</v>
      </c>
      <c r="BN56" s="183">
        <f t="shared" si="37"/>
        <v>5.8703476123595513E-2</v>
      </c>
      <c r="BO56" s="176">
        <v>477.37299999999999</v>
      </c>
      <c r="BP56" s="184">
        <f t="shared" si="38"/>
        <v>0.15690036931288534</v>
      </c>
      <c r="BQ56" s="184"/>
      <c r="BR56" s="184">
        <v>0.24626087871405131</v>
      </c>
      <c r="BS56" s="179">
        <v>304.14900000000006</v>
      </c>
      <c r="BT56" s="106">
        <v>128.1</v>
      </c>
      <c r="BU56" s="107">
        <v>22.236000000000001</v>
      </c>
      <c r="BV56" s="105">
        <v>22.888000000000002</v>
      </c>
      <c r="BW56" s="889"/>
      <c r="BX56" s="889"/>
      <c r="CA56" s="102" t="s">
        <v>899</v>
      </c>
      <c r="CB56" s="302" t="s">
        <v>900</v>
      </c>
      <c r="CC56" s="298">
        <f>(K77/K75)^(1/2)-1</f>
        <v>-7.5802842776723223E-3</v>
      </c>
    </row>
    <row r="57" spans="1:81" ht="18.5">
      <c r="A57" s="111" t="s">
        <v>368</v>
      </c>
      <c r="B57" s="111"/>
      <c r="C57" s="111"/>
      <c r="D57" s="111"/>
      <c r="E57" s="111"/>
      <c r="F57" s="110">
        <v>82.9</v>
      </c>
      <c r="G57" s="110"/>
      <c r="H57" s="1184">
        <v>66.289299999999997</v>
      </c>
      <c r="I57" s="366"/>
      <c r="J57" s="908">
        <f t="shared" si="23"/>
        <v>3.0027906918926872E-2</v>
      </c>
      <c r="K57" s="367">
        <f t="shared" si="31"/>
        <v>125.05789018740583</v>
      </c>
      <c r="L57" s="367">
        <f t="shared" si="2"/>
        <v>125.05789018740583</v>
      </c>
      <c r="M57" s="108">
        <f t="shared" si="39"/>
        <v>7.454280737154062E-2</v>
      </c>
      <c r="N57" s="108">
        <f t="shared" si="40"/>
        <v>7.454280737154062E-2</v>
      </c>
      <c r="O57" s="1245">
        <f t="shared" si="46"/>
        <v>8.6795151760803879E-2</v>
      </c>
      <c r="P57" s="198">
        <f t="shared" si="26"/>
        <v>5.6662936550428533E-2</v>
      </c>
      <c r="Q57" s="198"/>
      <c r="R57" s="198"/>
      <c r="S57" s="198"/>
      <c r="T57" s="198">
        <f t="shared" si="44"/>
        <v>9.0290698888692233E-2</v>
      </c>
      <c r="U57" s="198">
        <f t="shared" si="41"/>
        <v>9.0290698888692233E-2</v>
      </c>
      <c r="V57" s="198">
        <f t="shared" si="53"/>
        <v>5.6662936550428533E-2</v>
      </c>
      <c r="W57" s="198">
        <f t="shared" si="58"/>
        <v>5.8436766977977062E-2</v>
      </c>
      <c r="X57" s="887">
        <v>59950364</v>
      </c>
      <c r="Y57" s="902">
        <f t="shared" si="32"/>
        <v>1382.8106197987388</v>
      </c>
      <c r="Z57" s="902">
        <f t="shared" si="33"/>
        <v>2086.0238678018009</v>
      </c>
      <c r="AA57" s="1111">
        <f t="shared" si="45"/>
        <v>6.8920052057526826E-2</v>
      </c>
      <c r="AB57" s="1109">
        <v>43</v>
      </c>
      <c r="AC57" s="889">
        <v>1342153</v>
      </c>
      <c r="AD57" s="889">
        <v>484.32600000000002</v>
      </c>
      <c r="AE57" s="889">
        <v>442.16500000000002</v>
      </c>
      <c r="AF57" s="367">
        <f t="shared" si="47"/>
        <v>1813508.9911056536</v>
      </c>
      <c r="AG57" s="198">
        <f t="shared" si="27"/>
        <v>2.7637119794831966E-2</v>
      </c>
      <c r="AH57" s="198"/>
      <c r="AI57" s="367">
        <f t="shared" si="42"/>
        <v>654.41835291970199</v>
      </c>
      <c r="AJ57" s="198">
        <f t="shared" si="28"/>
        <v>2.8749693496441742E-2</v>
      </c>
      <c r="AK57" s="198"/>
      <c r="AL57" s="367">
        <f t="shared" si="43"/>
        <v>597.45066549956027</v>
      </c>
      <c r="AM57" s="198">
        <f t="shared" si="29"/>
        <v>3.0162749518860332E-2</v>
      </c>
      <c r="AN57" s="198"/>
      <c r="AO57" s="903">
        <f t="shared" si="34"/>
        <v>30250174.813044563</v>
      </c>
      <c r="AP57" s="1109"/>
      <c r="AQ57" s="903">
        <f t="shared" si="35"/>
        <v>10916.002994071931</v>
      </c>
      <c r="AR57" s="903">
        <f t="shared" si="36"/>
        <v>9965.7554289338477</v>
      </c>
      <c r="AS57" s="889"/>
      <c r="AT57" s="108"/>
      <c r="AU57" s="212">
        <v>821722</v>
      </c>
      <c r="AV57" s="213"/>
      <c r="AW57" s="213">
        <f t="shared" si="48"/>
        <v>4725752.5872144438</v>
      </c>
      <c r="AX57" s="213">
        <f t="shared" si="51"/>
        <v>4725752.5872144438</v>
      </c>
      <c r="AY57" s="213">
        <f t="shared" si="49"/>
        <v>195.23667746519635</v>
      </c>
      <c r="AZ57" s="198">
        <f t="shared" si="56"/>
        <v>-9.2774741016590667E-2</v>
      </c>
      <c r="BA57" s="198">
        <f t="shared" si="54"/>
        <v>-4.5482920771062418E-2</v>
      </c>
      <c r="BB57" s="198" t="s">
        <v>890</v>
      </c>
      <c r="BC57" s="198">
        <f t="shared" si="59"/>
        <v>2.8263996786323409E-2</v>
      </c>
      <c r="BD57" s="198"/>
      <c r="BE57" s="198"/>
      <c r="BF57" s="198"/>
      <c r="BG57" s="255">
        <v>97246580.34838888</v>
      </c>
      <c r="BH57" s="255"/>
      <c r="BI57" s="251">
        <f t="shared" si="50"/>
        <v>8.4498806750443623E-3</v>
      </c>
      <c r="BJ57" s="255"/>
      <c r="BK57" s="198">
        <f t="shared" si="57"/>
        <v>-9.7898746895521582E-2</v>
      </c>
      <c r="BL57" s="198">
        <f t="shared" si="55"/>
        <v>-4.9784774886366678E-2</v>
      </c>
      <c r="BM57" s="177">
        <v>1341.848</v>
      </c>
      <c r="BN57" s="183">
        <f t="shared" si="37"/>
        <v>6.1780469919096657E-2</v>
      </c>
      <c r="BO57" s="176">
        <v>516.86099999999999</v>
      </c>
      <c r="BP57" s="184">
        <f t="shared" si="38"/>
        <v>0.16039128508438441</v>
      </c>
      <c r="BQ57" s="184"/>
      <c r="BR57" s="184">
        <v>0.24990880890869135</v>
      </c>
      <c r="BS57" s="179">
        <v>331.721</v>
      </c>
      <c r="BT57" s="106">
        <v>135.9</v>
      </c>
      <c r="BU57" s="107">
        <v>24.771000000000001</v>
      </c>
      <c r="BV57" s="105">
        <v>24.469000000000001</v>
      </c>
      <c r="BW57" s="889"/>
      <c r="BX57" s="889"/>
    </row>
    <row r="58" spans="1:81" ht="18.5">
      <c r="A58" s="111" t="s">
        <v>369</v>
      </c>
      <c r="B58" s="111"/>
      <c r="C58" s="111"/>
      <c r="D58" s="111"/>
      <c r="E58" s="111"/>
      <c r="F58" s="110">
        <v>89.8</v>
      </c>
      <c r="G58" s="110"/>
      <c r="H58" s="1184">
        <v>68.103499999999997</v>
      </c>
      <c r="I58" s="366"/>
      <c r="J58" s="908">
        <f t="shared" si="23"/>
        <v>2.7367916089021893E-2</v>
      </c>
      <c r="K58" s="367">
        <f t="shared" si="31"/>
        <v>131.85812770268782</v>
      </c>
      <c r="L58" s="367">
        <f t="shared" si="2"/>
        <v>131.85812770268782</v>
      </c>
      <c r="M58" s="108">
        <f t="shared" si="39"/>
        <v>5.4376717095510507E-2</v>
      </c>
      <c r="N58" s="108">
        <f t="shared" si="40"/>
        <v>5.4376717095510507E-2</v>
      </c>
      <c r="O58" s="198">
        <f t="shared" si="46"/>
        <v>8.0374133811157433E-2</v>
      </c>
      <c r="P58" s="198">
        <f t="shared" si="26"/>
        <v>6.033352701315553E-2</v>
      </c>
      <c r="Q58" s="198"/>
      <c r="R58" s="198"/>
      <c r="S58" s="198"/>
      <c r="T58" s="198">
        <f t="shared" si="44"/>
        <v>6.4412005576317544E-2</v>
      </c>
      <c r="U58" s="198">
        <f t="shared" si="41"/>
        <v>6.4412005576317544E-2</v>
      </c>
      <c r="V58" s="198">
        <f t="shared" si="53"/>
        <v>6.033352701315553E-2</v>
      </c>
      <c r="W58" s="198">
        <f t="shared" si="58"/>
        <v>5.6947608457231125E-2</v>
      </c>
      <c r="X58" s="887">
        <v>60413276</v>
      </c>
      <c r="Y58" s="902">
        <f t="shared" si="32"/>
        <v>1486.4282479897299</v>
      </c>
      <c r="Z58" s="902">
        <f t="shared" si="33"/>
        <v>2182.6018457050372</v>
      </c>
      <c r="AA58" s="1111">
        <f t="shared" si="45"/>
        <v>4.6297638005939001E-2</v>
      </c>
      <c r="AB58" s="1109">
        <v>48</v>
      </c>
      <c r="AC58" s="889">
        <v>1418417</v>
      </c>
      <c r="AD58" s="889">
        <v>521.51900000000001</v>
      </c>
      <c r="AE58" s="889">
        <v>473.17</v>
      </c>
      <c r="AF58" s="367">
        <f t="shared" si="47"/>
        <v>1865501.5552049454</v>
      </c>
      <c r="AG58" s="198">
        <f t="shared" si="27"/>
        <v>2.4832067972531346E-2</v>
      </c>
      <c r="AH58" s="198"/>
      <c r="AI58" s="367">
        <f t="shared" si="42"/>
        <v>685.90161114039665</v>
      </c>
      <c r="AJ58" s="198">
        <f t="shared" si="28"/>
        <v>2.6536417701808146E-2</v>
      </c>
      <c r="AK58" s="198"/>
      <c r="AL58" s="367">
        <f t="shared" si="43"/>
        <v>622.3130228108688</v>
      </c>
      <c r="AM58" s="198">
        <f t="shared" si="29"/>
        <v>2.6687988454059397E-2</v>
      </c>
      <c r="AN58" s="198"/>
      <c r="AO58" s="903">
        <f t="shared" si="34"/>
        <v>30879000.092710506</v>
      </c>
      <c r="AP58" s="1109"/>
      <c r="AQ58" s="903">
        <f t="shared" si="35"/>
        <v>11353.491426957158</v>
      </c>
      <c r="AR58" s="903">
        <f t="shared" si="36"/>
        <v>10300.931583496131</v>
      </c>
      <c r="AS58" s="889"/>
      <c r="AT58" s="108"/>
      <c r="AU58" s="1727">
        <v>784572</v>
      </c>
      <c r="AV58" s="213"/>
      <c r="AW58" s="213">
        <f t="shared" si="48"/>
        <v>4512101.6096149432</v>
      </c>
      <c r="AX58" s="213">
        <f t="shared" si="51"/>
        <v>4512101.6096149432</v>
      </c>
      <c r="AY58" s="213">
        <f t="shared" si="49"/>
        <v>186.41003954162602</v>
      </c>
      <c r="AZ58" s="198">
        <f t="shared" si="56"/>
        <v>-4.5209937180700988E-2</v>
      </c>
      <c r="BA58" s="198">
        <f t="shared" si="54"/>
        <v>-4.8641467310557518E-2</v>
      </c>
      <c r="BB58" s="198" t="s">
        <v>890</v>
      </c>
      <c r="BC58" s="198">
        <f t="shared" si="59"/>
        <v>2.8263996786323409E-2</v>
      </c>
      <c r="BD58" s="198"/>
      <c r="BE58" s="198"/>
      <c r="BF58" s="198"/>
      <c r="BG58" s="255">
        <v>98012077.704116344</v>
      </c>
      <c r="BH58" s="255"/>
      <c r="BI58" s="251">
        <f t="shared" si="50"/>
        <v>8.0048502019159761E-3</v>
      </c>
      <c r="BJ58" s="255"/>
      <c r="BK58" s="198">
        <f t="shared" si="57"/>
        <v>-5.2667071908213625E-2</v>
      </c>
      <c r="BL58" s="198">
        <f t="shared" si="55"/>
        <v>-5.3818689380670359E-2</v>
      </c>
      <c r="BM58" s="177">
        <v>1423.37</v>
      </c>
      <c r="BN58" s="183">
        <f t="shared" si="37"/>
        <v>6.3089709632772925E-2</v>
      </c>
      <c r="BO58" s="176">
        <v>546.25099999999998</v>
      </c>
      <c r="BP58" s="184">
        <f t="shared" si="38"/>
        <v>0.16439329172852774</v>
      </c>
      <c r="BQ58" s="184"/>
      <c r="BR58" s="184">
        <v>0.25540604726433958</v>
      </c>
      <c r="BS58" s="179">
        <v>351.59699999999998</v>
      </c>
      <c r="BT58" s="106">
        <v>142.30000000000001</v>
      </c>
      <c r="BU58" s="107">
        <v>26.481000000000002</v>
      </c>
      <c r="BV58" s="105">
        <v>25.873000000000001</v>
      </c>
      <c r="BW58" s="889"/>
      <c r="BX58" s="889"/>
      <c r="CC58" s="298"/>
    </row>
    <row r="59" spans="1:81" ht="18.5">
      <c r="A59" s="111" t="s">
        <v>370</v>
      </c>
      <c r="B59" s="111"/>
      <c r="C59" s="111"/>
      <c r="D59" s="111"/>
      <c r="E59" s="111"/>
      <c r="F59" s="110">
        <v>94.7</v>
      </c>
      <c r="G59" s="110"/>
      <c r="H59" s="1184">
        <v>69.924700000000001</v>
      </c>
      <c r="I59" s="366"/>
      <c r="J59" s="908">
        <f t="shared" si="23"/>
        <v>2.6741650575961673E-2</v>
      </c>
      <c r="K59" s="367">
        <f t="shared" si="31"/>
        <v>135.43139977718889</v>
      </c>
      <c r="L59" s="367">
        <f t="shared" si="2"/>
        <v>135.43139977718889</v>
      </c>
      <c r="M59" s="108">
        <f t="shared" si="39"/>
        <v>2.7099369123138484E-2</v>
      </c>
      <c r="N59" s="108">
        <f t="shared" si="40"/>
        <v>2.7099369123138484E-2</v>
      </c>
      <c r="O59" s="198">
        <f t="shared" si="46"/>
        <v>6.86074467819211E-2</v>
      </c>
      <c r="P59" s="198">
        <f t="shared" si="26"/>
        <v>6.3176125118026727E-2</v>
      </c>
      <c r="Q59" s="198"/>
      <c r="R59" s="198"/>
      <c r="S59" s="198"/>
      <c r="T59" s="198">
        <f t="shared" si="44"/>
        <v>4.0648673158681703E-2</v>
      </c>
      <c r="U59" s="198">
        <f t="shared" si="41"/>
        <v>4.0648673158681703E-2</v>
      </c>
      <c r="V59" s="198">
        <f t="shared" si="53"/>
        <v>6.3176125118026727E-2</v>
      </c>
      <c r="W59" s="198">
        <f t="shared" si="58"/>
        <v>5.3366591755508397E-2</v>
      </c>
      <c r="X59" s="887">
        <v>60827067</v>
      </c>
      <c r="Y59" s="902">
        <f t="shared" si="32"/>
        <v>1556.8726994513806</v>
      </c>
      <c r="Z59" s="902">
        <f t="shared" si="33"/>
        <v>2226.4989330685448</v>
      </c>
      <c r="AA59" s="1111">
        <f t="shared" si="45"/>
        <v>2.0112274462650737E-2</v>
      </c>
      <c r="AB59" s="1109">
        <v>49</v>
      </c>
      <c r="AC59" s="889">
        <v>1486255</v>
      </c>
      <c r="AD59" s="889">
        <v>552.16600000000005</v>
      </c>
      <c r="AE59" s="889">
        <v>502.32499999999999</v>
      </c>
      <c r="AF59" s="367">
        <f t="shared" si="47"/>
        <v>1903811.0206193232</v>
      </c>
      <c r="AG59" s="198">
        <f t="shared" si="27"/>
        <v>2.5626519784390789E-2</v>
      </c>
      <c r="AH59" s="198"/>
      <c r="AI59" s="367">
        <f t="shared" si="42"/>
        <v>707.29431760450893</v>
      </c>
      <c r="AJ59" s="198">
        <f t="shared" si="28"/>
        <v>3.3424790748889377E-2</v>
      </c>
      <c r="AK59" s="198"/>
      <c r="AL59" s="367">
        <f t="shared" si="43"/>
        <v>643.4507341826278</v>
      </c>
      <c r="AM59" s="198">
        <f t="shared" si="29"/>
        <v>3.3686321781243977E-2</v>
      </c>
      <c r="AN59" s="198"/>
      <c r="AO59" s="903">
        <f t="shared" si="34"/>
        <v>31298747.654877447</v>
      </c>
      <c r="AP59" s="1109"/>
      <c r="AQ59" s="903">
        <f t="shared" si="35"/>
        <v>11627.953680628871</v>
      </c>
      <c r="AR59" s="903">
        <f t="shared" si="36"/>
        <v>10578.362000959669</v>
      </c>
      <c r="AS59" s="889"/>
      <c r="AT59" s="108"/>
      <c r="AU59" s="212">
        <v>700624</v>
      </c>
      <c r="AV59" s="213"/>
      <c r="AW59" s="213">
        <f>AU59*AW$60</f>
        <v>4029313.6616331707</v>
      </c>
      <c r="AX59" s="213">
        <f t="shared" si="51"/>
        <v>4029313.6616331707</v>
      </c>
      <c r="AY59" s="213">
        <f t="shared" si="49"/>
        <v>166.46445137452289</v>
      </c>
      <c r="AZ59" s="198">
        <f t="shared" si="56"/>
        <v>-0.10699846540534197</v>
      </c>
      <c r="BA59" s="198">
        <f t="shared" si="54"/>
        <v>-7.5135082067534498E-2</v>
      </c>
      <c r="BB59" s="198" t="s">
        <v>890</v>
      </c>
      <c r="BC59" s="198">
        <f t="shared" si="59"/>
        <v>2.8263996786323409E-2</v>
      </c>
      <c r="BD59" s="198"/>
      <c r="BE59" s="198"/>
      <c r="BF59" s="198"/>
      <c r="BG59" s="255">
        <v>98613135.149961695</v>
      </c>
      <c r="BH59" s="255"/>
      <c r="BI59" s="251">
        <f t="shared" si="50"/>
        <v>7.1047736078419582E-3</v>
      </c>
      <c r="BJ59" s="255"/>
      <c r="BK59" s="198">
        <f t="shared" si="57"/>
        <v>-0.11244140382022172</v>
      </c>
      <c r="BL59" s="198">
        <f t="shared" si="55"/>
        <v>-8.050424627154551E-2</v>
      </c>
      <c r="BM59" s="177">
        <v>1494.2249999999999</v>
      </c>
      <c r="BN59" s="183">
        <f t="shared" si="37"/>
        <v>6.3377336077230673E-2</v>
      </c>
      <c r="BO59" s="176">
        <v>571.77800000000002</v>
      </c>
      <c r="BP59" s="184">
        <f t="shared" si="38"/>
        <v>0.16562372109455067</v>
      </c>
      <c r="BQ59" s="184"/>
      <c r="BR59" s="184">
        <v>0.2571126816011034</v>
      </c>
      <c r="BS59" s="179">
        <v>368.32099999999997</v>
      </c>
      <c r="BT59" s="106">
        <v>147.5</v>
      </c>
      <c r="BU59" s="107">
        <v>28.760999999999999</v>
      </c>
      <c r="BV59" s="105">
        <v>27.196000000000002</v>
      </c>
      <c r="BW59" s="889"/>
      <c r="BX59" s="889"/>
    </row>
    <row r="60" spans="1:81" ht="18.5">
      <c r="A60" s="111" t="s">
        <v>371</v>
      </c>
      <c r="B60" s="111"/>
      <c r="C60" s="111"/>
      <c r="D60" s="111"/>
      <c r="E60" s="111"/>
      <c r="F60" s="110">
        <v>101.1</v>
      </c>
      <c r="G60" s="110"/>
      <c r="H60" s="1184">
        <v>71.616399999999999</v>
      </c>
      <c r="I60" s="366"/>
      <c r="J60" s="908">
        <f t="shared" si="23"/>
        <v>2.4193167793354897E-2</v>
      </c>
      <c r="K60" s="367">
        <f t="shared" si="31"/>
        <v>141.16878256935561</v>
      </c>
      <c r="L60" s="367">
        <f t="shared" si="2"/>
        <v>141.16878256935561</v>
      </c>
      <c r="M60" s="108">
        <f t="shared" si="39"/>
        <v>4.2363756127499652E-2</v>
      </c>
      <c r="N60" s="108">
        <f t="shared" si="40"/>
        <v>4.2363756127499652E-2</v>
      </c>
      <c r="O60" s="198">
        <f t="shared" si="46"/>
        <v>6.0577568042895269E-2</v>
      </c>
      <c r="P60" s="198">
        <f t="shared" si="26"/>
        <v>6.3428139045309972E-2</v>
      </c>
      <c r="Q60" s="198"/>
      <c r="R60" s="198"/>
      <c r="S60" s="198"/>
      <c r="T60" s="198">
        <f t="shared" si="44"/>
        <v>3.4703414663052046E-2</v>
      </c>
      <c r="U60" s="198">
        <f t="shared" si="41"/>
        <v>3.4703414663052046E-2</v>
      </c>
      <c r="V60" s="198">
        <f t="shared" si="53"/>
        <v>6.3428139045309972E-2</v>
      </c>
      <c r="W60" s="198">
        <f t="shared" si="58"/>
        <v>5.3500502133775552E-2</v>
      </c>
      <c r="X60" s="887">
        <v>61319075</v>
      </c>
      <c r="Y60" s="902">
        <f t="shared" si="32"/>
        <v>1648.7528554532175</v>
      </c>
      <c r="Z60" s="902">
        <f t="shared" si="33"/>
        <v>2302.2001321669582</v>
      </c>
      <c r="AA60" s="1111">
        <f t="shared" si="45"/>
        <v>3.4000105714886875E-2</v>
      </c>
      <c r="AB60" s="1109">
        <v>51</v>
      </c>
      <c r="AC60" s="889">
        <v>1565822</v>
      </c>
      <c r="AD60" s="889">
        <v>583.85400000000004</v>
      </c>
      <c r="AE60" s="889">
        <v>528.84400000000005</v>
      </c>
      <c r="AF60" s="367">
        <f t="shared" si="47"/>
        <v>1958353.2095078782</v>
      </c>
      <c r="AG60" s="198">
        <f t="shared" si="27"/>
        <v>2.6211301723748637E-2</v>
      </c>
      <c r="AH60" s="198"/>
      <c r="AI60" s="367">
        <f t="shared" si="42"/>
        <v>730.21860389240464</v>
      </c>
      <c r="AJ60" s="198">
        <f t="shared" si="28"/>
        <v>4.1940760019818946E-2</v>
      </c>
      <c r="AK60" s="198"/>
      <c r="AL60" s="367">
        <f t="shared" si="43"/>
        <v>661.41831238096302</v>
      </c>
      <c r="AM60" s="198">
        <f t="shared" si="29"/>
        <v>4.096259103645461E-2</v>
      </c>
      <c r="AN60" s="198"/>
      <c r="AO60" s="903">
        <f t="shared" si="34"/>
        <v>31937096.401207589</v>
      </c>
      <c r="AP60" s="1109"/>
      <c r="AQ60" s="903">
        <f t="shared" si="35"/>
        <v>11908.506511104491</v>
      </c>
      <c r="AR60" s="903">
        <f t="shared" si="36"/>
        <v>10786.501792157873</v>
      </c>
      <c r="AS60" s="889"/>
      <c r="AT60" s="108"/>
      <c r="AU60" s="212">
        <v>531506</v>
      </c>
      <c r="AV60" s="1084">
        <v>3056710</v>
      </c>
      <c r="AW60" s="1086">
        <f>AV60/AU60</f>
        <v>5.7510357361911248</v>
      </c>
      <c r="AX60" s="213">
        <f>AV60</f>
        <v>3056710</v>
      </c>
      <c r="AY60" s="213">
        <f t="shared" si="49"/>
        <v>126.28293448735295</v>
      </c>
      <c r="AZ60" s="198">
        <f t="shared" si="56"/>
        <v>-0.24138196807417389</v>
      </c>
      <c r="BA60" s="1088">
        <f t="shared" si="54"/>
        <v>-0.11734144849370998</v>
      </c>
      <c r="BB60" s="198" t="s">
        <v>890</v>
      </c>
      <c r="BC60" s="198">
        <f t="shared" si="59"/>
        <v>2.8263996786323409E-2</v>
      </c>
      <c r="BD60" s="198"/>
      <c r="BG60" s="256">
        <v>99496618.884871751</v>
      </c>
      <c r="BH60" s="256"/>
      <c r="BI60" s="251">
        <f t="shared" si="50"/>
        <v>5.3419503693387755E-3</v>
      </c>
      <c r="BJ60" s="251">
        <f t="shared" ref="BJ60:BJ72" si="60">AV60/BG60</f>
        <v>3.0721747475026675E-2</v>
      </c>
      <c r="BK60" s="198">
        <f t="shared" si="57"/>
        <v>-0.24811814363197304</v>
      </c>
      <c r="BL60" s="198">
        <f t="shared" si="55"/>
        <v>-0.12325530451615152</v>
      </c>
      <c r="BM60" s="177">
        <v>1572.7719999999999</v>
      </c>
      <c r="BN60" s="183">
        <f t="shared" si="37"/>
        <v>6.4281408875539486E-2</v>
      </c>
      <c r="BO60" s="178">
        <v>628.08799999999997</v>
      </c>
      <c r="BP60" s="184">
        <f t="shared" si="38"/>
        <v>0.16096470558265721</v>
      </c>
      <c r="BQ60" s="184"/>
      <c r="BR60" s="184">
        <v>0.25905806385486596</v>
      </c>
      <c r="BS60" s="179">
        <v>390.26000000000005</v>
      </c>
      <c r="BT60" s="106">
        <v>156.5</v>
      </c>
      <c r="BU60" s="107">
        <v>31.402999999999999</v>
      </c>
      <c r="BV60" s="105">
        <v>28.239000000000001</v>
      </c>
      <c r="BW60" s="889"/>
      <c r="BX60" s="889"/>
    </row>
    <row r="61" spans="1:81" ht="18.5">
      <c r="A61" s="111" t="s">
        <v>372</v>
      </c>
      <c r="B61" s="111"/>
      <c r="C61" s="111"/>
      <c r="D61" s="111"/>
      <c r="E61" s="111"/>
      <c r="F61" s="110">
        <v>108.7</v>
      </c>
      <c r="G61" s="110"/>
      <c r="H61" s="1184">
        <v>74.195300000000003</v>
      </c>
      <c r="I61" s="366"/>
      <c r="J61" s="908">
        <f t="shared" si="23"/>
        <v>3.6009908345016051E-2</v>
      </c>
      <c r="K61" s="367">
        <f t="shared" si="31"/>
        <v>146.50523685462557</v>
      </c>
      <c r="L61" s="367">
        <f t="shared" si="2"/>
        <v>146.50523685462557</v>
      </c>
      <c r="M61" s="108">
        <f t="shared" si="39"/>
        <v>3.7801943093531909E-2</v>
      </c>
      <c r="N61" s="108">
        <f t="shared" si="40"/>
        <v>3.7801943093531909E-2</v>
      </c>
      <c r="O61" s="198">
        <f t="shared" si="46"/>
        <v>4.7112043135653758E-2</v>
      </c>
      <c r="P61" s="198">
        <f t="shared" si="26"/>
        <v>6.3231612963179362E-2</v>
      </c>
      <c r="Q61" s="198"/>
      <c r="R61" s="198"/>
      <c r="S61" s="198"/>
      <c r="T61" s="198">
        <f t="shared" si="44"/>
        <v>4.0080348588219072E-2</v>
      </c>
      <c r="U61" s="198">
        <f t="shared" si="41"/>
        <v>4.0080348588219072E-2</v>
      </c>
      <c r="V61" s="198">
        <f t="shared" si="53"/>
        <v>6.3231612963179362E-2</v>
      </c>
      <c r="W61" s="198">
        <f t="shared" si="58"/>
        <v>5.1980351349719234E-2</v>
      </c>
      <c r="X61" s="887">
        <v>61823772</v>
      </c>
      <c r="Y61" s="902">
        <f t="shared" si="32"/>
        <v>1758.2233578371763</v>
      </c>
      <c r="Z61" s="902">
        <f t="shared" si="33"/>
        <v>2369.7233623115972</v>
      </c>
      <c r="AA61" s="1111">
        <f t="shared" si="45"/>
        <v>2.9329869806358877E-2</v>
      </c>
      <c r="AB61" s="1109">
        <v>58</v>
      </c>
      <c r="AC61" s="889">
        <v>1582979</v>
      </c>
      <c r="AD61" s="889">
        <v>569.09900000000005</v>
      </c>
      <c r="AE61" s="889">
        <v>510.197</v>
      </c>
      <c r="AF61" s="367">
        <f t="shared" si="47"/>
        <v>1910996.4396167952</v>
      </c>
      <c r="AG61" s="198">
        <f t="shared" si="27"/>
        <v>1.5313563552679987E-2</v>
      </c>
      <c r="AH61" s="198"/>
      <c r="AI61" s="367">
        <f t="shared" si="42"/>
        <v>687.02500967446724</v>
      </c>
      <c r="AJ61" s="198">
        <f t="shared" si="28"/>
        <v>1.7774499099993513E-2</v>
      </c>
      <c r="AK61" s="198"/>
      <c r="AL61" s="367">
        <f t="shared" si="43"/>
        <v>615.91761514408586</v>
      </c>
      <c r="AM61" s="198">
        <f t="shared" si="29"/>
        <v>1.4552660464332456E-2</v>
      </c>
      <c r="AN61" s="198"/>
      <c r="AO61" s="903">
        <f t="shared" si="34"/>
        <v>30910382.491977282</v>
      </c>
      <c r="AP61" s="1109"/>
      <c r="AQ61" s="903">
        <f t="shared" si="35"/>
        <v>11112.634953339102</v>
      </c>
      <c r="AR61" s="903">
        <f t="shared" si="36"/>
        <v>9962.4722856458156</v>
      </c>
      <c r="AS61" s="889"/>
      <c r="AT61" s="108"/>
      <c r="AU61" s="108"/>
      <c r="AV61" s="1084">
        <v>2360453</v>
      </c>
      <c r="AW61" s="1082"/>
      <c r="AX61" s="213">
        <f t="shared" ref="AX61:AX79" si="61">AV61</f>
        <v>2360453</v>
      </c>
      <c r="AY61" s="213">
        <f t="shared" si="49"/>
        <v>97.518224352155002</v>
      </c>
      <c r="AZ61" s="198">
        <f>AV61/AV60-1</f>
        <v>-0.22777986789718352</v>
      </c>
      <c r="BA61" s="1087">
        <f>((AX61/AX56)^(1/COUNT(AX57:AX61)))-1</f>
        <v>-0.14641278424381576</v>
      </c>
      <c r="BB61" s="198" t="s">
        <v>890</v>
      </c>
      <c r="BC61" s="198">
        <f t="shared" si="59"/>
        <v>2.8263996786323409E-2</v>
      </c>
      <c r="BD61" s="198"/>
      <c r="BE61" s="198"/>
      <c r="BF61" s="198"/>
      <c r="BG61" s="256">
        <v>100610903.40204448</v>
      </c>
      <c r="BH61" s="256"/>
      <c r="BI61" s="256"/>
      <c r="BJ61" s="251">
        <f t="shared" si="60"/>
        <v>2.346120470231295E-2</v>
      </c>
      <c r="BK61" s="198">
        <f>BJ61/BJ60-1</f>
        <v>-0.2363323498643991</v>
      </c>
      <c r="BL61" s="198"/>
      <c r="BM61" s="177">
        <v>1583.8489999999999</v>
      </c>
      <c r="BN61" s="183">
        <f t="shared" si="37"/>
        <v>6.863027978045888E-2</v>
      </c>
      <c r="BO61" s="178">
        <v>685.47500000000002</v>
      </c>
      <c r="BP61" s="184">
        <f t="shared" si="38"/>
        <v>0.15857616980925635</v>
      </c>
      <c r="BQ61" s="184"/>
      <c r="BR61" s="184">
        <v>0.25378399643254884</v>
      </c>
      <c r="BS61" s="179">
        <v>428.31699999999995</v>
      </c>
      <c r="BT61" s="106">
        <v>170.6</v>
      </c>
      <c r="BU61" s="107">
        <v>31.687000000000001</v>
      </c>
      <c r="BV61" s="105">
        <v>31.07</v>
      </c>
      <c r="BW61" s="889"/>
      <c r="BX61" s="889"/>
    </row>
    <row r="62" spans="1:81" s="1316" customFormat="1" ht="18.5">
      <c r="A62" s="1289" t="s">
        <v>373</v>
      </c>
      <c r="B62" s="1289"/>
      <c r="C62" s="1289"/>
      <c r="D62" s="1289"/>
      <c r="E62" s="1289"/>
      <c r="F62" s="1291">
        <v>116.9</v>
      </c>
      <c r="G62" s="1291"/>
      <c r="H62" s="1292">
        <v>75.199299999999994</v>
      </c>
      <c r="I62" s="1293"/>
      <c r="J62" s="1294">
        <f t="shared" si="23"/>
        <v>1.3531854443610269E-2</v>
      </c>
      <c r="K62" s="1295">
        <f t="shared" si="31"/>
        <v>155.45357470082834</v>
      </c>
      <c r="L62" s="1295">
        <f t="shared" si="2"/>
        <v>155.45357470082834</v>
      </c>
      <c r="M62" s="1296">
        <f t="shared" si="39"/>
        <v>6.1078621067191197E-2</v>
      </c>
      <c r="N62" s="1296">
        <f t="shared" si="40"/>
        <v>6.1078621067191197E-2</v>
      </c>
      <c r="O62" s="1297">
        <f t="shared" si="46"/>
        <v>4.4474696332641672E-2</v>
      </c>
      <c r="P62" s="1297">
        <f t="shared" si="26"/>
        <v>6.5424814856098967E-2</v>
      </c>
      <c r="Q62" s="1298"/>
      <c r="R62" s="1298"/>
      <c r="S62" s="1298"/>
      <c r="T62" s="1298">
        <f t="shared" si="44"/>
        <v>4.9375745249782499E-2</v>
      </c>
      <c r="U62" s="1298">
        <f t="shared" si="41"/>
        <v>4.9375745249782499E-2</v>
      </c>
      <c r="V62" s="1299">
        <f t="shared" si="53"/>
        <v>6.5424814856098967E-2</v>
      </c>
      <c r="W62" s="1298">
        <f t="shared" si="58"/>
        <v>5.506668626118616E-2</v>
      </c>
      <c r="X62" s="1300">
        <v>62260486</v>
      </c>
      <c r="Y62" s="1301">
        <f t="shared" si="32"/>
        <v>1877.5953660239659</v>
      </c>
      <c r="Z62" s="1301">
        <f t="shared" si="33"/>
        <v>2496.8255901636931</v>
      </c>
      <c r="AA62" s="1319">
        <f t="shared" si="45"/>
        <v>5.363589264196289E-2</v>
      </c>
      <c r="AB62" s="1320">
        <v>64</v>
      </c>
      <c r="AC62" s="1303">
        <v>1557028</v>
      </c>
      <c r="AD62" s="1303">
        <v>563.96699999999998</v>
      </c>
      <c r="AE62" s="1303">
        <v>503.858</v>
      </c>
      <c r="AF62" s="1295">
        <f t="shared" si="47"/>
        <v>1854572.1948422391</v>
      </c>
      <c r="AG62" s="1298">
        <f t="shared" si="27"/>
        <v>4.4881234182834184E-3</v>
      </c>
      <c r="AH62" s="1298">
        <f>(AF62/AF49)^(1/COUNTA(AF50:AF62))-1</f>
        <v>2.0877802641511289E-2</v>
      </c>
      <c r="AI62" s="1295">
        <f t="shared" si="42"/>
        <v>671.73969704372246</v>
      </c>
      <c r="AJ62" s="1298">
        <f t="shared" si="28"/>
        <v>5.2384890698304876E-3</v>
      </c>
      <c r="AK62" s="1298">
        <f>(AI62/AI49)^(1/COUNTA(AI50:AI62))-1</f>
        <v>2.9510340514605993E-2</v>
      </c>
      <c r="AL62" s="1295">
        <f t="shared" si="43"/>
        <v>600.1440160028086</v>
      </c>
      <c r="AM62" s="1298">
        <f t="shared" si="29"/>
        <v>8.9999292891573823E-4</v>
      </c>
      <c r="AN62" s="1298">
        <f>(AL62/AL49)^(1/COUNTA(AL50:AL62))-1</f>
        <v>2.770497829500318E-2</v>
      </c>
      <c r="AO62" s="1302">
        <f t="shared" si="34"/>
        <v>29787306.749295842</v>
      </c>
      <c r="AP62" s="1320"/>
      <c r="AQ62" s="1302">
        <f t="shared" si="35"/>
        <v>10789.181713803559</v>
      </c>
      <c r="AR62" s="1302">
        <f t="shared" si="36"/>
        <v>9639.243998236836</v>
      </c>
      <c r="AS62" s="1303"/>
      <c r="AT62" s="1296"/>
      <c r="AU62" s="1296"/>
      <c r="AV62" s="1326">
        <v>2420525</v>
      </c>
      <c r="AW62" s="1327"/>
      <c r="AX62" s="1321">
        <f t="shared" si="61"/>
        <v>2420525</v>
      </c>
      <c r="AY62" s="1321">
        <f t="shared" si="49"/>
        <v>100</v>
      </c>
      <c r="AZ62" s="1298">
        <f t="shared" ref="AZ62:AZ72" si="62">AV62/AV61-1</f>
        <v>2.5449352306527562E-2</v>
      </c>
      <c r="BA62" s="1298">
        <f t="shared" ref="BA62:BA63" si="63">((AX62/AX57)^(1/COUNT(AX58:AX62)))-1</f>
        <v>-0.12524241212652287</v>
      </c>
      <c r="BB62" s="1298" t="s">
        <v>890</v>
      </c>
      <c r="BC62" s="1298">
        <f t="shared" ref="BC62" si="64">BC61</f>
        <v>2.8263996786323409E-2</v>
      </c>
      <c r="BD62" s="1298"/>
      <c r="BE62" s="1298"/>
      <c r="BF62" s="1298"/>
      <c r="BG62" s="1328">
        <v>101714158.54697263</v>
      </c>
      <c r="BH62" s="1328"/>
      <c r="BI62" s="1328"/>
      <c r="BJ62" s="1307">
        <f t="shared" si="60"/>
        <v>2.3797326100694006E-2</v>
      </c>
      <c r="BK62" s="1298">
        <f t="shared" ref="BK62:BK72" si="65">BJ62/BJ61-1</f>
        <v>1.432668964130035E-2</v>
      </c>
      <c r="BL62" s="1298"/>
      <c r="BM62" s="1308">
        <v>1566.72</v>
      </c>
      <c r="BN62" s="1309">
        <f t="shared" si="37"/>
        <v>7.4614481209150332E-2</v>
      </c>
      <c r="BO62" s="1329">
        <v>720.98500000000001</v>
      </c>
      <c r="BP62" s="1311">
        <f t="shared" si="38"/>
        <v>0.16213929554706408</v>
      </c>
      <c r="BQ62" s="1311"/>
      <c r="BR62" s="1311">
        <v>0.26010840446078132</v>
      </c>
      <c r="BS62" s="1312">
        <v>449.42799999999994</v>
      </c>
      <c r="BT62" s="1313">
        <v>187</v>
      </c>
      <c r="BU62" s="1314">
        <v>26.134</v>
      </c>
      <c r="BV62" s="1315">
        <v>32.387</v>
      </c>
      <c r="BW62" s="1303"/>
      <c r="BX62" s="1303"/>
    </row>
    <row r="63" spans="1:81" ht="18.5">
      <c r="A63" s="111" t="s">
        <v>374</v>
      </c>
      <c r="B63" s="111"/>
      <c r="C63" s="111"/>
      <c r="D63" s="111"/>
      <c r="E63" s="111"/>
      <c r="F63" s="110">
        <v>119.9</v>
      </c>
      <c r="G63" s="110"/>
      <c r="H63" s="1184">
        <v>76.616600000000005</v>
      </c>
      <c r="I63" s="366"/>
      <c r="J63" s="908">
        <f t="shared" si="23"/>
        <v>1.8847249907911534E-2</v>
      </c>
      <c r="K63" s="367">
        <f t="shared" si="31"/>
        <v>156.493501408311</v>
      </c>
      <c r="L63" s="367">
        <f t="shared" si="2"/>
        <v>156.493501408311</v>
      </c>
      <c r="M63" s="108">
        <f t="shared" si="39"/>
        <v>6.6896287813515976E-3</v>
      </c>
      <c r="N63" s="108">
        <f t="shared" si="40"/>
        <v>6.6896287813515976E-3</v>
      </c>
      <c r="O63" s="198">
        <f t="shared" si="46"/>
        <v>3.4851135588290783E-2</v>
      </c>
      <c r="P63" s="198">
        <f t="shared" si="26"/>
        <v>5.7367674574314131E-2</v>
      </c>
      <c r="Q63" s="198"/>
      <c r="R63" s="198"/>
      <c r="S63" s="198"/>
      <c r="T63" s="198">
        <f t="shared" si="44"/>
        <v>3.3526411442861503E-2</v>
      </c>
      <c r="U63" s="198">
        <f t="shared" si="41"/>
        <v>3.3526411442861503E-2</v>
      </c>
      <c r="V63" s="198">
        <f t="shared" si="53"/>
        <v>5.7367674574314131E-2</v>
      </c>
      <c r="W63" s="198">
        <f t="shared" si="58"/>
        <v>5.5571831909937419E-2</v>
      </c>
      <c r="X63" s="887">
        <v>62759456</v>
      </c>
      <c r="Y63" s="902">
        <f t="shared" si="32"/>
        <v>1910.4690773610275</v>
      </c>
      <c r="Z63" s="902">
        <f t="shared" si="33"/>
        <v>2493.544580888512</v>
      </c>
      <c r="AA63" s="1111">
        <f t="shared" si="45"/>
        <v>-1.3140722716503683E-3</v>
      </c>
      <c r="AB63" s="1109">
        <v>70</v>
      </c>
      <c r="AC63" s="889">
        <v>1627823</v>
      </c>
      <c r="AD63" s="889">
        <v>603.40800000000002</v>
      </c>
      <c r="AE63" s="889">
        <v>540.76700000000005</v>
      </c>
      <c r="AF63" s="367">
        <f t="shared" si="47"/>
        <v>1903029.079378359</v>
      </c>
      <c r="AG63" s="198">
        <f t="shared" si="27"/>
        <v>3.9913285522346076E-3</v>
      </c>
      <c r="AH63" s="198"/>
      <c r="AI63" s="367">
        <f t="shared" si="42"/>
        <v>705.42250031455319</v>
      </c>
      <c r="AJ63" s="198">
        <f t="shared" si="28"/>
        <v>5.6283240520023092E-3</v>
      </c>
      <c r="AK63" s="198"/>
      <c r="AL63" s="367">
        <f t="shared" si="43"/>
        <v>632.19116953636683</v>
      </c>
      <c r="AM63" s="198">
        <f t="shared" si="29"/>
        <v>3.1546883073969578E-3</v>
      </c>
      <c r="AN63" s="198"/>
      <c r="AO63" s="903">
        <f t="shared" si="34"/>
        <v>30322587.23495562</v>
      </c>
      <c r="AP63" s="1109"/>
      <c r="AQ63" s="903">
        <f t="shared" si="35"/>
        <v>11240.099026902866</v>
      </c>
      <c r="AR63" s="903">
        <f t="shared" si="36"/>
        <v>10073.241704586586</v>
      </c>
      <c r="AS63" s="889"/>
      <c r="AT63" s="108"/>
      <c r="AU63" s="108"/>
      <c r="AV63" s="1084">
        <v>2455424</v>
      </c>
      <c r="AW63" s="1082"/>
      <c r="AX63" s="213">
        <f t="shared" si="61"/>
        <v>2455424</v>
      </c>
      <c r="AY63" s="213">
        <f t="shared" si="49"/>
        <v>101.44179465198665</v>
      </c>
      <c r="AZ63" s="198">
        <f t="shared" si="62"/>
        <v>1.4417946519866609E-2</v>
      </c>
      <c r="BA63" s="1087">
        <f t="shared" si="63"/>
        <v>-0.11457959754435243</v>
      </c>
      <c r="BB63" s="1087" t="s">
        <v>853</v>
      </c>
      <c r="BC63" s="1087">
        <f>(AF72/AF62)^(1/COUNTA(AF63:AF72))-1</f>
        <v>1.9266523718150186E-2</v>
      </c>
      <c r="BD63" s="198"/>
      <c r="BE63" s="198"/>
      <c r="BF63" s="198"/>
      <c r="BG63" s="256">
        <v>102964720.88265601</v>
      </c>
      <c r="BH63" s="256"/>
      <c r="BI63" s="256"/>
      <c r="BJ63" s="251">
        <f t="shared" si="60"/>
        <v>2.3847236013957926E-2</v>
      </c>
      <c r="BK63" s="198">
        <f t="shared" si="65"/>
        <v>2.0972908070737706E-3</v>
      </c>
      <c r="BL63" s="198"/>
      <c r="BM63" s="177">
        <v>1631.2239999999999</v>
      </c>
      <c r="BN63" s="183">
        <f t="shared" si="37"/>
        <v>7.350308725227192E-2</v>
      </c>
      <c r="BO63" s="178">
        <v>743.90399999999977</v>
      </c>
      <c r="BP63" s="184">
        <f t="shared" si="38"/>
        <v>0.16117671097345901</v>
      </c>
      <c r="BQ63" s="184"/>
      <c r="BR63" s="184">
        <v>0.26609969750301288</v>
      </c>
      <c r="BS63" s="179">
        <v>450.58299999999986</v>
      </c>
      <c r="BT63" s="106">
        <v>193.8</v>
      </c>
      <c r="BU63" s="107">
        <v>39.064</v>
      </c>
      <c r="BV63" s="105">
        <v>33.808999999999997</v>
      </c>
      <c r="BW63" s="889"/>
      <c r="BX63" s="889"/>
    </row>
    <row r="64" spans="1:81" ht="18.5">
      <c r="A64" s="112" t="s">
        <v>375</v>
      </c>
      <c r="B64" s="112"/>
      <c r="C64" s="112"/>
      <c r="D64" s="112"/>
      <c r="E64" s="112"/>
      <c r="F64" s="110">
        <v>121.3</v>
      </c>
      <c r="G64" s="110"/>
      <c r="H64" s="1184">
        <v>77.966899999999995</v>
      </c>
      <c r="I64" s="366"/>
      <c r="J64" s="908">
        <f t="shared" si="23"/>
        <v>1.7624118010979295E-2</v>
      </c>
      <c r="K64" s="367">
        <f t="shared" si="31"/>
        <v>155.57884179055472</v>
      </c>
      <c r="L64" s="367">
        <f t="shared" si="2"/>
        <v>155.57884179055472</v>
      </c>
      <c r="M64" s="108">
        <f t="shared" si="39"/>
        <v>-5.8447131000656238E-3</v>
      </c>
      <c r="N64" s="108">
        <f t="shared" si="40"/>
        <v>-5.8447131000656238E-3</v>
      </c>
      <c r="O64" s="198">
        <f t="shared" si="46"/>
        <v>2.8125742721523794E-2</v>
      </c>
      <c r="P64" s="198">
        <f t="shared" si="26"/>
        <v>4.8171181105650218E-2</v>
      </c>
      <c r="Q64" s="198"/>
      <c r="R64" s="198"/>
      <c r="S64" s="198"/>
      <c r="T64" s="198">
        <f t="shared" si="44"/>
        <v>4.0282722526985282E-4</v>
      </c>
      <c r="U64" s="198">
        <f t="shared" si="41"/>
        <v>4.0282722526985282E-4</v>
      </c>
      <c r="V64" s="198">
        <f t="shared" si="53"/>
        <v>4.8171181105650218E-2</v>
      </c>
      <c r="W64" s="198">
        <f t="shared" si="58"/>
        <v>5.2185667419885506E-2</v>
      </c>
      <c r="X64" s="887">
        <v>63285145</v>
      </c>
      <c r="Y64" s="902">
        <f t="shared" si="32"/>
        <v>1916.7215307794586</v>
      </c>
      <c r="Z64" s="902">
        <f t="shared" si="33"/>
        <v>2458.378530863044</v>
      </c>
      <c r="AA64" s="1111">
        <f t="shared" si="45"/>
        <v>-1.4102835896736776E-2</v>
      </c>
      <c r="AB64" s="1109">
        <v>58</v>
      </c>
      <c r="AC64" s="889">
        <v>1673244</v>
      </c>
      <c r="AD64" s="889">
        <v>624.92600000000004</v>
      </c>
      <c r="AE64" s="889">
        <v>559.62099999999998</v>
      </c>
      <c r="AF64" s="367">
        <f t="shared" si="47"/>
        <v>1922251.1489721921</v>
      </c>
      <c r="AG64" s="198">
        <f t="shared" si="27"/>
        <v>1.929718532115654E-3</v>
      </c>
      <c r="AH64" s="198"/>
      <c r="AI64" s="367">
        <f t="shared" si="42"/>
        <v>717.92561128119769</v>
      </c>
      <c r="AJ64" s="198">
        <f t="shared" si="28"/>
        <v>2.988273642428485E-3</v>
      </c>
      <c r="AK64" s="198"/>
      <c r="AL64" s="367">
        <f t="shared" si="43"/>
        <v>642.90211722795186</v>
      </c>
      <c r="AM64" s="198">
        <f t="shared" si="29"/>
        <v>-1.7058156136118274E-4</v>
      </c>
      <c r="AN64" s="198"/>
      <c r="AO64" s="903">
        <f t="shared" si="34"/>
        <v>30374444.887061443</v>
      </c>
      <c r="AP64" s="1109"/>
      <c r="AQ64" s="903">
        <f t="shared" si="35"/>
        <v>11344.299065463114</v>
      </c>
      <c r="AR64" s="903">
        <f t="shared" si="36"/>
        <v>10158.815583466734</v>
      </c>
      <c r="AS64" s="889"/>
      <c r="AT64" s="108"/>
      <c r="AU64" s="108"/>
      <c r="AV64" s="1084">
        <v>2413969</v>
      </c>
      <c r="AW64" s="1082"/>
      <c r="AX64" s="213">
        <f t="shared" si="61"/>
        <v>2413969</v>
      </c>
      <c r="AY64" s="213">
        <f t="shared" si="49"/>
        <v>99.729149667943943</v>
      </c>
      <c r="AZ64" s="198">
        <f t="shared" si="62"/>
        <v>-1.6883031199499521E-2</v>
      </c>
      <c r="BA64" s="1087">
        <f>((AV64/AW59)^(1/COUNT(AV60:AV64)))-1</f>
        <v>-9.7390038018318359E-2</v>
      </c>
      <c r="BB64" s="1087" t="s">
        <v>853</v>
      </c>
      <c r="BC64" s="1087">
        <f>BC63</f>
        <v>1.9266523718150186E-2</v>
      </c>
      <c r="BD64" s="198"/>
      <c r="BE64" s="198"/>
      <c r="BF64" s="198"/>
      <c r="BG64" s="256">
        <v>104261739.84435531</v>
      </c>
      <c r="BH64" s="256"/>
      <c r="BI64" s="256"/>
      <c r="BJ64" s="251">
        <f t="shared" si="60"/>
        <v>2.3152970625692961E-2</v>
      </c>
      <c r="BK64" s="198">
        <f t="shared" si="65"/>
        <v>-2.9113033806459021E-2</v>
      </c>
      <c r="BL64" s="198"/>
      <c r="BM64" s="177">
        <v>1678.7750000000001</v>
      </c>
      <c r="BN64" s="183">
        <f t="shared" si="37"/>
        <v>7.225506693869041E-2</v>
      </c>
      <c r="BO64" s="178">
        <v>746.55399999999997</v>
      </c>
      <c r="BP64" s="184">
        <f t="shared" si="38"/>
        <v>0.16247987419530269</v>
      </c>
      <c r="BQ64" s="184"/>
      <c r="BR64" s="184">
        <v>0.2751315550716748</v>
      </c>
      <c r="BS64" s="179">
        <v>440.88</v>
      </c>
      <c r="BT64" s="106">
        <v>200</v>
      </c>
      <c r="BU64" s="107">
        <v>41.087000000000003</v>
      </c>
      <c r="BV64" s="105">
        <v>35.408000000000001</v>
      </c>
      <c r="BW64" s="889"/>
      <c r="BX64" s="889"/>
    </row>
    <row r="65" spans="1:77" ht="18.5">
      <c r="A65" s="112" t="s">
        <v>376</v>
      </c>
      <c r="B65" s="112"/>
      <c r="C65" s="112"/>
      <c r="D65" s="112"/>
      <c r="E65" s="112"/>
      <c r="F65" s="110">
        <v>124.3</v>
      </c>
      <c r="G65" s="110"/>
      <c r="H65" s="1184">
        <v>79.397900000000007</v>
      </c>
      <c r="I65" s="366"/>
      <c r="J65" s="908">
        <f t="shared" si="23"/>
        <v>1.8353942506371457E-2</v>
      </c>
      <c r="K65" s="367">
        <f t="shared" si="31"/>
        <v>156.55325896528745</v>
      </c>
      <c r="L65" s="367">
        <f t="shared" si="2"/>
        <v>156.55325896528745</v>
      </c>
      <c r="M65" s="108">
        <f t="shared" si="39"/>
        <v>6.263172829404029E-3</v>
      </c>
      <c r="N65" s="108">
        <f t="shared" si="40"/>
        <v>6.263172829404029E-3</v>
      </c>
      <c r="O65" s="198">
        <f t="shared" si="46"/>
        <v>2.0903490463759056E-2</v>
      </c>
      <c r="P65" s="198">
        <f t="shared" si="26"/>
        <v>4.0551460103034342E-2</v>
      </c>
      <c r="Q65" s="198"/>
      <c r="R65" s="198"/>
      <c r="S65" s="198"/>
      <c r="T65" s="198">
        <f t="shared" si="44"/>
        <v>1.9090841751534526E-4</v>
      </c>
      <c r="U65" s="198">
        <f t="shared" si="41"/>
        <v>1.9090841751534526E-4</v>
      </c>
      <c r="V65" s="198">
        <f t="shared" si="53"/>
        <v>4.0551460103034342E-2</v>
      </c>
      <c r="W65" s="198">
        <f t="shared" si="58"/>
        <v>4.973021541128464E-2</v>
      </c>
      <c r="X65" s="887">
        <v>63705030</v>
      </c>
      <c r="Y65" s="902">
        <f t="shared" si="32"/>
        <v>1951.180307112327</v>
      </c>
      <c r="Z65" s="902">
        <f t="shared" si="33"/>
        <v>2457.4709244354399</v>
      </c>
      <c r="AA65" s="1111">
        <f t="shared" si="45"/>
        <v>-3.6918904725613544E-4</v>
      </c>
      <c r="AB65" s="1109">
        <v>60</v>
      </c>
      <c r="AC65" s="889">
        <v>1725339</v>
      </c>
      <c r="AD65" s="889">
        <v>636.79399999999998</v>
      </c>
      <c r="AE65" s="889">
        <v>565.75599999999997</v>
      </c>
      <c r="AF65" s="367">
        <f t="shared" si="47"/>
        <v>1946375.1135521214</v>
      </c>
      <c r="AG65" s="198">
        <f t="shared" si="27"/>
        <v>-1.2262863609838748E-3</v>
      </c>
      <c r="AH65" s="198"/>
      <c r="AI65" s="367">
        <f t="shared" si="42"/>
        <v>718.37476232746701</v>
      </c>
      <c r="AJ65" s="198">
        <f t="shared" si="28"/>
        <v>-3.2651698448572519E-3</v>
      </c>
      <c r="AK65" s="198"/>
      <c r="AL65" s="367">
        <f t="shared" si="43"/>
        <v>638.23596333404271</v>
      </c>
      <c r="AM65" s="198">
        <f t="shared" si="29"/>
        <v>-7.1102862514991205E-3</v>
      </c>
      <c r="AN65" s="198"/>
      <c r="AO65" s="903">
        <f t="shared" si="34"/>
        <v>30552926.724186797</v>
      </c>
      <c r="AP65" s="1109"/>
      <c r="AQ65" s="903">
        <f t="shared" si="35"/>
        <v>11276.578353820209</v>
      </c>
      <c r="AR65" s="903">
        <f t="shared" si="36"/>
        <v>10018.611769495168</v>
      </c>
      <c r="AS65" s="889"/>
      <c r="AT65" s="108"/>
      <c r="AU65" s="108"/>
      <c r="AV65" s="1084">
        <v>2661165</v>
      </c>
      <c r="AW65" s="1082"/>
      <c r="AX65" s="213">
        <f t="shared" si="61"/>
        <v>2661165</v>
      </c>
      <c r="AY65" s="213">
        <f t="shared" si="49"/>
        <v>109.94164489108769</v>
      </c>
      <c r="AZ65" s="198">
        <f t="shared" si="62"/>
        <v>0.10240230922600912</v>
      </c>
      <c r="BA65" s="198">
        <f t="shared" ref="BA65:BA72" si="66">((AV65/AV60)^(1/COUNT(AV61:AV65)))-1</f>
        <v>-2.7334497514965972E-2</v>
      </c>
      <c r="BB65" s="1087" t="s">
        <v>853</v>
      </c>
      <c r="BC65" s="1087">
        <f t="shared" ref="BC65:BC72" si="67">BC64</f>
        <v>1.9266523718150186E-2</v>
      </c>
      <c r="BD65" s="198"/>
      <c r="BE65" s="198"/>
      <c r="BF65" s="198"/>
      <c r="BG65" s="256">
        <v>106109704.17912216</v>
      </c>
      <c r="BH65" s="256"/>
      <c r="BI65" s="256"/>
      <c r="BJ65" s="251">
        <f t="shared" si="60"/>
        <v>2.5079374413368716E-2</v>
      </c>
      <c r="BK65" s="198">
        <f t="shared" si="65"/>
        <v>8.3203309796368696E-2</v>
      </c>
      <c r="BL65" s="198">
        <f t="shared" ref="BL65:BL72" si="68">((BJ65/BJ60)^(1/COUNT(BJ61:BJ65)))-1</f>
        <v>-3.9772461910216439E-2</v>
      </c>
      <c r="BM65" s="177">
        <v>1734.5889999999999</v>
      </c>
      <c r="BN65" s="183">
        <f t="shared" si="37"/>
        <v>7.1659626574364296E-2</v>
      </c>
      <c r="BO65" s="178">
        <v>752.64599999999996</v>
      </c>
      <c r="BP65" s="184">
        <f t="shared" si="38"/>
        <v>0.16515068172819627</v>
      </c>
      <c r="BQ65" s="184"/>
      <c r="BR65" s="184">
        <v>0.2757687358565914</v>
      </c>
      <c r="BS65" s="179">
        <v>450.74</v>
      </c>
      <c r="BT65" s="106">
        <v>207.6</v>
      </c>
      <c r="BU65" s="107">
        <v>36.924999999999997</v>
      </c>
      <c r="BV65" s="105">
        <v>36.564999999999998</v>
      </c>
      <c r="BW65" s="889"/>
      <c r="BX65" s="889"/>
    </row>
    <row r="66" spans="1:77" ht="18.5">
      <c r="A66" s="112" t="s">
        <v>377</v>
      </c>
      <c r="B66" s="112"/>
      <c r="C66" s="112"/>
      <c r="D66" s="112"/>
      <c r="E66" s="112"/>
      <c r="F66" s="110">
        <v>129.4</v>
      </c>
      <c r="G66" s="110"/>
      <c r="H66" s="1184">
        <v>80.924599999999998</v>
      </c>
      <c r="I66" s="366"/>
      <c r="J66" s="908">
        <f t="shared" si="23"/>
        <v>1.9228468259235854E-2</v>
      </c>
      <c r="K66" s="367">
        <f t="shared" ref="K66:K74" si="69">(F66/H66)*H$75</f>
        <v>159.90193340467548</v>
      </c>
      <c r="L66" s="367">
        <f t="shared" ref="L66:L71" si="70">K66</f>
        <v>159.90193340467548</v>
      </c>
      <c r="M66" s="108">
        <f t="shared" si="39"/>
        <v>2.1390001469918429E-2</v>
      </c>
      <c r="N66" s="108">
        <f t="shared" si="40"/>
        <v>2.1390001469918429E-2</v>
      </c>
      <c r="O66" s="198">
        <f t="shared" si="46"/>
        <v>1.7653927882813392E-2</v>
      </c>
      <c r="P66" s="198">
        <f t="shared" si="26"/>
        <v>3.227791007576819E-2</v>
      </c>
      <c r="Q66" s="198"/>
      <c r="R66" s="198"/>
      <c r="S66" s="198"/>
      <c r="T66" s="198">
        <f t="shared" si="44"/>
        <v>1.3798374222088405E-2</v>
      </c>
      <c r="U66" s="198">
        <f t="shared" si="41"/>
        <v>1.3798374222088405E-2</v>
      </c>
      <c r="V66" s="198">
        <f t="shared" si="53"/>
        <v>3.227791007576819E-2</v>
      </c>
      <c r="W66" s="198">
        <f t="shared" si="58"/>
        <v>4.8417744519204442E-2</v>
      </c>
      <c r="X66" s="887">
        <v>64105654</v>
      </c>
      <c r="Y66" s="902">
        <f t="shared" ref="Y66:Y75" si="71">(F66*1000000000)/X66</f>
        <v>2018.5427013972901</v>
      </c>
      <c r="Z66" s="902">
        <f t="shared" ref="Z66:Z76" si="72">(K66*1000000000)/X66</f>
        <v>2494.349927459994</v>
      </c>
      <c r="AA66" s="1111">
        <f t="shared" si="45"/>
        <v>1.5006892923067339E-2</v>
      </c>
      <c r="AB66" s="1109">
        <v>60</v>
      </c>
      <c r="AC66" s="889">
        <v>1803853</v>
      </c>
      <c r="AD66" s="889">
        <v>663.82600000000002</v>
      </c>
      <c r="AE66" s="889">
        <v>589.649</v>
      </c>
      <c r="AF66" s="367">
        <f t="shared" si="47"/>
        <v>1996556.943798301</v>
      </c>
      <c r="AG66" s="198">
        <f t="shared" si="27"/>
        <v>8.7983533223732202E-3</v>
      </c>
      <c r="AH66" s="198"/>
      <c r="AI66" s="367">
        <f t="shared" si="42"/>
        <v>734.74191620594979</v>
      </c>
      <c r="AJ66" s="198">
        <f t="shared" si="28"/>
        <v>1.3520305238806873E-2</v>
      </c>
      <c r="AK66" s="198"/>
      <c r="AL66" s="367">
        <f t="shared" si="43"/>
        <v>652.6406560588498</v>
      </c>
      <c r="AM66" s="198">
        <f t="shared" si="29"/>
        <v>1.1650032707010594E-2</v>
      </c>
      <c r="AN66" s="198"/>
      <c r="AO66" s="903">
        <f t="shared" ref="AO66:AO75" si="73">(AF66*1000000000)/X66</f>
        <v>31144787.069769245</v>
      </c>
      <c r="AP66" s="1109"/>
      <c r="AQ66" s="903">
        <f t="shared" ref="AQ66:AQ74" si="74">(AI66*1000000000)/X66</f>
        <v>11461.42142479273</v>
      </c>
      <c r="AR66" s="903">
        <f t="shared" ref="AR66:AR74" si="75">(AL66*1000000000)/X66</f>
        <v>10180.703500175661</v>
      </c>
      <c r="AS66" s="889"/>
      <c r="AT66" s="108"/>
      <c r="AU66" s="108"/>
      <c r="AV66" s="1084">
        <v>2911442</v>
      </c>
      <c r="AW66" s="1082"/>
      <c r="AX66" s="213">
        <f t="shared" si="61"/>
        <v>2911442</v>
      </c>
      <c r="AY66" s="213">
        <f t="shared" si="49"/>
        <v>120.28142655002529</v>
      </c>
      <c r="AZ66" s="198">
        <f t="shared" si="62"/>
        <v>9.4047907589345225E-2</v>
      </c>
      <c r="BA66" s="198">
        <f t="shared" si="66"/>
        <v>4.2851708715500259E-2</v>
      </c>
      <c r="BB66" s="1087" t="s">
        <v>853</v>
      </c>
      <c r="BC66" s="1087">
        <f t="shared" si="67"/>
        <v>1.9266523718150186E-2</v>
      </c>
      <c r="BD66" s="198"/>
      <c r="BE66" s="198"/>
      <c r="BF66" s="198"/>
      <c r="BG66" s="256">
        <v>107610098.21351682</v>
      </c>
      <c r="BH66" s="256"/>
      <c r="BI66" s="256"/>
      <c r="BJ66" s="251">
        <f t="shared" si="60"/>
        <v>2.7055472008056362E-2</v>
      </c>
      <c r="BK66" s="198">
        <f t="shared" si="65"/>
        <v>7.879373552612523E-2</v>
      </c>
      <c r="BL66" s="198">
        <f t="shared" si="68"/>
        <v>2.8918465205121535E-2</v>
      </c>
      <c r="BM66" s="177">
        <v>1817.8789999999999</v>
      </c>
      <c r="BN66" s="183">
        <f t="shared" ref="BN66:BN73" si="76">F66/BM66</f>
        <v>7.1181855338006556E-2</v>
      </c>
      <c r="BO66" s="178">
        <v>768.74599999999998</v>
      </c>
      <c r="BP66" s="184">
        <f t="shared" ref="BP66:BP75" si="77">F66/BO66</f>
        <v>0.16832607909504571</v>
      </c>
      <c r="BQ66" s="184"/>
      <c r="BR66" s="184">
        <v>0.28717329599044827</v>
      </c>
      <c r="BS66" s="179">
        <v>450.59899999999999</v>
      </c>
      <c r="BT66" s="106">
        <v>209.1</v>
      </c>
      <c r="BU66" s="107">
        <v>36.231999999999999</v>
      </c>
      <c r="BV66" s="105">
        <v>37.94</v>
      </c>
      <c r="BW66" s="889"/>
      <c r="BX66" s="889"/>
    </row>
    <row r="67" spans="1:77" ht="18.5">
      <c r="A67" s="112" t="s">
        <v>378</v>
      </c>
      <c r="B67" s="112"/>
      <c r="C67" s="112"/>
      <c r="D67" s="112"/>
      <c r="E67" s="112"/>
      <c r="F67" s="110">
        <v>134.1</v>
      </c>
      <c r="G67" s="110"/>
      <c r="H67" s="1223">
        <v>81.909000000000006</v>
      </c>
      <c r="I67" s="366"/>
      <c r="J67" s="908">
        <f t="shared" si="23"/>
        <v>1.2164409833351097E-2</v>
      </c>
      <c r="K67" s="367">
        <f t="shared" si="69"/>
        <v>163.71827271728378</v>
      </c>
      <c r="L67" s="367">
        <f t="shared" si="70"/>
        <v>163.71827271728378</v>
      </c>
      <c r="M67" s="108">
        <f t="shared" ref="M67:M74" si="78">K67/K66-1</f>
        <v>2.3866749021414391E-2</v>
      </c>
      <c r="N67" s="108">
        <f t="shared" ref="N67:N77" si="79">L67/L66-1</f>
        <v>2.3866749021414391E-2</v>
      </c>
      <c r="O67" s="1245">
        <f t="shared" si="46"/>
        <v>1.0413844395442018E-2</v>
      </c>
      <c r="P67" s="198">
        <f t="shared" si="26"/>
        <v>2.7303116560650986E-2</v>
      </c>
      <c r="Q67" s="198"/>
      <c r="R67" s="198"/>
      <c r="S67" s="198"/>
      <c r="T67" s="198">
        <f t="shared" si="44"/>
        <v>2.2627625427742437E-2</v>
      </c>
      <c r="U67" s="198">
        <f t="shared" ref="U67:U77" si="80">((L67/L65)^(1/COUNT(L66:L67)))-1</f>
        <v>2.2627625427742437E-2</v>
      </c>
      <c r="V67" s="198">
        <f t="shared" si="53"/>
        <v>2.7303116560650986E-2</v>
      </c>
      <c r="W67" s="198">
        <f t="shared" si="58"/>
        <v>4.4009299184615269E-2</v>
      </c>
      <c r="X67" s="887">
        <v>64596752</v>
      </c>
      <c r="Y67" s="902">
        <f t="shared" si="71"/>
        <v>2075.9557694170135</v>
      </c>
      <c r="Z67" s="902">
        <f t="shared" si="72"/>
        <v>2534.4660164536413</v>
      </c>
      <c r="AA67" s="1111">
        <f t="shared" si="45"/>
        <v>1.6082783154045099E-2</v>
      </c>
      <c r="AB67" s="1109">
        <v>65</v>
      </c>
      <c r="AC67" s="889">
        <v>1875404</v>
      </c>
      <c r="AD67" s="889">
        <v>690.62599999999998</v>
      </c>
      <c r="AE67" s="889">
        <v>611.68499999999995</v>
      </c>
      <c r="AF67" s="367">
        <f t="shared" si="47"/>
        <v>2050804.8402348945</v>
      </c>
      <c r="AG67" s="198">
        <f t="shared" si="27"/>
        <v>2.0319338105227569E-2</v>
      </c>
      <c r="AH67" s="198"/>
      <c r="AI67" s="367">
        <f t="shared" ref="AI67:AI74" si="81">(AD67/$H67)*$H$72</f>
        <v>755.21815224456407</v>
      </c>
      <c r="AJ67" s="198">
        <f t="shared" si="28"/>
        <v>2.3703719369567722E-2</v>
      </c>
      <c r="AK67" s="198"/>
      <c r="AL67" s="367">
        <f t="shared" ref="AL67:AL74" si="82">(AE67/$H67)*$H$72</f>
        <v>668.8940402702998</v>
      </c>
      <c r="AM67" s="198">
        <f t="shared" si="29"/>
        <v>2.1928166215042788E-2</v>
      </c>
      <c r="AN67" s="198"/>
      <c r="AO67" s="903">
        <f t="shared" si="73"/>
        <v>31747801.193392735</v>
      </c>
      <c r="AP67" s="1109"/>
      <c r="AQ67" s="903">
        <f t="shared" si="74"/>
        <v>11691.271292472476</v>
      </c>
      <c r="AR67" s="903">
        <f t="shared" si="75"/>
        <v>10354.917539357084</v>
      </c>
      <c r="AS67" s="889"/>
      <c r="AT67" s="108"/>
      <c r="AU67" s="108"/>
      <c r="AV67" s="1084">
        <v>3006877</v>
      </c>
      <c r="AW67" s="1082"/>
      <c r="AX67" s="213">
        <f t="shared" si="61"/>
        <v>3006877</v>
      </c>
      <c r="AY67" s="213">
        <f t="shared" si="49"/>
        <v>124.22416624492621</v>
      </c>
      <c r="AZ67" s="198">
        <f t="shared" si="62"/>
        <v>3.2779289438017223E-2</v>
      </c>
      <c r="BA67" s="198">
        <f t="shared" si="66"/>
        <v>4.4338330128390169E-2</v>
      </c>
      <c r="BB67" s="1087" t="s">
        <v>853</v>
      </c>
      <c r="BC67" s="1087">
        <f t="shared" si="67"/>
        <v>1.9266523718150186E-2</v>
      </c>
      <c r="BD67" s="198"/>
      <c r="BE67" s="198"/>
      <c r="BF67" s="198"/>
      <c r="BG67" s="256">
        <v>109154980.77060261</v>
      </c>
      <c r="BH67" s="256"/>
      <c r="BI67" s="256"/>
      <c r="BJ67" s="251">
        <f t="shared" si="60"/>
        <v>2.7546860241945144E-2</v>
      </c>
      <c r="BK67" s="198">
        <f t="shared" si="65"/>
        <v>1.8162249534676711E-2</v>
      </c>
      <c r="BL67" s="198">
        <f t="shared" si="68"/>
        <v>2.9695438281842401E-2</v>
      </c>
      <c r="BM67" s="188">
        <v>1888.39</v>
      </c>
      <c r="BN67" s="183">
        <f t="shared" si="76"/>
        <v>7.101287340009213E-2</v>
      </c>
      <c r="BO67" s="178">
        <v>787.16300000000001</v>
      </c>
      <c r="BP67" s="184">
        <f t="shared" si="77"/>
        <v>0.17035861695735191</v>
      </c>
      <c r="BQ67" s="184"/>
      <c r="BR67" s="184">
        <v>0.28764293666063923</v>
      </c>
      <c r="BS67" s="179">
        <v>466.20299999999997</v>
      </c>
      <c r="BT67" s="113">
        <v>213.2</v>
      </c>
      <c r="BU67" s="114">
        <v>32.972999999999999</v>
      </c>
      <c r="BV67" s="115">
        <v>39.026000000000003</v>
      </c>
      <c r="BW67" s="889"/>
      <c r="BX67" s="889"/>
    </row>
    <row r="68" spans="1:77" ht="19" thickBot="1">
      <c r="A68" s="112" t="s">
        <v>379</v>
      </c>
      <c r="B68" s="112"/>
      <c r="C68" s="112"/>
      <c r="D68" s="112"/>
      <c r="E68" s="112"/>
      <c r="F68" s="110">
        <v>138.5</v>
      </c>
      <c r="G68" s="110"/>
      <c r="H68" s="1223">
        <v>82.4983</v>
      </c>
      <c r="I68" s="366"/>
      <c r="J68" s="908">
        <f t="shared" si="23"/>
        <v>7.194569583317989E-3</v>
      </c>
      <c r="K68" s="367">
        <f t="shared" si="69"/>
        <v>167.88224727054981</v>
      </c>
      <c r="L68" s="367">
        <f t="shared" si="70"/>
        <v>167.88224727054981</v>
      </c>
      <c r="M68" s="108">
        <f t="shared" si="78"/>
        <v>2.54337801404525E-2</v>
      </c>
      <c r="N68" s="108">
        <f t="shared" si="79"/>
        <v>2.54337801404525E-2</v>
      </c>
      <c r="O68" s="198">
        <f t="shared" si="46"/>
        <v>1.414882842700349E-2</v>
      </c>
      <c r="P68" s="198">
        <f t="shared" si="26"/>
        <v>2.4447688636769493E-2</v>
      </c>
      <c r="Q68" s="198"/>
      <c r="R68" s="198"/>
      <c r="S68" s="198"/>
      <c r="T68" s="198">
        <f t="shared" si="44"/>
        <v>2.4649965016905195E-2</v>
      </c>
      <c r="U68" s="198">
        <f t="shared" si="80"/>
        <v>2.4649965016905195E-2</v>
      </c>
      <c r="V68" s="198">
        <f t="shared" si="53"/>
        <v>2.4447688636769493E-2</v>
      </c>
      <c r="W68" s="198">
        <f t="shared" si="58"/>
        <v>3.9813511235103904E-2</v>
      </c>
      <c r="X68" s="887">
        <v>65110000</v>
      </c>
      <c r="Y68" s="902">
        <f t="shared" si="71"/>
        <v>2127.1694056212564</v>
      </c>
      <c r="Z68" s="902">
        <f t="shared" si="72"/>
        <v>2578.4402898256767</v>
      </c>
      <c r="AA68" s="1111">
        <f t="shared" si="45"/>
        <v>1.7350508188532121E-2</v>
      </c>
      <c r="AB68" s="1109">
        <v>60</v>
      </c>
      <c r="AC68" s="889">
        <v>1932100</v>
      </c>
      <c r="AD68" s="889">
        <v>714.07799999999997</v>
      </c>
      <c r="AE68" s="889">
        <v>633.75199999999995</v>
      </c>
      <c r="AF68" s="367">
        <f t="shared" si="47"/>
        <v>2097711.3148998222</v>
      </c>
      <c r="AG68" s="198">
        <f t="shared" si="27"/>
        <v>1.9670979632147256E-2</v>
      </c>
      <c r="AH68" s="198"/>
      <c r="AI68" s="367">
        <f t="shared" si="81"/>
        <v>775.2856996641143</v>
      </c>
      <c r="AJ68" s="198">
        <f t="shared" si="28"/>
        <v>1.9066424744496047E-2</v>
      </c>
      <c r="AK68" s="198"/>
      <c r="AL68" s="367">
        <f t="shared" si="82"/>
        <v>688.0744998915128</v>
      </c>
      <c r="AM68" s="198">
        <f t="shared" si="29"/>
        <v>1.7085370484294149E-2</v>
      </c>
      <c r="AN68" s="198"/>
      <c r="AO68" s="903">
        <f t="shared" si="73"/>
        <v>32217959.067728803</v>
      </c>
      <c r="AP68" s="1109"/>
      <c r="AQ68" s="903">
        <f t="shared" si="74"/>
        <v>11907.321450838799</v>
      </c>
      <c r="AR68" s="903">
        <f t="shared" si="75"/>
        <v>10567.877436515326</v>
      </c>
      <c r="AS68" s="889"/>
      <c r="AT68" s="108"/>
      <c r="AU68" s="108"/>
      <c r="AV68" s="1084">
        <v>3504595</v>
      </c>
      <c r="AW68" s="1082"/>
      <c r="AX68" s="213">
        <f t="shared" si="61"/>
        <v>3504595</v>
      </c>
      <c r="AY68" s="213">
        <f t="shared" si="49"/>
        <v>144.78656489811095</v>
      </c>
      <c r="AZ68" s="198">
        <f t="shared" si="62"/>
        <v>0.1655265579536509</v>
      </c>
      <c r="BA68" s="198">
        <f t="shared" si="66"/>
        <v>7.3747753270992922E-2</v>
      </c>
      <c r="BB68" s="1087" t="s">
        <v>853</v>
      </c>
      <c r="BC68" s="1087">
        <f t="shared" si="67"/>
        <v>1.9266523718150186E-2</v>
      </c>
      <c r="BD68" s="198"/>
      <c r="BE68" s="198"/>
      <c r="BF68" s="198"/>
      <c r="BG68" s="256">
        <v>110479557.46193749</v>
      </c>
      <c r="BH68" s="256"/>
      <c r="BI68" s="256"/>
      <c r="BJ68" s="251">
        <f t="shared" si="60"/>
        <v>3.1721660373299432E-2</v>
      </c>
      <c r="BK68" s="198">
        <f t="shared" si="65"/>
        <v>0.15155266678985768</v>
      </c>
      <c r="BL68" s="198">
        <f t="shared" si="68"/>
        <v>5.8725984633246187E-2</v>
      </c>
      <c r="BM68" s="188">
        <v>1953.366</v>
      </c>
      <c r="BN68" s="183">
        <f t="shared" si="76"/>
        <v>7.0903251106039525E-2</v>
      </c>
      <c r="BO68" s="178">
        <v>794.88699999999983</v>
      </c>
      <c r="BP68" s="184">
        <f t="shared" si="77"/>
        <v>0.17423860246802381</v>
      </c>
      <c r="BQ68" s="184"/>
      <c r="BR68" s="184">
        <v>0.29635647405943299</v>
      </c>
      <c r="BS68" s="179">
        <v>467.34258274453771</v>
      </c>
      <c r="BT68" s="113">
        <v>216.13841725546226</v>
      </c>
      <c r="BU68" s="114">
        <v>33.423000000000002</v>
      </c>
      <c r="BV68" s="115">
        <v>40.131</v>
      </c>
      <c r="BW68" s="889"/>
      <c r="BX68" s="889"/>
    </row>
    <row r="69" spans="1:77" ht="18.5">
      <c r="A69" s="112" t="s">
        <v>165</v>
      </c>
      <c r="B69" s="1061"/>
      <c r="C69" s="1062"/>
      <c r="D69" s="1062"/>
      <c r="E69" s="1063"/>
      <c r="F69" s="110">
        <v>142.6</v>
      </c>
      <c r="G69" s="110"/>
      <c r="H69" s="1223">
        <v>84.374799999999993</v>
      </c>
      <c r="I69" s="366"/>
      <c r="J69" s="908">
        <f t="shared" si="23"/>
        <v>2.2745923249327449E-2</v>
      </c>
      <c r="K69" s="367">
        <f t="shared" si="69"/>
        <v>169.00780801850789</v>
      </c>
      <c r="L69" s="367">
        <f t="shared" si="70"/>
        <v>169.00780801850789</v>
      </c>
      <c r="M69" s="108">
        <f t="shared" si="78"/>
        <v>6.7044655778534246E-3</v>
      </c>
      <c r="N69" s="108">
        <f t="shared" si="79"/>
        <v>6.7044655778534246E-3</v>
      </c>
      <c r="O69" s="198">
        <f t="shared" si="46"/>
        <v>1.6696309256632347E-2</v>
      </c>
      <c r="P69" s="198">
        <f t="shared" si="26"/>
        <v>2.2395054798636682E-2</v>
      </c>
      <c r="Q69" s="198"/>
      <c r="R69" s="198"/>
      <c r="S69" s="198"/>
      <c r="T69" s="198">
        <f t="shared" ref="T69:T77" si="83">((K69/K67)^(1/COUNT(K68:K69)))-1</f>
        <v>1.6025967001715991E-2</v>
      </c>
      <c r="U69" s="198">
        <f t="shared" si="80"/>
        <v>1.6025967001715991E-2</v>
      </c>
      <c r="V69" s="198">
        <f t="shared" si="53"/>
        <v>2.2395054798636682E-2</v>
      </c>
      <c r="W69" s="198">
        <f t="shared" si="58"/>
        <v>3.4441022067541738E-2</v>
      </c>
      <c r="X69" s="887">
        <v>65648100</v>
      </c>
      <c r="Y69" s="902">
        <f t="shared" si="71"/>
        <v>2172.1877708570391</v>
      </c>
      <c r="Z69" s="902">
        <f t="shared" si="72"/>
        <v>2574.4508678622515</v>
      </c>
      <c r="AA69" s="1111">
        <f t="shared" si="45"/>
        <v>-1.5472229390640635E-3</v>
      </c>
      <c r="AB69" s="1109">
        <v>63</v>
      </c>
      <c r="AC69" s="889">
        <v>2013605</v>
      </c>
      <c r="AD69" s="889">
        <v>757.57299999999998</v>
      </c>
      <c r="AE69" s="889">
        <v>676.48299999999995</v>
      </c>
      <c r="AF69" s="367">
        <f t="shared" si="47"/>
        <v>2137581.3130045938</v>
      </c>
      <c r="AG69" s="198">
        <f t="shared" si="27"/>
        <v>2.1462677778140149E-2</v>
      </c>
      <c r="AH69" s="198"/>
      <c r="AI69" s="367">
        <f t="shared" si="81"/>
        <v>804.21626289010464</v>
      </c>
      <c r="AJ69" s="198">
        <f t="shared" si="28"/>
        <v>2.2960067694739017E-2</v>
      </c>
      <c r="AK69" s="198"/>
      <c r="AL69" s="367">
        <f t="shared" si="82"/>
        <v>718.13360582899168</v>
      </c>
      <c r="AM69" s="198">
        <f t="shared" si="29"/>
        <v>2.2379373223687438E-2</v>
      </c>
      <c r="AN69" s="198"/>
      <c r="AO69" s="903">
        <f t="shared" si="73"/>
        <v>32561206.082195733</v>
      </c>
      <c r="AP69" s="1109"/>
      <c r="AQ69" s="903">
        <f t="shared" si="74"/>
        <v>12250.411860969391</v>
      </c>
      <c r="AR69" s="903">
        <f t="shared" si="75"/>
        <v>10939.137702827526</v>
      </c>
      <c r="AS69" s="889"/>
      <c r="AT69" s="108"/>
      <c r="AU69" s="108"/>
      <c r="AV69" s="1085">
        <v>3734833</v>
      </c>
      <c r="AW69" s="1083"/>
      <c r="AX69" s="213">
        <f t="shared" si="61"/>
        <v>3734833</v>
      </c>
      <c r="AY69" s="213">
        <f t="shared" si="49"/>
        <v>154.29846830749528</v>
      </c>
      <c r="AZ69" s="198">
        <f t="shared" si="62"/>
        <v>6.5696036203898078E-2</v>
      </c>
      <c r="BA69" s="198">
        <f t="shared" si="66"/>
        <v>9.1208900743299015E-2</v>
      </c>
      <c r="BB69" s="1087" t="s">
        <v>853</v>
      </c>
      <c r="BC69" s="1087">
        <f t="shared" si="67"/>
        <v>1.9266523718150186E-2</v>
      </c>
      <c r="BD69" s="198"/>
      <c r="BE69" s="198"/>
      <c r="BF69" s="198"/>
      <c r="BG69" s="254">
        <v>111806337.61400604</v>
      </c>
      <c r="BH69" s="254"/>
      <c r="BI69" s="254"/>
      <c r="BJ69" s="251">
        <f t="shared" si="60"/>
        <v>3.3404483857560285E-2</v>
      </c>
      <c r="BK69" s="198">
        <f t="shared" si="65"/>
        <v>5.3049665889409514E-2</v>
      </c>
      <c r="BL69" s="198">
        <f t="shared" si="68"/>
        <v>7.6067733414235894E-2</v>
      </c>
      <c r="BM69" s="188">
        <v>2039.8009999999999</v>
      </c>
      <c r="BN69" s="183">
        <f t="shared" si="76"/>
        <v>6.9908780317295652E-2</v>
      </c>
      <c r="BO69" s="178">
        <v>813.82100000000003</v>
      </c>
      <c r="BP69" s="184">
        <f t="shared" si="77"/>
        <v>0.17522280698089629</v>
      </c>
      <c r="BQ69" s="184"/>
      <c r="BR69" s="184">
        <v>0.29769716869640939</v>
      </c>
      <c r="BS69" s="179">
        <v>479.01026611853001</v>
      </c>
      <c r="BT69" s="116"/>
      <c r="BU69" s="114"/>
      <c r="BV69" s="115"/>
      <c r="BW69" s="889"/>
      <c r="BX69" s="889"/>
    </row>
    <row r="70" spans="1:77" ht="18.5">
      <c r="A70" s="112" t="s">
        <v>167</v>
      </c>
      <c r="B70" s="376" t="s">
        <v>738</v>
      </c>
      <c r="C70" s="365" t="s">
        <v>739</v>
      </c>
      <c r="D70" s="365" t="s">
        <v>740</v>
      </c>
      <c r="E70" s="372" t="s">
        <v>741</v>
      </c>
      <c r="F70" s="110">
        <v>147.30000000000001</v>
      </c>
      <c r="G70" s="110"/>
      <c r="H70" s="1223">
        <v>85.696100000000001</v>
      </c>
      <c r="I70" s="366"/>
      <c r="J70" s="908">
        <f t="shared" si="23"/>
        <v>1.5659888971588876E-2</v>
      </c>
      <c r="K70" s="367">
        <f t="shared" si="69"/>
        <v>171.88646857908353</v>
      </c>
      <c r="L70" s="367">
        <f t="shared" si="70"/>
        <v>171.88646857908353</v>
      </c>
      <c r="M70" s="108">
        <f t="shared" si="78"/>
        <v>1.7032707508166656E-2</v>
      </c>
      <c r="N70" s="108">
        <f t="shared" si="79"/>
        <v>1.7032707508166656E-2</v>
      </c>
      <c r="O70" s="198">
        <f t="shared" si="46"/>
        <v>1.8863291226379753E-2</v>
      </c>
      <c r="P70" s="198">
        <f t="shared" si="26"/>
        <v>1.988288068699573E-2</v>
      </c>
      <c r="Q70" s="198"/>
      <c r="R70" s="198"/>
      <c r="S70" s="198"/>
      <c r="T70" s="198">
        <f t="shared" si="83"/>
        <v>1.185540878487501E-2</v>
      </c>
      <c r="U70" s="198">
        <f t="shared" si="80"/>
        <v>1.185540878487501E-2</v>
      </c>
      <c r="V70" s="198">
        <f t="shared" si="53"/>
        <v>1.988288068699573E-2</v>
      </c>
      <c r="W70" s="198">
        <f t="shared" si="58"/>
        <v>2.8245308453290763E-2</v>
      </c>
      <c r="X70" s="887">
        <v>66040200</v>
      </c>
      <c r="Y70" s="902">
        <f t="shared" si="71"/>
        <v>2230.4596291349812</v>
      </c>
      <c r="Z70" s="902">
        <f t="shared" si="72"/>
        <v>2602.7551185351276</v>
      </c>
      <c r="AA70" s="1111">
        <f t="shared" si="45"/>
        <v>1.0994286597661551E-2</v>
      </c>
      <c r="AB70" s="1109">
        <v>57</v>
      </c>
      <c r="AC70" s="889">
        <v>2098808</v>
      </c>
      <c r="AD70" s="889">
        <v>780.66499999999996</v>
      </c>
      <c r="AE70" s="889">
        <v>700.476</v>
      </c>
      <c r="AF70" s="367">
        <f t="shared" si="47"/>
        <v>2193677.4592729425</v>
      </c>
      <c r="AG70" s="198">
        <f t="shared" si="27"/>
        <v>2.4210552168988153E-2</v>
      </c>
      <c r="AH70" s="198"/>
      <c r="AI70" s="367">
        <f t="shared" si="81"/>
        <v>815.95229946870381</v>
      </c>
      <c r="AJ70" s="198">
        <f t="shared" si="28"/>
        <v>2.5800108914617148E-2</v>
      </c>
      <c r="AK70" s="198"/>
      <c r="AL70" s="367">
        <f t="shared" si="82"/>
        <v>732.13862914648382</v>
      </c>
      <c r="AM70" s="198">
        <f t="shared" si="29"/>
        <v>2.7832651417564191E-2</v>
      </c>
      <c r="AN70" s="198"/>
      <c r="AO70" s="903">
        <f t="shared" si="73"/>
        <v>33217304.903270166</v>
      </c>
      <c r="AP70" s="1109"/>
      <c r="AQ70" s="903">
        <f t="shared" si="74"/>
        <v>12355.388073759677</v>
      </c>
      <c r="AR70" s="903">
        <f t="shared" si="75"/>
        <v>11086.256994171486</v>
      </c>
      <c r="AS70" s="889"/>
      <c r="AT70" s="108"/>
      <c r="AU70" s="108"/>
      <c r="AV70" s="1084">
        <v>3852414</v>
      </c>
      <c r="AW70" s="1082"/>
      <c r="AX70" s="213">
        <f t="shared" si="61"/>
        <v>3852414</v>
      </c>
      <c r="AY70" s="213">
        <f t="shared" si="49"/>
        <v>159.15613348343851</v>
      </c>
      <c r="AZ70" s="198">
        <f t="shared" si="62"/>
        <v>3.1482264401112348E-2</v>
      </c>
      <c r="BA70" s="198">
        <f t="shared" si="66"/>
        <v>7.679301555693141E-2</v>
      </c>
      <c r="BB70" s="1087" t="s">
        <v>853</v>
      </c>
      <c r="BC70" s="1087">
        <f t="shared" si="67"/>
        <v>1.9266523718150186E-2</v>
      </c>
      <c r="BD70" s="198"/>
      <c r="BE70" s="198"/>
      <c r="BF70" s="198"/>
      <c r="BG70" s="256">
        <v>112857232.21169724</v>
      </c>
      <c r="BH70" s="256"/>
      <c r="BI70" s="256"/>
      <c r="BJ70" s="251">
        <f t="shared" si="60"/>
        <v>3.4135286897463993E-2</v>
      </c>
      <c r="BK70" s="198">
        <f t="shared" si="65"/>
        <v>2.1877393556503311E-2</v>
      </c>
      <c r="BL70" s="198">
        <f t="shared" si="68"/>
        <v>6.3597656228521204E-2</v>
      </c>
      <c r="BM70" s="189">
        <v>2111.7379999999998</v>
      </c>
      <c r="BN70" s="183">
        <f t="shared" si="76"/>
        <v>6.9752971249274306E-2</v>
      </c>
      <c r="BO70" s="178">
        <v>836.44899999999996</v>
      </c>
      <c r="BP70" s="184">
        <f t="shared" si="77"/>
        <v>0.17610159137018516</v>
      </c>
      <c r="BQ70" s="184"/>
      <c r="BR70" s="184">
        <v>0.29540039417950698</v>
      </c>
      <c r="BS70" s="179">
        <v>493.56738471852282</v>
      </c>
      <c r="BT70" s="116"/>
      <c r="BU70" s="117"/>
      <c r="BV70" s="118"/>
      <c r="BW70" s="889"/>
      <c r="BX70" s="889"/>
    </row>
    <row r="71" spans="1:77" ht="20.5">
      <c r="A71" s="112" t="s">
        <v>168</v>
      </c>
      <c r="B71" s="976">
        <f t="array" ref="B71:B77">TRANSPOSE('DHSC NHS Budgets'!K8:Q8)</f>
        <v>0</v>
      </c>
      <c r="C71" s="912">
        <v>128.39599999999999</v>
      </c>
      <c r="D71" s="373">
        <f>C71/H71*$H$75</f>
        <v>146.73191335690564</v>
      </c>
      <c r="E71" s="374"/>
      <c r="F71" s="110">
        <v>152.917</v>
      </c>
      <c r="G71" s="110"/>
      <c r="H71" s="1223">
        <v>87.503799999999998</v>
      </c>
      <c r="I71" s="366"/>
      <c r="J71" s="908">
        <f t="shared" si="23"/>
        <v>2.1094308842525944E-2</v>
      </c>
      <c r="K71" s="367">
        <f t="shared" si="69"/>
        <v>174.75469636747206</v>
      </c>
      <c r="L71" s="367">
        <f t="shared" si="70"/>
        <v>174.75469636747206</v>
      </c>
      <c r="M71" s="108">
        <f t="shared" si="78"/>
        <v>1.6686757323592927E-2</v>
      </c>
      <c r="N71" s="108">
        <f t="shared" si="79"/>
        <v>1.6686757323592927E-2</v>
      </c>
      <c r="O71" s="198">
        <f t="shared" ref="O71:O77" si="84">((K71/K66)^(1/COUNT(K67:K71)))-1</f>
        <v>1.7923236285237953E-2</v>
      </c>
      <c r="P71" s="198">
        <f t="shared" si="26"/>
        <v>1.7788573176599209E-2</v>
      </c>
      <c r="Q71" s="198"/>
      <c r="R71" s="198"/>
      <c r="S71" s="198"/>
      <c r="T71" s="198">
        <f t="shared" si="83"/>
        <v>1.6859717703731292E-2</v>
      </c>
      <c r="U71" s="198">
        <f t="shared" si="80"/>
        <v>1.6859717703731292E-2</v>
      </c>
      <c r="V71" s="198">
        <f t="shared" si="53"/>
        <v>1.7788573176599209E-2</v>
      </c>
      <c r="W71" s="198">
        <f t="shared" si="58"/>
        <v>2.4188369784048813E-2</v>
      </c>
      <c r="X71" s="887">
        <v>66435600</v>
      </c>
      <c r="Y71" s="902">
        <f t="shared" si="71"/>
        <v>2301.7328059052675</v>
      </c>
      <c r="Z71" s="902">
        <f t="shared" si="72"/>
        <v>2630.4375420327669</v>
      </c>
      <c r="AA71" s="1111">
        <f t="shared" si="45"/>
        <v>1.0635815601899301E-2</v>
      </c>
      <c r="AB71" s="1109">
        <v>53</v>
      </c>
      <c r="AC71" s="889">
        <v>2173677</v>
      </c>
      <c r="AD71" s="889">
        <v>813.47699999999998</v>
      </c>
      <c r="AE71" s="889">
        <v>735.27099999999996</v>
      </c>
      <c r="AF71" s="367">
        <f t="shared" si="47"/>
        <v>2224995.906313783</v>
      </c>
      <c r="AG71" s="198">
        <f t="shared" si="27"/>
        <v>2.1902597397327694E-2</v>
      </c>
      <c r="AH71" s="198"/>
      <c r="AI71" s="367">
        <f t="shared" si="81"/>
        <v>832.68259032064896</v>
      </c>
      <c r="AJ71" s="198">
        <f t="shared" si="28"/>
        <v>2.5342439872758415E-2</v>
      </c>
      <c r="AK71" s="198"/>
      <c r="AL71" s="367">
        <f t="shared" si="82"/>
        <v>752.63020450197587</v>
      </c>
      <c r="AM71" s="198">
        <f t="shared" si="29"/>
        <v>2.8919750560578272E-2</v>
      </c>
      <c r="AN71" s="198"/>
      <c r="AO71" s="903">
        <f t="shared" si="73"/>
        <v>33491018.464705415</v>
      </c>
      <c r="AP71" s="1109"/>
      <c r="AQ71" s="903">
        <f t="shared" si="74"/>
        <v>12533.680591740707</v>
      </c>
      <c r="AR71" s="903">
        <f t="shared" si="75"/>
        <v>11328.718405523181</v>
      </c>
      <c r="AS71" s="889"/>
      <c r="AT71" s="108"/>
      <c r="AU71" s="108"/>
      <c r="AV71" s="1084">
        <v>4233414</v>
      </c>
      <c r="AW71" s="1082"/>
      <c r="AX71" s="213">
        <f t="shared" si="61"/>
        <v>4233414</v>
      </c>
      <c r="AY71" s="213">
        <f t="shared" si="49"/>
        <v>174.89652038297476</v>
      </c>
      <c r="AZ71" s="198">
        <f t="shared" si="62"/>
        <v>9.8899027986088628E-2</v>
      </c>
      <c r="BA71" s="198">
        <f t="shared" si="66"/>
        <v>7.7746248447968069E-2</v>
      </c>
      <c r="BB71" s="1087" t="s">
        <v>853</v>
      </c>
      <c r="BC71" s="1087">
        <f t="shared" si="67"/>
        <v>1.9266523718150186E-2</v>
      </c>
      <c r="BD71" s="198"/>
      <c r="BE71" s="198"/>
      <c r="BF71" s="198"/>
      <c r="BG71" s="256">
        <v>113911693.59574917</v>
      </c>
      <c r="BH71" s="256"/>
      <c r="BI71" s="256"/>
      <c r="BJ71" s="251">
        <f t="shared" si="60"/>
        <v>3.7163998412872143E-2</v>
      </c>
      <c r="BK71" s="198">
        <f t="shared" si="65"/>
        <v>8.8726704553731439E-2</v>
      </c>
      <c r="BL71" s="198">
        <f t="shared" si="68"/>
        <v>6.554909257444308E-2</v>
      </c>
      <c r="BM71" s="190">
        <v>2199.7040000000002</v>
      </c>
      <c r="BN71" s="183">
        <f t="shared" si="76"/>
        <v>6.9517080479919113E-2</v>
      </c>
      <c r="BO71" s="178">
        <v>857.31599999999992</v>
      </c>
      <c r="BP71" s="184">
        <f t="shared" si="77"/>
        <v>0.17836713650509264</v>
      </c>
      <c r="BQ71" s="175"/>
      <c r="BR71" s="175"/>
      <c r="BS71" s="179">
        <v>503.82590124709156</v>
      </c>
      <c r="BT71" s="116"/>
      <c r="BU71" s="119"/>
      <c r="BV71" s="120"/>
      <c r="BW71" s="889"/>
      <c r="BX71" s="889"/>
    </row>
    <row r="72" spans="1:77" s="1316" customFormat="1" ht="20.5">
      <c r="A72" s="1330" t="s">
        <v>169</v>
      </c>
      <c r="B72" s="1331">
        <v>0</v>
      </c>
      <c r="C72" s="1332">
        <v>138.45499999999998</v>
      </c>
      <c r="D72" s="1333">
        <f t="shared" ref="D72:D77" si="85">C72/H72*$H$75</f>
        <v>154.57794321070628</v>
      </c>
      <c r="E72" s="1334">
        <f t="shared" ref="E72:E77" si="86">D72/D71-1</f>
        <v>5.3471870394794285E-2</v>
      </c>
      <c r="F72" s="1291">
        <v>164.14</v>
      </c>
      <c r="G72" s="1291"/>
      <c r="H72" s="1335">
        <v>89.569699999999997</v>
      </c>
      <c r="I72" s="1293"/>
      <c r="J72" s="1294">
        <f t="shared" si="23"/>
        <v>2.3609260397834175E-2</v>
      </c>
      <c r="K72" s="1295">
        <f t="shared" si="69"/>
        <v>183.25393520353421</v>
      </c>
      <c r="L72" s="1295">
        <f>K72</f>
        <v>183.25393520353421</v>
      </c>
      <c r="M72" s="1296">
        <f t="shared" si="78"/>
        <v>4.8635252801390028E-2</v>
      </c>
      <c r="N72" s="1296">
        <f t="shared" si="79"/>
        <v>4.8635252801390028E-2</v>
      </c>
      <c r="O72" s="1297">
        <f t="shared" si="84"/>
        <v>2.280120517108819E-2</v>
      </c>
      <c r="P72" s="1297">
        <f t="shared" si="26"/>
        <v>1.6588657112212024E-2</v>
      </c>
      <c r="Q72" s="1298"/>
      <c r="R72" s="1298"/>
      <c r="S72" s="1298"/>
      <c r="T72" s="1298">
        <f t="shared" si="83"/>
        <v>3.2537444737889887E-2</v>
      </c>
      <c r="U72" s="1298">
        <f t="shared" si="80"/>
        <v>3.2537444737889887E-2</v>
      </c>
      <c r="V72" s="1299">
        <f t="shared" si="53"/>
        <v>1.6588657112212024E-2</v>
      </c>
      <c r="W72" s="1298">
        <f t="shared" si="58"/>
        <v>2.3788996403788509E-2</v>
      </c>
      <c r="X72" s="1300">
        <v>66796800</v>
      </c>
      <c r="Y72" s="1301">
        <f t="shared" si="71"/>
        <v>2457.3033438727603</v>
      </c>
      <c r="Z72" s="1301">
        <f t="shared" si="72"/>
        <v>2743.4538062232655</v>
      </c>
      <c r="AA72" s="1319">
        <f t="shared" si="45"/>
        <v>4.2964815694943592E-2</v>
      </c>
      <c r="AB72" s="1320">
        <v>60</v>
      </c>
      <c r="AC72" s="1303">
        <v>2244509</v>
      </c>
      <c r="AD72" s="1303">
        <v>826.45600000000002</v>
      </c>
      <c r="AE72" s="1303">
        <v>743.53599999999994</v>
      </c>
      <c r="AF72" s="1295">
        <f t="shared" si="47"/>
        <v>2244509</v>
      </c>
      <c r="AG72" s="1298">
        <f t="shared" si="27"/>
        <v>1.8214795675408402E-2</v>
      </c>
      <c r="AH72" s="1298">
        <f>(AF72/AF63)^(1/COUNTA(AF64:AF72))-1</f>
        <v>1.8506938256732219E-2</v>
      </c>
      <c r="AI72" s="1295">
        <f t="shared" si="81"/>
        <v>826.45600000000002</v>
      </c>
      <c r="AJ72" s="1298">
        <f t="shared" si="28"/>
        <v>1.8191491139886162E-2</v>
      </c>
      <c r="AK72" s="1298">
        <f>(AI72/AI63)^(1/COUNTA(AI64:AI72))-1</f>
        <v>1.7750111857568918E-2</v>
      </c>
      <c r="AL72" s="1295">
        <f t="shared" si="82"/>
        <v>743.53600000000006</v>
      </c>
      <c r="AM72" s="1298">
        <f t="shared" si="29"/>
        <v>2.1383728383947309E-2</v>
      </c>
      <c r="AN72" s="1298">
        <f>(AL72/AL63)^(1/COUNTA(AL64:AL72))-1</f>
        <v>1.8188470662932943E-2</v>
      </c>
      <c r="AO72" s="1302">
        <f t="shared" si="73"/>
        <v>33602043.810481936</v>
      </c>
      <c r="AP72" s="1336"/>
      <c r="AQ72" s="1302">
        <f t="shared" si="74"/>
        <v>12372.688512024528</v>
      </c>
      <c r="AR72" s="1302">
        <f t="shared" si="75"/>
        <v>11131.311679601418</v>
      </c>
      <c r="AS72" s="1303"/>
      <c r="AT72" s="1296"/>
      <c r="AU72" s="1296"/>
      <c r="AV72" s="1326">
        <v>4235970</v>
      </c>
      <c r="AW72" s="1327"/>
      <c r="AX72" s="1321">
        <f t="shared" si="61"/>
        <v>4235970</v>
      </c>
      <c r="AY72" s="1321">
        <f t="shared" ref="AY72" si="87">(AX72/AX$62)*100</f>
        <v>175.00211730926142</v>
      </c>
      <c r="AZ72" s="1298">
        <f t="shared" si="62"/>
        <v>6.0376802268802265E-4</v>
      </c>
      <c r="BA72" s="1298">
        <f t="shared" si="66"/>
        <v>7.0945678034128434E-2</v>
      </c>
      <c r="BB72" s="1298" t="s">
        <v>853</v>
      </c>
      <c r="BC72" s="1298">
        <f t="shared" si="67"/>
        <v>1.9266523718150186E-2</v>
      </c>
      <c r="BD72" s="1298"/>
      <c r="BE72" s="1305"/>
      <c r="BF72" s="1305"/>
      <c r="BG72" s="1328">
        <v>115003450.83938697</v>
      </c>
      <c r="BH72" s="1328"/>
      <c r="BI72" s="1328"/>
      <c r="BJ72" s="1307">
        <f t="shared" si="60"/>
        <v>3.6833416467788663E-2</v>
      </c>
      <c r="BK72" s="1298">
        <f t="shared" si="65"/>
        <v>-8.8952200839880202E-3</v>
      </c>
      <c r="BL72" s="1298">
        <f t="shared" si="68"/>
        <v>5.9824560228370016E-2</v>
      </c>
      <c r="BM72" s="1337">
        <v>2260.614</v>
      </c>
      <c r="BN72" s="1309">
        <f t="shared" si="76"/>
        <v>7.2608592178938988E-2</v>
      </c>
      <c r="BO72" s="1329">
        <v>883.88800000000015</v>
      </c>
      <c r="BP72" s="1311">
        <f t="shared" si="77"/>
        <v>0.18570226091993552</v>
      </c>
      <c r="BQ72" s="1338"/>
      <c r="BR72" s="1338"/>
      <c r="BS72" s="1312">
        <v>516.31697302178031</v>
      </c>
      <c r="BT72" s="1339"/>
      <c r="BU72" s="1340"/>
      <c r="BV72" s="1341"/>
      <c r="BW72" s="1303"/>
      <c r="BX72" s="1303"/>
    </row>
    <row r="73" spans="1:77" ht="20.5">
      <c r="A73" s="112" t="s">
        <v>170</v>
      </c>
      <c r="B73" s="977">
        <v>144.9</v>
      </c>
      <c r="C73" s="975">
        <v>190.61</v>
      </c>
      <c r="D73" s="373">
        <f t="shared" si="85"/>
        <v>201.81625096747075</v>
      </c>
      <c r="E73" s="375">
        <f t="shared" si="86"/>
        <v>0.30559539592510676</v>
      </c>
      <c r="F73" s="110">
        <v>218.56700000000001</v>
      </c>
      <c r="G73" s="110"/>
      <c r="H73" s="1223">
        <v>94.447299999999998</v>
      </c>
      <c r="I73" s="366"/>
      <c r="J73" s="908">
        <f t="shared" ref="J73:J79" si="88">H73/H72-1</f>
        <v>5.4455915337441096E-2</v>
      </c>
      <c r="K73" s="367">
        <f t="shared" si="69"/>
        <v>231.41688539534746</v>
      </c>
      <c r="L73" s="367">
        <f>(G73/H73)*H$75</f>
        <v>0</v>
      </c>
      <c r="M73" s="108">
        <f>K73/K72-1</f>
        <v>0.26282082367464699</v>
      </c>
      <c r="N73" s="108">
        <f t="shared" si="79"/>
        <v>-1</v>
      </c>
      <c r="O73" s="198">
        <f t="shared" si="84"/>
        <v>6.6296672708415771E-2</v>
      </c>
      <c r="P73" s="198"/>
      <c r="Q73" s="198"/>
      <c r="R73" s="198"/>
      <c r="S73" s="198"/>
      <c r="T73" s="198">
        <f t="shared" si="83"/>
        <v>0.15075559250299664</v>
      </c>
      <c r="U73" s="198">
        <f t="shared" si="80"/>
        <v>-1</v>
      </c>
      <c r="V73" s="198">
        <f t="shared" si="53"/>
        <v>3.9895918533605856E-2</v>
      </c>
      <c r="W73" s="198">
        <f t="shared" si="58"/>
        <v>3.9009913267950225E-2</v>
      </c>
      <c r="X73" s="887">
        <v>67081000</v>
      </c>
      <c r="Y73" s="902">
        <f t="shared" si="71"/>
        <v>3258.2549455136327</v>
      </c>
      <c r="Z73" s="902">
        <f t="shared" si="72"/>
        <v>3449.8126950305968</v>
      </c>
      <c r="AA73" s="1111">
        <f t="shared" si="45"/>
        <v>0.25747066971021093</v>
      </c>
      <c r="AB73" s="1109">
        <v>53</v>
      </c>
      <c r="AC73" s="889">
        <v>2085084</v>
      </c>
      <c r="AD73" s="889">
        <v>794.20299999999997</v>
      </c>
      <c r="AE73" s="889">
        <v>710.34</v>
      </c>
      <c r="AF73" s="367">
        <f t="shared" si="47"/>
        <v>1977402.7246390313</v>
      </c>
      <c r="AG73" s="198">
        <f t="shared" si="27"/>
        <v>-1.1743040317157893E-2</v>
      </c>
      <c r="AH73" s="198"/>
      <c r="AI73" s="367">
        <f t="shared" si="81"/>
        <v>753.18748602765777</v>
      </c>
      <c r="AJ73" s="198">
        <f t="shared" si="28"/>
        <v>-5.7667926293538674E-3</v>
      </c>
      <c r="AK73" s="198"/>
      <c r="AL73" s="367">
        <f t="shared" si="82"/>
        <v>673.65547451330008</v>
      </c>
      <c r="AM73" s="198">
        <f t="shared" si="29"/>
        <v>-4.2267026392666107E-3</v>
      </c>
      <c r="AN73" s="198"/>
      <c r="AO73" s="903">
        <f t="shared" si="73"/>
        <v>29477836.118111406</v>
      </c>
      <c r="AP73" s="903"/>
      <c r="AQ73" s="903">
        <f t="shared" si="74"/>
        <v>11228.030083446247</v>
      </c>
      <c r="AR73" s="903">
        <f t="shared" si="75"/>
        <v>10042.418486804014</v>
      </c>
      <c r="AS73" s="889"/>
      <c r="AT73" s="108"/>
      <c r="AU73" s="108"/>
      <c r="AV73" s="108"/>
      <c r="AW73" s="108"/>
      <c r="AX73" s="213">
        <f t="shared" si="61"/>
        <v>0</v>
      </c>
      <c r="AY73" s="213"/>
      <c r="AZ73" s="108"/>
      <c r="BA73" s="200"/>
      <c r="BB73" s="200"/>
      <c r="BC73" s="200"/>
      <c r="BD73" s="200"/>
      <c r="BE73" s="200"/>
      <c r="BF73" s="200"/>
      <c r="BG73" s="252">
        <v>116092750.16225439</v>
      </c>
      <c r="BH73" s="108"/>
      <c r="BI73" s="108"/>
      <c r="BJ73" s="108"/>
      <c r="BK73" s="198"/>
      <c r="BL73" s="200"/>
      <c r="BM73" s="191">
        <v>2140.9960000000001</v>
      </c>
      <c r="BN73" s="183">
        <f t="shared" si="76"/>
        <v>0.10208659894740578</v>
      </c>
      <c r="BO73" s="178">
        <v>1114.9620000000002</v>
      </c>
      <c r="BP73" s="184">
        <f t="shared" si="77"/>
        <v>0.19603089612022648</v>
      </c>
      <c r="BQ73" s="175"/>
      <c r="BR73" s="175"/>
      <c r="BS73" s="179">
        <v>533.83958033532156</v>
      </c>
      <c r="BT73" s="116"/>
      <c r="BU73" s="119"/>
      <c r="BV73" s="120"/>
      <c r="BW73" s="889"/>
      <c r="BX73" s="889"/>
    </row>
    <row r="74" spans="1:77" ht="21" thickBot="1">
      <c r="A74" s="112" t="s">
        <v>171</v>
      </c>
      <c r="B74" s="977">
        <v>153.1</v>
      </c>
      <c r="C74" s="975">
        <v>187.274</v>
      </c>
      <c r="D74" s="373">
        <f t="shared" si="85"/>
        <v>199.922069742243</v>
      </c>
      <c r="E74" s="375">
        <f t="shared" si="86"/>
        <v>-9.385672442865145E-3</v>
      </c>
      <c r="F74" s="110">
        <v>216.23699999999999</v>
      </c>
      <c r="G74" s="110"/>
      <c r="H74" s="1223">
        <v>93.673500000000004</v>
      </c>
      <c r="I74" s="366"/>
      <c r="J74" s="908">
        <f t="shared" si="88"/>
        <v>-8.1929287549775687E-3</v>
      </c>
      <c r="K74" s="367">
        <f t="shared" si="69"/>
        <v>230.84116639177569</v>
      </c>
      <c r="L74" s="367">
        <f t="shared" ref="L74:L77" si="89">(G74/H74)*H$75</f>
        <v>0</v>
      </c>
      <c r="M74" s="108">
        <f t="shared" si="78"/>
        <v>-2.4878003287799322E-3</v>
      </c>
      <c r="N74" s="108" t="e">
        <f t="shared" si="79"/>
        <v>#DIV/0!</v>
      </c>
      <c r="O74" s="198">
        <f t="shared" si="84"/>
        <v>6.434224017457546E-2</v>
      </c>
      <c r="P74" s="198"/>
      <c r="Q74" s="198"/>
      <c r="R74" s="198"/>
      <c r="S74" s="198"/>
      <c r="T74" s="198">
        <f t="shared" si="83"/>
        <v>0.12235430128561409</v>
      </c>
      <c r="U74" s="198">
        <f t="shared" si="80"/>
        <v>-1</v>
      </c>
      <c r="V74" s="198">
        <f t="shared" si="53"/>
        <v>4.0246522402948015E-2</v>
      </c>
      <c r="W74" s="198">
        <f t="shared" si="58"/>
        <v>3.5750920411730114E-2</v>
      </c>
      <c r="X74" s="887">
        <v>67026300</v>
      </c>
      <c r="Y74" s="902">
        <f t="shared" si="71"/>
        <v>3226.1515255951767</v>
      </c>
      <c r="Z74" s="902">
        <f t="shared" si="72"/>
        <v>3444.0386294898526</v>
      </c>
      <c r="AA74" s="1111">
        <f t="shared" si="45"/>
        <v>-1.6737330548588503E-3</v>
      </c>
      <c r="AB74" s="1109">
        <v>36</v>
      </c>
      <c r="AC74" s="890">
        <v>2361452</v>
      </c>
      <c r="AD74" s="890">
        <v>914.60900000000004</v>
      </c>
      <c r="AE74" s="890">
        <v>826.125</v>
      </c>
      <c r="AF74" s="367">
        <f t="shared" si="47"/>
        <v>2257997.6963004475</v>
      </c>
      <c r="AG74" s="198">
        <f t="shared" si="27"/>
        <v>1.1020985144303053E-2</v>
      </c>
      <c r="AI74" s="367">
        <f t="shared" si="81"/>
        <v>874.54033154841022</v>
      </c>
      <c r="AJ74" s="198">
        <f t="shared" si="28"/>
        <v>1.6907378077422042E-2</v>
      </c>
      <c r="AL74" s="367">
        <f t="shared" si="82"/>
        <v>789.9327815497445</v>
      </c>
      <c r="AM74" s="198">
        <f t="shared" si="29"/>
        <v>1.9241216004733275E-2</v>
      </c>
      <c r="AO74" s="903">
        <f t="shared" si="73"/>
        <v>33688234.264765434</v>
      </c>
      <c r="AP74" s="903"/>
      <c r="AQ74" s="903">
        <f t="shared" si="74"/>
        <v>13047.719052795846</v>
      </c>
      <c r="AR74" s="903">
        <f t="shared" si="75"/>
        <v>11785.415300408116</v>
      </c>
      <c r="AS74" s="889"/>
      <c r="AT74" s="108"/>
      <c r="AU74" s="108"/>
      <c r="AV74" s="108"/>
      <c r="AW74" s="108"/>
      <c r="AX74" s="213">
        <f t="shared" si="61"/>
        <v>0</v>
      </c>
      <c r="AY74" s="213"/>
      <c r="AZ74" s="108"/>
      <c r="BG74" s="252">
        <v>117123759.29105544</v>
      </c>
      <c r="BH74" s="108"/>
      <c r="BI74" s="108"/>
      <c r="BJ74" s="108"/>
      <c r="BK74" s="198"/>
      <c r="BM74" s="192">
        <v>2364.402</v>
      </c>
      <c r="BN74" s="183"/>
      <c r="BO74" s="195">
        <v>1027.3203833458674</v>
      </c>
      <c r="BP74" s="184">
        <f t="shared" si="77"/>
        <v>0.21048643004214548</v>
      </c>
      <c r="BQ74" s="175"/>
      <c r="BR74" s="175"/>
      <c r="BS74" s="179">
        <v>544.57228911785955</v>
      </c>
      <c r="BT74" s="181"/>
      <c r="BU74" s="119"/>
      <c r="BV74" s="120"/>
      <c r="BW74" s="889"/>
      <c r="BX74" s="889"/>
    </row>
    <row r="75" spans="1:77" ht="21" thickTop="1">
      <c r="A75" s="112" t="s">
        <v>172</v>
      </c>
      <c r="B75" s="976">
        <v>0</v>
      </c>
      <c r="C75" s="912">
        <v>181.70000000000002</v>
      </c>
      <c r="D75" s="373">
        <f t="shared" si="85"/>
        <v>181.70000000000002</v>
      </c>
      <c r="E75" s="375">
        <f t="shared" si="86"/>
        <v>-9.1145863814517614E-2</v>
      </c>
      <c r="F75" s="367">
        <v>211.57</v>
      </c>
      <c r="G75" s="110">
        <f>F75</f>
        <v>211.57</v>
      </c>
      <c r="H75" s="1223">
        <v>100</v>
      </c>
      <c r="I75" s="366"/>
      <c r="J75" s="908">
        <f t="shared" si="88"/>
        <v>6.753777749310097E-2</v>
      </c>
      <c r="K75" s="204">
        <f>K74*(1+E75)</f>
        <v>209.80094887704649</v>
      </c>
      <c r="L75" s="367">
        <f t="shared" si="89"/>
        <v>211.57</v>
      </c>
      <c r="M75" s="108">
        <f>K75/K74-1</f>
        <v>-9.1145863814517614E-2</v>
      </c>
      <c r="N75" s="108" t="e">
        <f t="shared" si="79"/>
        <v>#DIV/0!</v>
      </c>
      <c r="O75" s="198">
        <f t="shared" si="84"/>
        <v>4.0670279685030897E-2</v>
      </c>
      <c r="P75" s="198"/>
      <c r="Q75" s="198"/>
      <c r="R75" s="198"/>
      <c r="S75" s="198"/>
      <c r="T75" s="198">
        <f t="shared" si="83"/>
        <v>-4.7848179875358832E-2</v>
      </c>
      <c r="U75" s="198" t="e">
        <f t="shared" si="80"/>
        <v>#DIV/0!</v>
      </c>
      <c r="V75" s="198">
        <f t="shared" si="53"/>
        <v>2.9709059026562068E-2</v>
      </c>
      <c r="W75" s="198">
        <f t="shared" si="58"/>
        <v>2.5981648686589587E-2</v>
      </c>
      <c r="X75" s="887">
        <v>67026300</v>
      </c>
      <c r="Y75" s="902">
        <f t="shared" si="71"/>
        <v>3156.5221413087102</v>
      </c>
      <c r="Z75" s="902">
        <f t="shared" si="72"/>
        <v>3130.1287535944325</v>
      </c>
      <c r="AA75" s="1111">
        <f t="shared" si="45"/>
        <v>-9.1145863814517614E-2</v>
      </c>
      <c r="AB75" s="1110">
        <v>29</v>
      </c>
      <c r="AC75" s="710">
        <v>2552226</v>
      </c>
      <c r="AF75" s="367"/>
      <c r="AG75" s="198"/>
      <c r="AH75" s="198"/>
      <c r="AI75" s="367"/>
      <c r="AJ75" s="198"/>
      <c r="AK75" s="198"/>
      <c r="AL75" s="367"/>
      <c r="AM75" s="198"/>
      <c r="AN75" s="198"/>
      <c r="AO75" s="903">
        <f t="shared" si="73"/>
        <v>0</v>
      </c>
      <c r="AP75" s="903"/>
      <c r="AQ75" s="367"/>
      <c r="AR75" s="367"/>
      <c r="AT75" s="108"/>
      <c r="AU75" s="108"/>
      <c r="AV75" s="108"/>
      <c r="AW75" s="108"/>
      <c r="AX75" s="213">
        <f t="shared" si="61"/>
        <v>0</v>
      </c>
      <c r="AY75" s="213"/>
      <c r="AZ75" s="108"/>
      <c r="BG75" s="252">
        <v>118192360.17587887</v>
      </c>
      <c r="BH75" s="108"/>
      <c r="BI75" s="108"/>
      <c r="BJ75" s="108"/>
      <c r="BK75" s="198"/>
      <c r="BM75" s="193">
        <v>2513.1709999999998</v>
      </c>
      <c r="BN75" s="175"/>
      <c r="BO75" s="195">
        <v>1086.6092801546181</v>
      </c>
      <c r="BP75" s="184">
        <f t="shared" si="77"/>
        <v>0.19470660141048568</v>
      </c>
      <c r="BQ75" s="175"/>
      <c r="BR75" s="175"/>
      <c r="BS75" s="185"/>
      <c r="BT75" s="175"/>
      <c r="BU75" s="175"/>
      <c r="BV75" s="121"/>
    </row>
    <row r="76" spans="1:77" ht="20.5">
      <c r="A76" s="112" t="s">
        <v>173</v>
      </c>
      <c r="B76" s="976">
        <v>0</v>
      </c>
      <c r="C76" s="912">
        <v>189.5</v>
      </c>
      <c r="D76" s="373">
        <f t="shared" si="85"/>
        <v>177.86013727031434</v>
      </c>
      <c r="E76" s="375">
        <f t="shared" si="86"/>
        <v>-2.1132981451214561E-2</v>
      </c>
      <c r="F76" s="367"/>
      <c r="G76" s="110">
        <f>G75*(1+E76)</f>
        <v>207.09889511436654</v>
      </c>
      <c r="H76" s="1223">
        <v>106.54439095141102</v>
      </c>
      <c r="I76" s="366"/>
      <c r="J76" s="908">
        <f t="shared" si="88"/>
        <v>6.5443909514110166E-2</v>
      </c>
      <c r="K76" s="204">
        <f t="shared" ref="K76:K77" si="90">K75*(1+E76)</f>
        <v>205.36722931598067</v>
      </c>
      <c r="L76" s="367">
        <f t="shared" si="89"/>
        <v>194.37803648322779</v>
      </c>
      <c r="M76" s="108">
        <f t="shared" ref="M76:M77" si="91">K76/K75-1</f>
        <v>-2.1132981451214561E-2</v>
      </c>
      <c r="N76" s="108">
        <f t="shared" si="79"/>
        <v>-8.1258985285116991E-2</v>
      </c>
      <c r="O76" s="198">
        <f t="shared" si="84"/>
        <v>3.2810055554329587E-2</v>
      </c>
      <c r="P76" s="198"/>
      <c r="Q76" s="198"/>
      <c r="R76" s="198"/>
      <c r="S76" s="198"/>
      <c r="T76" s="198">
        <f t="shared" si="83"/>
        <v>-5.6788815490605549E-2</v>
      </c>
      <c r="U76" s="198" t="e">
        <f t="shared" si="80"/>
        <v>#DIV/0!</v>
      </c>
      <c r="V76" s="198">
        <f t="shared" ref="V76:V77" si="92">((K76/K66)^(1/COUNT(K67:K76)))-1</f>
        <v>2.5339628717138574E-2</v>
      </c>
      <c r="W76" s="198">
        <f t="shared" si="58"/>
        <v>2.0088585372647794E-2</v>
      </c>
      <c r="X76" s="887">
        <v>67026300</v>
      </c>
      <c r="Y76" s="902"/>
      <c r="Z76" s="902">
        <f t="shared" si="72"/>
        <v>3063.9798007048075</v>
      </c>
      <c r="AA76" s="1111"/>
      <c r="AB76" s="903"/>
      <c r="AC76" s="710">
        <v>2726494</v>
      </c>
      <c r="AD76" s="122"/>
      <c r="AE76" s="122"/>
      <c r="AF76" s="367"/>
      <c r="AG76" s="198"/>
      <c r="AH76" s="198"/>
      <c r="AI76" s="367"/>
      <c r="AJ76" s="198"/>
      <c r="AK76" s="198"/>
      <c r="AL76" s="367"/>
      <c r="AM76" s="198"/>
      <c r="AN76" s="198"/>
      <c r="AO76" s="903"/>
      <c r="AP76" s="903"/>
      <c r="AQ76" s="367"/>
      <c r="AR76" s="367"/>
      <c r="AS76" s="122"/>
      <c r="AT76" s="108"/>
      <c r="AU76" s="108"/>
      <c r="AV76" s="108"/>
      <c r="AW76" s="108"/>
      <c r="AX76" s="213">
        <f t="shared" si="61"/>
        <v>0</v>
      </c>
      <c r="AY76" s="213"/>
      <c r="AZ76" s="108"/>
      <c r="BG76" s="252">
        <v>119311485.87819248</v>
      </c>
      <c r="BH76" s="108"/>
      <c r="BI76" s="108"/>
      <c r="BJ76" s="108"/>
      <c r="BK76" s="198"/>
      <c r="BM76" s="194">
        <v>2621.5340000000001</v>
      </c>
      <c r="BN76" s="175"/>
      <c r="BO76" s="195">
        <v>1100.2893650170527</v>
      </c>
      <c r="BP76" s="184">
        <f>G76/BO76</f>
        <v>0.18822220926506625</v>
      </c>
      <c r="BQ76" s="175"/>
      <c r="BR76" s="175"/>
      <c r="BS76" s="175"/>
      <c r="BT76" s="175"/>
      <c r="BU76" s="175"/>
      <c r="BV76" s="175"/>
      <c r="BW76" s="122"/>
      <c r="BX76" s="122"/>
      <c r="BY76" s="122"/>
    </row>
    <row r="77" spans="1:77" ht="20.5">
      <c r="A77" s="112" t="s">
        <v>174</v>
      </c>
      <c r="B77" s="976">
        <v>0</v>
      </c>
      <c r="C77" s="912">
        <v>192.2</v>
      </c>
      <c r="D77" s="373">
        <f t="shared" si="85"/>
        <v>178.95576530445189</v>
      </c>
      <c r="E77" s="375">
        <f t="shared" si="86"/>
        <v>6.1600539106321239E-3</v>
      </c>
      <c r="F77" s="367"/>
      <c r="G77" s="110">
        <f>G76*(1+E77)</f>
        <v>208.37463547310338</v>
      </c>
      <c r="H77" s="1223">
        <v>107.40084270155594</v>
      </c>
      <c r="I77" s="366"/>
      <c r="J77" s="908">
        <f t="shared" si="88"/>
        <v>8.0384499127270637E-3</v>
      </c>
      <c r="K77" s="204">
        <f t="shared" si="90"/>
        <v>206.63230252004425</v>
      </c>
      <c r="L77" s="367">
        <f t="shared" si="89"/>
        <v>194.01582914217173</v>
      </c>
      <c r="M77" s="108">
        <f t="shared" si="91"/>
        <v>6.1600539106321239E-3</v>
      </c>
      <c r="N77" s="108">
        <f t="shared" si="79"/>
        <v>-1.8634170177314058E-3</v>
      </c>
      <c r="O77" s="1245">
        <f t="shared" si="84"/>
        <v>2.4304265208590969E-2</v>
      </c>
      <c r="P77" s="198"/>
      <c r="Q77" s="198"/>
      <c r="R77" s="198"/>
      <c r="S77" s="198"/>
      <c r="T77" s="198">
        <f t="shared" si="83"/>
        <v>-7.5802842776723223E-3</v>
      </c>
      <c r="U77" s="198">
        <f t="shared" si="80"/>
        <v>-4.2383679612144731E-2</v>
      </c>
      <c r="V77" s="198">
        <f t="shared" si="92"/>
        <v>2.3552459289328587E-2</v>
      </c>
      <c r="W77" s="198">
        <f t="shared" si="58"/>
        <v>2.0050245759914542E-2</v>
      </c>
      <c r="X77" s="198"/>
      <c r="Y77" s="902"/>
      <c r="Z77" s="902"/>
      <c r="AA77" s="1111"/>
      <c r="AB77" s="903"/>
      <c r="AC77" s="710">
        <v>2797909</v>
      </c>
      <c r="AF77" s="367"/>
      <c r="AG77" s="198"/>
      <c r="AH77" s="198"/>
      <c r="AI77" s="367"/>
      <c r="AJ77" s="198"/>
      <c r="AK77" s="198"/>
      <c r="AL77" s="367"/>
      <c r="AM77" s="198"/>
      <c r="AN77" s="198"/>
      <c r="AO77" s="903"/>
      <c r="AP77" s="903"/>
      <c r="AQ77" s="367"/>
      <c r="AR77" s="367"/>
      <c r="AT77" s="108"/>
      <c r="AU77" s="108"/>
      <c r="AV77" s="108"/>
      <c r="AW77" s="108"/>
      <c r="AX77" s="213">
        <f t="shared" si="61"/>
        <v>0</v>
      </c>
      <c r="AY77" s="213"/>
      <c r="AZ77" s="108"/>
      <c r="BG77" s="252">
        <v>120427763.56310731</v>
      </c>
      <c r="BH77" s="108"/>
      <c r="BI77" s="108"/>
      <c r="BJ77" s="108"/>
      <c r="BK77" s="198"/>
      <c r="BM77" s="194">
        <v>2726.1669999999999</v>
      </c>
      <c r="BN77" s="175"/>
      <c r="BO77" s="195">
        <v>1126.9429035784217</v>
      </c>
      <c r="BP77" s="184"/>
      <c r="BQ77" s="175"/>
      <c r="BR77" s="175"/>
      <c r="BS77" s="175"/>
      <c r="BT77" s="175"/>
      <c r="BU77" s="175"/>
      <c r="BV77" s="175"/>
    </row>
    <row r="78" spans="1:77" ht="18.5">
      <c r="A78" s="112" t="s">
        <v>139</v>
      </c>
      <c r="B78" s="376"/>
      <c r="C78" s="377"/>
      <c r="E78" s="378"/>
      <c r="F78" s="368"/>
      <c r="G78" s="368"/>
      <c r="H78" s="1223">
        <v>108.84878962042106</v>
      </c>
      <c r="I78" s="366"/>
      <c r="J78" s="908">
        <f t="shared" si="88"/>
        <v>1.3481709104356421E-2</v>
      </c>
      <c r="K78" s="180"/>
      <c r="L78" s="180"/>
      <c r="M78" s="108"/>
      <c r="N78" s="108"/>
      <c r="P78" s="198"/>
      <c r="T78" s="198"/>
      <c r="U78" s="198"/>
      <c r="V78" s="198"/>
      <c r="W78" s="198"/>
      <c r="X78" s="198"/>
      <c r="Y78" s="902"/>
      <c r="Z78" s="902"/>
      <c r="AA78" s="1111"/>
      <c r="AB78" s="903"/>
      <c r="AC78" s="710">
        <v>2887034</v>
      </c>
      <c r="AF78" s="367"/>
      <c r="AG78" s="198"/>
      <c r="AH78" s="198"/>
      <c r="AI78" s="367"/>
      <c r="AJ78" s="198"/>
      <c r="AK78" s="198"/>
      <c r="AL78" s="367"/>
      <c r="AM78" s="198"/>
      <c r="AN78" s="198"/>
      <c r="AO78" s="903"/>
      <c r="AP78" s="903"/>
      <c r="AQ78" s="367"/>
      <c r="AR78" s="367"/>
      <c r="AT78" s="108"/>
      <c r="AU78" s="108"/>
      <c r="AV78" s="108"/>
      <c r="AW78" s="108"/>
      <c r="AX78" s="213">
        <f t="shared" si="61"/>
        <v>0</v>
      </c>
      <c r="AY78" s="213"/>
      <c r="AZ78" s="108"/>
      <c r="BG78" s="108"/>
      <c r="BH78" s="108"/>
      <c r="BI78" s="108"/>
      <c r="BJ78" s="108"/>
      <c r="BK78" s="198"/>
      <c r="BM78" s="194">
        <v>2826.172</v>
      </c>
      <c r="BN78" s="175"/>
      <c r="BO78" s="195">
        <v>1165.6513987373808</v>
      </c>
      <c r="BP78" s="184"/>
      <c r="BQ78" s="175"/>
      <c r="BR78" s="175"/>
      <c r="BS78" s="175"/>
      <c r="BT78" s="175"/>
      <c r="BU78" s="175"/>
      <c r="BV78" s="175"/>
    </row>
    <row r="79" spans="1:77" ht="19" thickBot="1">
      <c r="A79" s="112" t="s">
        <v>328</v>
      </c>
      <c r="B79" s="379"/>
      <c r="C79" s="380"/>
      <c r="D79" s="911">
        <f>(D77/D71)^(1/COUNTA(D72:D77))-1</f>
        <v>3.3642090203363839E-2</v>
      </c>
      <c r="E79" s="910">
        <f>(D77/D75)^(1/COUNTA(D76:D77))-1</f>
        <v>-7.5802842776723223E-3</v>
      </c>
      <c r="F79" s="368"/>
      <c r="G79" s="368"/>
      <c r="H79" s="1223">
        <v>110.74659283895758</v>
      </c>
      <c r="I79" s="366"/>
      <c r="J79" s="908">
        <f t="shared" si="88"/>
        <v>1.7435225739804494E-2</v>
      </c>
      <c r="K79" s="369"/>
      <c r="L79" s="369"/>
      <c r="M79" s="369"/>
      <c r="N79" s="369"/>
      <c r="P79" s="198">
        <f t="shared" ref="P79:P81" si="93">((L79/L69)^(1/COUNT(L70:L79)))-1</f>
        <v>-1</v>
      </c>
      <c r="T79" s="198"/>
      <c r="U79" s="198"/>
      <c r="W79" s="198"/>
      <c r="X79" s="198"/>
      <c r="Y79" s="902"/>
      <c r="Z79" s="902"/>
      <c r="AA79" s="1111"/>
      <c r="AB79" s="903"/>
      <c r="AC79" s="902">
        <v>2995053</v>
      </c>
      <c r="AF79" s="367"/>
      <c r="AG79" s="198"/>
      <c r="AH79" s="198"/>
      <c r="AI79" s="367"/>
      <c r="AJ79" s="198"/>
      <c r="AK79" s="198"/>
      <c r="AL79" s="367"/>
      <c r="AM79" s="198"/>
      <c r="AN79" s="198"/>
      <c r="AO79" s="903"/>
      <c r="AP79" s="903"/>
      <c r="AQ79" s="367"/>
      <c r="AR79" s="367"/>
      <c r="AT79" s="175"/>
      <c r="AU79" s="175"/>
      <c r="AV79" s="175"/>
      <c r="AW79" s="175"/>
      <c r="AX79" s="213">
        <f t="shared" si="61"/>
        <v>0</v>
      </c>
      <c r="AY79" s="213"/>
      <c r="AZ79" s="175"/>
      <c r="BG79" s="175"/>
      <c r="BH79" s="175"/>
      <c r="BI79" s="175"/>
      <c r="BJ79" s="175"/>
      <c r="BK79" s="198"/>
      <c r="BM79" s="194">
        <v>2931.2260000000001</v>
      </c>
      <c r="BN79" s="175"/>
      <c r="BO79" s="195">
        <v>1206.1243251911528</v>
      </c>
      <c r="BP79" s="184"/>
      <c r="BQ79" s="175"/>
      <c r="BR79" s="175"/>
      <c r="BS79" s="175"/>
      <c r="BT79" s="175"/>
      <c r="BU79" s="175"/>
      <c r="BV79" s="175"/>
    </row>
    <row r="80" spans="1:77" ht="18.5">
      <c r="A80" s="100"/>
      <c r="B80" s="100"/>
      <c r="C80" s="208"/>
      <c r="D80" s="100"/>
      <c r="E80" s="100"/>
      <c r="F80" s="100"/>
      <c r="G80" s="100"/>
      <c r="H80" s="1223">
        <v>112.8207746466739</v>
      </c>
      <c r="I80" s="366"/>
      <c r="J80" s="100"/>
      <c r="K80" s="175">
        <f>K73/K2</f>
        <v>15.035818162781935</v>
      </c>
      <c r="L80" s="175"/>
      <c r="M80" s="175"/>
      <c r="N80" s="175"/>
      <c r="P80" s="198">
        <f t="shared" si="93"/>
        <v>-1</v>
      </c>
      <c r="T80" s="175"/>
      <c r="U80" s="175"/>
      <c r="AA80" s="1111"/>
      <c r="AC80" s="711">
        <v>3105804</v>
      </c>
      <c r="AT80" s="175"/>
      <c r="AU80" s="175"/>
      <c r="AV80" s="175"/>
      <c r="AW80" s="175"/>
      <c r="AX80" s="175"/>
      <c r="AY80" s="175"/>
      <c r="AZ80" s="175"/>
      <c r="BG80" s="175"/>
      <c r="BH80" s="175"/>
      <c r="BI80" s="175"/>
      <c r="BJ80" s="175"/>
      <c r="BK80" s="175"/>
      <c r="BM80" s="175"/>
      <c r="BN80" s="175"/>
      <c r="BO80" s="175"/>
      <c r="BP80" s="175"/>
      <c r="BQ80" s="175"/>
      <c r="BR80" s="175"/>
      <c r="BS80" s="175"/>
      <c r="BT80" s="175"/>
      <c r="BU80" s="175"/>
      <c r="BV80" s="175"/>
    </row>
    <row r="81" spans="1:90" ht="18.5">
      <c r="A81" s="100" t="s">
        <v>901</v>
      </c>
      <c r="C81" s="102" t="s">
        <v>902</v>
      </c>
      <c r="H81" s="1180">
        <v>115.00131115207334</v>
      </c>
      <c r="I81" s="366"/>
      <c r="K81" s="205"/>
      <c r="L81" s="205"/>
      <c r="P81" s="198">
        <f t="shared" si="93"/>
        <v>-1</v>
      </c>
      <c r="X81" s="182" t="s">
        <v>903</v>
      </c>
      <c r="AA81" s="1111"/>
      <c r="AB81" s="186"/>
      <c r="AC81" s="711">
        <v>3218152</v>
      </c>
      <c r="AD81" s="186"/>
      <c r="AE81" s="186"/>
      <c r="AF81" s="186"/>
      <c r="AI81" s="186"/>
      <c r="AL81" s="186"/>
      <c r="AO81" s="186"/>
      <c r="AP81" s="186"/>
      <c r="AQ81" s="186"/>
      <c r="AR81" s="186"/>
      <c r="AS81" s="186"/>
      <c r="BO81" s="186"/>
      <c r="BS81" s="186"/>
      <c r="BT81" s="186"/>
      <c r="BU81" s="186"/>
      <c r="BV81" s="186"/>
      <c r="BW81" s="186"/>
      <c r="BX81" s="186"/>
      <c r="BY81" s="186"/>
      <c r="BZ81" s="186"/>
      <c r="CA81" s="186"/>
      <c r="CB81" s="186"/>
      <c r="CC81" s="186"/>
      <c r="CD81" s="186"/>
      <c r="CE81" s="186"/>
      <c r="CF81" s="186"/>
      <c r="CG81" s="186"/>
      <c r="CH81" s="186"/>
      <c r="CI81" s="186"/>
      <c r="CJ81" s="186"/>
      <c r="CK81" s="186"/>
      <c r="CL81" s="187"/>
    </row>
    <row r="82" spans="1:90" ht="18.5">
      <c r="B82" s="100"/>
      <c r="C82" s="1016">
        <v>128.39599999999999</v>
      </c>
      <c r="D82" s="1016">
        <v>138.45499999999998</v>
      </c>
      <c r="E82" s="1016">
        <v>190.61</v>
      </c>
      <c r="F82" s="1016">
        <v>187.274</v>
      </c>
      <c r="G82" s="1016">
        <v>181.70000000000002</v>
      </c>
      <c r="H82" s="1016">
        <v>189.5</v>
      </c>
      <c r="I82" s="1016">
        <v>192.2</v>
      </c>
      <c r="J82" s="100"/>
      <c r="K82" s="104"/>
      <c r="L82" s="104"/>
      <c r="M82" s="175"/>
      <c r="N82" s="175"/>
      <c r="T82" s="175"/>
      <c r="U82" s="175"/>
      <c r="X82" s="104">
        <f t="shared" ref="X82:AR82" si="94">(X72/X2)^(1/COUNT(X3:X72))-1</f>
        <v>4.0515279917621161E-3</v>
      </c>
      <c r="Y82" s="104">
        <f t="shared" si="94"/>
        <v>8.4136057521195795E-2</v>
      </c>
      <c r="Z82" s="104">
        <f t="shared" si="94"/>
        <v>3.1840002051630956E-2</v>
      </c>
      <c r="AA82" s="1111"/>
      <c r="AB82" s="104"/>
      <c r="AC82" s="104" t="e">
        <f t="shared" si="94"/>
        <v>#DIV/0!</v>
      </c>
      <c r="AD82" s="104">
        <f t="shared" si="94"/>
        <v>7.4890352175395636E-2</v>
      </c>
      <c r="AE82" s="104">
        <f t="shared" si="94"/>
        <v>7.5710159860740367E-2</v>
      </c>
      <c r="AF82" s="104" t="e">
        <f t="shared" si="94"/>
        <v>#DIV/0!</v>
      </c>
      <c r="AI82" s="104">
        <f t="shared" si="94"/>
        <v>2.3040286779000052E-2</v>
      </c>
      <c r="AL82" s="104">
        <f t="shared" si="94"/>
        <v>2.382054895906438E-2</v>
      </c>
      <c r="AO82" s="104" t="e">
        <f t="shared" si="94"/>
        <v>#DIV/0!</v>
      </c>
      <c r="AP82" s="104"/>
      <c r="AQ82" s="104">
        <f t="shared" si="94"/>
        <v>1.8912135739903579E-2</v>
      </c>
      <c r="AR82" s="104">
        <f t="shared" si="94"/>
        <v>1.9689249422131683E-2</v>
      </c>
      <c r="AS82" s="104"/>
      <c r="AT82" s="175"/>
      <c r="AU82" s="175"/>
      <c r="AV82" s="175"/>
      <c r="AW82" s="175"/>
      <c r="AX82" s="175"/>
      <c r="AY82" s="175"/>
      <c r="AZ82" s="175"/>
      <c r="BG82" s="175"/>
      <c r="BH82" s="175"/>
      <c r="BI82" s="175"/>
      <c r="BJ82" s="175"/>
      <c r="BK82" s="175"/>
      <c r="BW82" s="104"/>
      <c r="BX82" s="104"/>
    </row>
    <row r="83" spans="1:90" ht="20.5">
      <c r="A83" s="109" t="s">
        <v>904</v>
      </c>
      <c r="B83" s="100"/>
      <c r="C83" s="100"/>
      <c r="D83" s="104"/>
      <c r="E83" s="100"/>
      <c r="H83" s="104"/>
      <c r="I83" s="104"/>
      <c r="J83" s="100"/>
      <c r="K83" s="104">
        <f>(K72/K2)^(1/COUNTA(K3:K72))-1</f>
        <v>3.6020530702963072E-2</v>
      </c>
      <c r="L83" s="104"/>
      <c r="M83" s="175"/>
      <c r="N83" s="175"/>
      <c r="T83" s="175"/>
      <c r="U83" s="175"/>
      <c r="Z83" s="888"/>
      <c r="AT83" s="175"/>
      <c r="AU83" s="175"/>
      <c r="AV83" s="175"/>
      <c r="AW83" s="175"/>
      <c r="AX83" s="175"/>
      <c r="AY83" s="175"/>
      <c r="AZ83" s="175"/>
      <c r="BG83" s="175"/>
      <c r="BH83" s="175"/>
      <c r="BI83" s="175"/>
      <c r="BJ83" s="175"/>
      <c r="BK83" s="175"/>
    </row>
    <row r="84" spans="1:90" ht="20.5">
      <c r="B84" s="109"/>
      <c r="C84" s="109"/>
      <c r="D84" s="109"/>
      <c r="E84" s="109"/>
      <c r="F84" s="100"/>
      <c r="G84" s="100"/>
      <c r="H84" s="100"/>
      <c r="I84" s="100"/>
      <c r="J84" s="100"/>
      <c r="K84" s="183"/>
      <c r="L84" s="175"/>
      <c r="M84" s="175"/>
      <c r="N84" s="175"/>
      <c r="T84" s="175"/>
      <c r="U84" s="175"/>
      <c r="AT84" s="175"/>
      <c r="AU84" s="175"/>
      <c r="AV84" s="175"/>
      <c r="AW84" s="175"/>
      <c r="AX84" s="175"/>
      <c r="AY84" s="175"/>
      <c r="AZ84" s="175"/>
      <c r="BG84" s="175"/>
      <c r="BH84" s="175"/>
      <c r="BI84" s="175"/>
      <c r="BJ84" s="175"/>
      <c r="BK84" s="175"/>
    </row>
    <row r="85" spans="1:90" ht="20.5">
      <c r="B85" s="109"/>
      <c r="C85" s="109"/>
      <c r="D85" s="109"/>
      <c r="E85" s="109"/>
      <c r="F85" s="100"/>
      <c r="G85" s="100"/>
      <c r="H85" s="104"/>
      <c r="I85" s="104"/>
      <c r="J85" s="100"/>
      <c r="K85" s="183"/>
      <c r="L85" s="175"/>
      <c r="M85" s="175"/>
      <c r="N85" s="175"/>
      <c r="T85" s="175"/>
      <c r="U85" s="175"/>
      <c r="AT85" s="175"/>
      <c r="AU85" s="175"/>
      <c r="AV85" s="175"/>
      <c r="AW85" s="175"/>
      <c r="AX85" s="175"/>
      <c r="AY85" s="175"/>
      <c r="AZ85" s="175"/>
      <c r="BG85" s="175"/>
      <c r="BH85" s="175"/>
      <c r="BI85" s="175"/>
      <c r="BJ85" s="175"/>
      <c r="BK85" s="175"/>
    </row>
    <row r="86" spans="1:90" ht="20.5">
      <c r="B86" s="599">
        <v>49.24499999999999</v>
      </c>
      <c r="C86" s="599">
        <v>39.567000000000007</v>
      </c>
      <c r="D86" s="109"/>
      <c r="E86" s="109"/>
      <c r="F86" s="100"/>
      <c r="G86" s="100"/>
      <c r="H86" s="100"/>
      <c r="I86" s="100"/>
      <c r="J86" s="301"/>
      <c r="K86" s="175"/>
      <c r="L86" s="175"/>
      <c r="M86" s="175"/>
      <c r="N86" s="175"/>
      <c r="T86" s="175"/>
      <c r="U86" s="175"/>
      <c r="AT86" s="175"/>
      <c r="AU86" s="175"/>
      <c r="AV86" s="175"/>
      <c r="AW86" s="175"/>
      <c r="AX86" s="175"/>
      <c r="AY86" s="175"/>
      <c r="AZ86" s="175"/>
      <c r="BG86" s="175"/>
      <c r="BH86" s="175"/>
      <c r="BI86" s="175"/>
      <c r="BJ86" s="175"/>
      <c r="BK86" s="175"/>
    </row>
    <row r="87" spans="1:90" ht="20.5">
      <c r="C87" s="304"/>
      <c r="D87" s="109"/>
      <c r="E87" s="109"/>
      <c r="F87" s="100"/>
      <c r="G87" s="100"/>
      <c r="H87" s="100"/>
      <c r="I87" s="100"/>
      <c r="J87" s="100"/>
      <c r="K87" s="175"/>
      <c r="L87" s="175"/>
      <c r="M87" s="175"/>
      <c r="N87" s="175"/>
      <c r="O87" s="299">
        <v>1.7000000000000001E-2</v>
      </c>
      <c r="P87" s="299"/>
      <c r="Q87" s="299"/>
      <c r="R87" s="299"/>
      <c r="S87" s="299"/>
      <c r="T87" s="299">
        <v>0.02</v>
      </c>
      <c r="U87" s="299"/>
      <c r="V87" s="299">
        <v>1.7999999999999999E-2</v>
      </c>
      <c r="W87" s="299">
        <v>2.5999999999999999E-2</v>
      </c>
      <c r="X87" s="299"/>
      <c r="Y87" s="299"/>
      <c r="Z87" s="299"/>
      <c r="AC87" s="712"/>
      <c r="AG87" s="299"/>
      <c r="AH87" s="299"/>
      <c r="AJ87" s="299"/>
      <c r="AK87" s="299"/>
      <c r="AM87" s="299"/>
      <c r="AN87" s="299"/>
      <c r="AT87" s="299">
        <v>-5.0000000000000001E-3</v>
      </c>
      <c r="AU87" s="299">
        <v>4.9000000000000002E-2</v>
      </c>
      <c r="AV87" s="299">
        <v>3.2000000000000001E-2</v>
      </c>
      <c r="AW87" s="299"/>
      <c r="AX87" s="299"/>
      <c r="AY87" s="299"/>
      <c r="AZ87" s="299">
        <v>1.2999999999999999E-2</v>
      </c>
      <c r="BA87" s="299">
        <v>5.0000000000000001E-3</v>
      </c>
      <c r="BB87" s="299"/>
      <c r="BC87" s="299"/>
      <c r="BD87" s="299">
        <v>1.2E-2</v>
      </c>
      <c r="BG87" s="175"/>
      <c r="BH87" s="175"/>
      <c r="BI87" s="175"/>
      <c r="BJ87" s="175"/>
      <c r="BK87" s="175"/>
    </row>
    <row r="88" spans="1:90" ht="20.5">
      <c r="C88" s="304"/>
      <c r="D88" s="109"/>
      <c r="E88" s="109"/>
      <c r="F88" s="100"/>
      <c r="G88" s="100"/>
      <c r="H88" s="100"/>
      <c r="I88" s="100"/>
      <c r="J88" s="100"/>
      <c r="K88" s="175"/>
      <c r="L88" s="175"/>
      <c r="M88" s="175"/>
      <c r="N88" s="175"/>
      <c r="T88" s="175"/>
      <c r="U88" s="175"/>
      <c r="AT88" s="175"/>
      <c r="AU88" s="175"/>
      <c r="AV88" s="175"/>
      <c r="AW88" s="175"/>
      <c r="AX88" s="175"/>
      <c r="AY88" s="175"/>
      <c r="AZ88" s="175"/>
      <c r="BG88" s="175"/>
      <c r="BH88" s="175"/>
      <c r="BI88" s="175"/>
      <c r="BJ88" s="175"/>
      <c r="BK88" s="175"/>
    </row>
    <row r="89" spans="1:90" ht="20.5">
      <c r="C89" s="304"/>
      <c r="D89" s="109"/>
      <c r="E89" s="109"/>
      <c r="F89" s="100"/>
      <c r="G89" s="100"/>
      <c r="H89" s="100"/>
      <c r="I89" s="100"/>
      <c r="J89" s="100"/>
      <c r="K89" s="175"/>
      <c r="L89" s="175"/>
      <c r="M89" s="175"/>
      <c r="N89" s="175"/>
      <c r="T89" s="175"/>
      <c r="U89" s="175"/>
      <c r="AT89" s="175"/>
      <c r="AU89" s="175"/>
      <c r="AV89" s="175"/>
      <c r="AW89" s="175"/>
      <c r="AX89" s="175"/>
      <c r="AY89" s="175"/>
      <c r="AZ89" s="175"/>
      <c r="BG89" s="175"/>
      <c r="BH89" s="175"/>
      <c r="BI89" s="175"/>
      <c r="BJ89" s="175"/>
      <c r="BK89" s="175"/>
    </row>
    <row r="90" spans="1:90" ht="20.5">
      <c r="C90" s="304"/>
      <c r="D90" s="109"/>
      <c r="E90" s="109"/>
      <c r="F90" s="100"/>
      <c r="G90" s="100"/>
      <c r="H90" s="100"/>
      <c r="I90" s="100"/>
      <c r="J90" s="100"/>
      <c r="K90" s="175"/>
      <c r="L90" s="175"/>
      <c r="M90" s="175"/>
      <c r="N90" s="175"/>
      <c r="T90" s="175" t="s">
        <v>905</v>
      </c>
      <c r="U90" s="175"/>
      <c r="AT90" s="175"/>
      <c r="AU90" s="175"/>
      <c r="AV90" s="175"/>
      <c r="AW90" s="175"/>
      <c r="AX90" s="175"/>
      <c r="AY90" s="175"/>
      <c r="AZ90" s="175"/>
      <c r="BG90" s="175"/>
      <c r="BH90" s="175"/>
      <c r="BI90" s="175"/>
      <c r="BJ90" s="175"/>
      <c r="BK90" s="175"/>
    </row>
    <row r="91" spans="1:90" ht="20.5">
      <c r="C91" s="304"/>
      <c r="D91" s="109"/>
      <c r="E91" s="100"/>
      <c r="F91" s="100"/>
      <c r="G91" s="100"/>
      <c r="H91" s="175"/>
      <c r="I91" s="175"/>
      <c r="M91" s="175"/>
      <c r="N91" s="175"/>
      <c r="T91" s="211">
        <v>2.0407999999999999E-2</v>
      </c>
      <c r="U91" s="211"/>
      <c r="AT91" s="175"/>
      <c r="AU91" s="175"/>
      <c r="AV91" s="175"/>
      <c r="AW91" s="175"/>
      <c r="AX91" s="175"/>
      <c r="AY91" s="175"/>
      <c r="AZ91" s="175"/>
      <c r="BG91" s="175"/>
      <c r="BH91" s="175"/>
      <c r="BI91" s="175"/>
      <c r="BJ91" s="175"/>
      <c r="BK91" s="175"/>
    </row>
    <row r="92" spans="1:90" ht="20.5">
      <c r="C92" s="304"/>
      <c r="D92" s="109"/>
      <c r="E92" s="206"/>
      <c r="F92" s="206"/>
      <c r="G92" s="206"/>
      <c r="H92" s="207"/>
      <c r="I92" s="207"/>
      <c r="K92" s="102"/>
      <c r="L92" s="102"/>
      <c r="T92" s="211">
        <v>1.6841999999999999E-2</v>
      </c>
      <c r="U92" s="211"/>
    </row>
    <row r="93" spans="1:90" ht="18.5">
      <c r="C93" s="206"/>
      <c r="D93" s="206"/>
      <c r="E93" s="206"/>
      <c r="F93" s="206"/>
      <c r="G93" s="206"/>
      <c r="H93" s="207"/>
      <c r="I93" s="207"/>
      <c r="K93" s="102"/>
      <c r="L93" s="102"/>
      <c r="T93" s="211">
        <v>1.8116E-2</v>
      </c>
      <c r="U93" s="211"/>
    </row>
    <row r="94" spans="1:90" ht="18.5">
      <c r="C94" s="206"/>
      <c r="D94" s="206"/>
      <c r="E94" s="206"/>
      <c r="F94" s="206"/>
      <c r="G94" s="206"/>
      <c r="H94" s="207"/>
      <c r="I94" s="207"/>
      <c r="K94" s="102"/>
      <c r="L94" s="102"/>
      <c r="T94" s="211">
        <v>2.5928E-2</v>
      </c>
      <c r="U94" s="211"/>
    </row>
    <row r="95" spans="1:90" ht="18.5">
      <c r="C95" s="206"/>
      <c r="D95" s="206"/>
      <c r="E95" s="206"/>
      <c r="F95" s="206"/>
      <c r="G95" s="206"/>
      <c r="H95" s="207"/>
      <c r="I95" s="207"/>
      <c r="K95" s="102"/>
      <c r="L95" s="102"/>
      <c r="T95" s="211">
        <v>6.3924999999999996E-2</v>
      </c>
      <c r="U95" s="211"/>
      <c r="AC95" s="713"/>
    </row>
    <row r="96" spans="1:90" ht="18.5">
      <c r="C96" s="206"/>
      <c r="D96" s="206"/>
      <c r="E96" s="206"/>
      <c r="F96" s="206"/>
      <c r="G96" s="206"/>
      <c r="H96" s="207"/>
      <c r="I96" s="207"/>
      <c r="K96" s="102"/>
      <c r="L96" s="102"/>
      <c r="T96" s="211">
        <v>-4.6600000000000001E-3</v>
      </c>
      <c r="U96" s="211"/>
    </row>
    <row r="97" spans="3:21" ht="18.5">
      <c r="C97" s="206"/>
      <c r="D97" s="206"/>
      <c r="E97" s="206"/>
      <c r="F97" s="206"/>
      <c r="G97" s="206"/>
      <c r="H97" s="207"/>
      <c r="I97" s="207"/>
      <c r="K97" s="102"/>
      <c r="L97" s="102"/>
      <c r="T97" s="211">
        <v>4.8593999999999998E-2</v>
      </c>
      <c r="U97" s="211"/>
    </row>
    <row r="98" spans="3:21" ht="18.5">
      <c r="T98" s="211">
        <v>3.2325E-2</v>
      </c>
      <c r="U98" s="211"/>
    </row>
    <row r="99" spans="3:21" ht="18.5">
      <c r="T99" s="211">
        <v>1.3154000000000001E-2</v>
      </c>
      <c r="U99" s="211"/>
    </row>
    <row r="100" spans="3:21" ht="18.5">
      <c r="T100" s="211">
        <v>5.3189999999999999E-3</v>
      </c>
      <c r="U100" s="211"/>
    </row>
    <row r="101" spans="3:21" ht="18.5">
      <c r="T101" s="211">
        <v>1.2158E-2</v>
      </c>
      <c r="U101" s="211"/>
    </row>
  </sheetData>
  <autoFilter ref="A1:BV83" xr:uid="{030AC843-A9F7-464D-92C9-FB4EF0EA09B8}"/>
  <phoneticPr fontId="21" type="noConversion"/>
  <pageMargins left="0.7" right="0.7" top="0.75" bottom="0.75" header="0.3" footer="0.3"/>
  <pageSetup paperSize="9" orientation="portrait"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D23B6-B7E6-443C-9674-642E75FF6140}">
  <dimension ref="A1:N22"/>
  <sheetViews>
    <sheetView workbookViewId="0"/>
  </sheetViews>
  <sheetFormatPr defaultRowHeight="14.5"/>
  <sheetData>
    <row r="1" spans="1:14">
      <c r="B1" t="s">
        <v>664</v>
      </c>
      <c r="C1" t="s">
        <v>192</v>
      </c>
      <c r="D1" t="s">
        <v>193</v>
      </c>
      <c r="E1" t="s">
        <v>165</v>
      </c>
      <c r="F1" t="s">
        <v>167</v>
      </c>
      <c r="G1" t="s">
        <v>168</v>
      </c>
      <c r="H1" t="s">
        <v>169</v>
      </c>
      <c r="I1" t="s">
        <v>170</v>
      </c>
      <c r="J1" t="s">
        <v>171</v>
      </c>
      <c r="K1" t="s">
        <v>172</v>
      </c>
      <c r="L1" t="s">
        <v>173</v>
      </c>
      <c r="M1" t="s">
        <v>174</v>
      </c>
      <c r="N1" t="s">
        <v>665</v>
      </c>
    </row>
    <row r="2" spans="1:14">
      <c r="A2" t="s">
        <v>657</v>
      </c>
    </row>
    <row r="3" spans="1:14">
      <c r="A3" t="s">
        <v>202</v>
      </c>
      <c r="B3">
        <v>148.14937642156789</v>
      </c>
      <c r="C3">
        <v>151.12122793469393</v>
      </c>
      <c r="D3">
        <v>155.21084988464409</v>
      </c>
      <c r="E3">
        <v>157.36027239880983</v>
      </c>
      <c r="F3">
        <v>159.51123439819892</v>
      </c>
      <c r="G3">
        <v>160.26533034718938</v>
      </c>
      <c r="H3">
        <v>165.34458726069107</v>
      </c>
      <c r="I3">
        <v>217.27978622113201</v>
      </c>
      <c r="J3">
        <v>214.67360528664227</v>
      </c>
      <c r="K3">
        <v>194.80171023725887</v>
      </c>
      <c r="L3">
        <v>189.98281031899529</v>
      </c>
      <c r="M3">
        <v>197.084</v>
      </c>
      <c r="N3">
        <v>204.40691675000102</v>
      </c>
    </row>
    <row r="4" spans="1:14">
      <c r="A4" t="s">
        <v>654</v>
      </c>
    </row>
    <row r="5" spans="1:14">
      <c r="A5" t="s">
        <v>655</v>
      </c>
      <c r="B5">
        <v>126.45039077348119</v>
      </c>
      <c r="C5">
        <v>129.45978402575423</v>
      </c>
      <c r="D5">
        <v>133.13590040037511</v>
      </c>
      <c r="E5">
        <v>136.87920301826449</v>
      </c>
      <c r="F5">
        <v>139.69149578297959</v>
      </c>
      <c r="G5">
        <v>140.33264505859574</v>
      </c>
      <c r="H5">
        <v>154.17318296227472</v>
      </c>
      <c r="I5">
        <v>168.97597358548592</v>
      </c>
      <c r="J5">
        <v>177.30131022944803</v>
      </c>
      <c r="K5">
        <v>174.87278248479586</v>
      </c>
      <c r="L5">
        <v>175.05965524495559</v>
      </c>
      <c r="M5">
        <v>181.4</v>
      </c>
      <c r="N5">
        <v>187.52569721526825</v>
      </c>
    </row>
    <row r="6" spans="1:14">
      <c r="A6" t="s">
        <v>656</v>
      </c>
      <c r="B6">
        <v>14.455854468952364</v>
      </c>
      <c r="C6">
        <v>15.033319759761026</v>
      </c>
      <c r="D6">
        <v>15.916255777176749</v>
      </c>
      <c r="E6">
        <v>14.583101357173589</v>
      </c>
      <c r="F6">
        <v>13.143911281509681</v>
      </c>
      <c r="G6">
        <v>12.517062312857204</v>
      </c>
      <c r="H6">
        <v>6.0941583369881052</v>
      </c>
      <c r="I6">
        <v>36.901654903463793</v>
      </c>
      <c r="J6">
        <v>30.076165193041334</v>
      </c>
      <c r="K6">
        <v>12.326141236788619</v>
      </c>
      <c r="L6">
        <v>7.0925168658123834</v>
      </c>
      <c r="M6">
        <v>8.6999999999999886</v>
      </c>
      <c r="N6">
        <v>8.3019188871342724</v>
      </c>
    </row>
    <row r="7" spans="1:14">
      <c r="A7" t="s">
        <v>305</v>
      </c>
      <c r="B7">
        <v>7.2431311791343482</v>
      </c>
      <c r="C7">
        <v>6.6281241491786735</v>
      </c>
      <c r="D7">
        <v>6.1586937070922048</v>
      </c>
      <c r="E7">
        <v>5.8979680233717593</v>
      </c>
      <c r="F7">
        <v>6.6758273337096581</v>
      </c>
      <c r="G7">
        <v>7.4156229757364089</v>
      </c>
      <c r="H7">
        <v>8.5535255570171085</v>
      </c>
      <c r="I7">
        <v>14.701411938459733</v>
      </c>
      <c r="J7">
        <v>10.61477476566855</v>
      </c>
      <c r="K7">
        <v>10.700620495406769</v>
      </c>
      <c r="L7">
        <v>10.749339938081706</v>
      </c>
      <c r="M7">
        <v>11.8</v>
      </c>
      <c r="N7">
        <v>13.283070219414833</v>
      </c>
    </row>
    <row r="9" spans="1:14">
      <c r="C9" t="s">
        <v>657</v>
      </c>
      <c r="D9" t="s">
        <v>202</v>
      </c>
      <c r="E9" t="s">
        <v>654</v>
      </c>
      <c r="F9" t="s">
        <v>655</v>
      </c>
      <c r="G9" t="s">
        <v>656</v>
      </c>
      <c r="H9" t="s">
        <v>305</v>
      </c>
    </row>
    <row r="10" spans="1:14">
      <c r="B10" t="s">
        <v>664</v>
      </c>
      <c r="D10">
        <v>148.14937642156789</v>
      </c>
      <c r="F10">
        <v>126.45039077348119</v>
      </c>
      <c r="G10">
        <v>14.455854468952364</v>
      </c>
      <c r="H10">
        <v>7.2431311791343482</v>
      </c>
    </row>
    <row r="11" spans="1:14">
      <c r="B11" t="s">
        <v>192</v>
      </c>
      <c r="D11">
        <v>151.12122793469393</v>
      </c>
      <c r="F11">
        <v>129.45978402575423</v>
      </c>
      <c r="G11">
        <v>15.033319759761026</v>
      </c>
      <c r="H11">
        <v>6.6281241491786735</v>
      </c>
    </row>
    <row r="12" spans="1:14">
      <c r="B12" t="s">
        <v>193</v>
      </c>
      <c r="D12">
        <v>155.21084988464409</v>
      </c>
      <c r="F12">
        <v>133.13590040037511</v>
      </c>
      <c r="G12">
        <v>15.916255777176749</v>
      </c>
      <c r="H12">
        <v>6.1586937070922048</v>
      </c>
    </row>
    <row r="13" spans="1:14">
      <c r="B13" t="s">
        <v>165</v>
      </c>
      <c r="D13">
        <v>157.36027239880983</v>
      </c>
      <c r="F13">
        <v>136.87920301826449</v>
      </c>
      <c r="G13">
        <v>14.583101357173589</v>
      </c>
      <c r="H13">
        <v>5.8979680233717593</v>
      </c>
    </row>
    <row r="14" spans="1:14">
      <c r="B14" t="s">
        <v>167</v>
      </c>
      <c r="D14">
        <v>159.51123439819892</v>
      </c>
      <c r="F14">
        <v>139.69149578297959</v>
      </c>
      <c r="G14">
        <v>13.143911281509681</v>
      </c>
      <c r="H14">
        <v>6.6758273337096581</v>
      </c>
    </row>
    <row r="15" spans="1:14">
      <c r="B15" t="s">
        <v>168</v>
      </c>
      <c r="D15">
        <v>160.26533034718938</v>
      </c>
      <c r="F15">
        <v>140.33264505859574</v>
      </c>
      <c r="G15">
        <v>12.517062312857204</v>
      </c>
      <c r="H15">
        <v>7.4156229757364089</v>
      </c>
    </row>
    <row r="16" spans="1:14">
      <c r="B16" t="s">
        <v>169</v>
      </c>
      <c r="D16">
        <v>165.34458726069107</v>
      </c>
      <c r="F16">
        <v>154.17318296227472</v>
      </c>
      <c r="G16">
        <v>6.0941583369881052</v>
      </c>
      <c r="H16">
        <v>8.5535255570171085</v>
      </c>
    </row>
    <row r="17" spans="2:8">
      <c r="B17" t="s">
        <v>170</v>
      </c>
      <c r="D17">
        <v>217.27978622113201</v>
      </c>
      <c r="F17">
        <v>168.97597358548592</v>
      </c>
      <c r="G17">
        <v>36.901654903463793</v>
      </c>
      <c r="H17">
        <v>14.701411938459733</v>
      </c>
    </row>
    <row r="18" spans="2:8">
      <c r="B18" t="s">
        <v>171</v>
      </c>
      <c r="D18">
        <v>214.67360528664227</v>
      </c>
      <c r="F18">
        <v>177.30131022944803</v>
      </c>
      <c r="G18">
        <v>30.076165193041334</v>
      </c>
      <c r="H18">
        <v>10.61477476566855</v>
      </c>
    </row>
    <row r="19" spans="2:8">
      <c r="B19" t="s">
        <v>172</v>
      </c>
      <c r="D19">
        <v>194.80171023725887</v>
      </c>
      <c r="F19">
        <v>174.87278248479586</v>
      </c>
      <c r="G19">
        <v>12.326141236788619</v>
      </c>
      <c r="H19">
        <v>10.700620495406769</v>
      </c>
    </row>
    <row r="20" spans="2:8">
      <c r="B20" t="s">
        <v>173</v>
      </c>
      <c r="D20">
        <v>189.98281031899529</v>
      </c>
      <c r="F20">
        <v>175.05965524495559</v>
      </c>
      <c r="G20">
        <v>7.0925168658123834</v>
      </c>
      <c r="H20">
        <v>10.749339938081706</v>
      </c>
    </row>
    <row r="21" spans="2:8">
      <c r="B21" t="s">
        <v>174</v>
      </c>
      <c r="D21">
        <v>197.084</v>
      </c>
      <c r="F21">
        <v>181.4</v>
      </c>
      <c r="G21">
        <v>8.6999999999999886</v>
      </c>
      <c r="H21">
        <v>11.8</v>
      </c>
    </row>
    <row r="22" spans="2:8">
      <c r="B22" t="s">
        <v>665</v>
      </c>
      <c r="D22">
        <v>204.40691675000102</v>
      </c>
      <c r="F22">
        <v>187.52569721526825</v>
      </c>
      <c r="G22">
        <v>8.3019188871342724</v>
      </c>
      <c r="H22">
        <v>13.283070219414833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D51DE-C59C-47A8-8EE8-670F86D11EED}">
  <dimension ref="A1:T64"/>
  <sheetViews>
    <sheetView zoomScale="45" zoomScaleNormal="70" workbookViewId="0">
      <selection activeCell="G52" sqref="G52"/>
    </sheetView>
  </sheetViews>
  <sheetFormatPr defaultRowHeight="14.5"/>
  <cols>
    <col min="1" max="1" width="17.54296875" bestFit="1" customWidth="1"/>
    <col min="2" max="2" width="50.54296875" customWidth="1"/>
    <col min="3" max="3" width="25.54296875" bestFit="1" customWidth="1"/>
    <col min="4" max="4" width="18.81640625" bestFit="1" customWidth="1"/>
    <col min="6" max="6" width="45.54296875" bestFit="1" customWidth="1"/>
    <col min="7" max="7" width="24" customWidth="1"/>
    <col min="8" max="8" width="50.1796875" bestFit="1" customWidth="1"/>
    <col min="9" max="9" width="22.54296875" bestFit="1" customWidth="1"/>
    <col min="10" max="10" width="17.453125" bestFit="1" customWidth="1"/>
    <col min="17" max="17" width="7.81640625" bestFit="1" customWidth="1"/>
    <col min="18" max="18" width="5.54296875" customWidth="1"/>
    <col min="19" max="19" width="11.453125" bestFit="1" customWidth="1"/>
    <col min="20" max="20" width="36.1796875" style="994" bestFit="1" customWidth="1"/>
  </cols>
  <sheetData>
    <row r="1" spans="1:20">
      <c r="A1" t="s">
        <v>177</v>
      </c>
      <c r="B1" s="127" t="s">
        <v>906</v>
      </c>
    </row>
    <row r="3" spans="1:20" ht="76.5" customHeight="1">
      <c r="A3" s="1804" t="s">
        <v>907</v>
      </c>
      <c r="B3" s="1804"/>
      <c r="C3" s="1804"/>
      <c r="D3" s="1804"/>
      <c r="E3" s="1804"/>
      <c r="F3" s="1804"/>
      <c r="G3" s="1804"/>
      <c r="H3" s="1804"/>
      <c r="I3" s="1804"/>
      <c r="J3" s="1804"/>
      <c r="K3" s="1804"/>
      <c r="L3" s="1804"/>
      <c r="M3" s="1804"/>
      <c r="N3" s="1804"/>
      <c r="O3" s="1804"/>
      <c r="P3" s="1804"/>
      <c r="Q3" s="1804"/>
      <c r="R3" s="3"/>
      <c r="T3" s="1031"/>
    </row>
    <row r="4" spans="1:20" ht="81.650000000000006" customHeight="1">
      <c r="A4" s="381" t="s">
        <v>908</v>
      </c>
      <c r="B4" s="381"/>
      <c r="C4" s="381"/>
      <c r="D4" s="381"/>
      <c r="E4" s="381"/>
      <c r="F4" s="381" t="s">
        <v>909</v>
      </c>
      <c r="G4" s="382"/>
      <c r="H4" s="382"/>
      <c r="I4" s="382" t="s">
        <v>910</v>
      </c>
      <c r="J4" s="382"/>
      <c r="K4" s="382"/>
      <c r="L4" s="381" t="s">
        <v>911</v>
      </c>
      <c r="M4" s="382"/>
      <c r="N4" s="382"/>
      <c r="O4" s="382"/>
      <c r="P4" s="382"/>
      <c r="Q4" s="382"/>
      <c r="R4" s="293"/>
      <c r="T4" s="1030" t="s">
        <v>338</v>
      </c>
    </row>
    <row r="5" spans="1:20" ht="15.5">
      <c r="A5" s="383" t="s">
        <v>244</v>
      </c>
      <c r="B5" s="383"/>
      <c r="C5" s="383"/>
      <c r="D5" s="383"/>
      <c r="E5" s="383"/>
      <c r="F5" s="384"/>
      <c r="G5" s="384"/>
      <c r="H5" s="384"/>
      <c r="I5" s="384"/>
      <c r="J5" s="384"/>
      <c r="K5" s="384"/>
      <c r="L5" s="384"/>
      <c r="M5" s="384"/>
      <c r="N5" s="384"/>
      <c r="O5" s="384"/>
      <c r="P5" s="384"/>
      <c r="Q5" s="384"/>
      <c r="R5" s="3"/>
      <c r="T5" s="1029"/>
    </row>
    <row r="6" spans="1:20" ht="18.5">
      <c r="A6" s="385" t="s">
        <v>912</v>
      </c>
      <c r="B6" s="385"/>
      <c r="C6" s="386">
        <v>7.4</v>
      </c>
      <c r="D6" s="386"/>
      <c r="E6" s="386"/>
      <c r="F6" s="386">
        <v>30.3</v>
      </c>
      <c r="G6" s="386"/>
      <c r="H6" s="386"/>
      <c r="I6" s="387">
        <v>6.0999999999999999E-2</v>
      </c>
      <c r="J6" s="387"/>
      <c r="K6" s="387"/>
      <c r="L6" s="385" t="s">
        <v>913</v>
      </c>
      <c r="M6" s="385"/>
      <c r="N6" s="385"/>
      <c r="O6" s="385"/>
      <c r="P6" s="385"/>
      <c r="Q6" s="385" t="s">
        <v>914</v>
      </c>
      <c r="R6" s="36"/>
      <c r="S6" s="111" t="s">
        <v>343</v>
      </c>
      <c r="T6" s="1028">
        <f>C6</f>
        <v>7.4</v>
      </c>
    </row>
    <row r="7" spans="1:20" ht="18.5">
      <c r="A7" s="385" t="s">
        <v>915</v>
      </c>
      <c r="B7" s="385"/>
      <c r="C7" s="386">
        <v>9.6999999999999993</v>
      </c>
      <c r="D7" s="386"/>
      <c r="E7" s="386"/>
      <c r="F7" s="386">
        <v>33.1</v>
      </c>
      <c r="G7" s="386"/>
      <c r="H7" s="386"/>
      <c r="I7" s="387">
        <v>9.2999999999999999E-2</v>
      </c>
      <c r="J7" s="387"/>
      <c r="K7" s="387"/>
      <c r="L7" s="385" t="s">
        <v>916</v>
      </c>
      <c r="M7" s="385"/>
      <c r="N7" s="385"/>
      <c r="O7" s="385"/>
      <c r="P7" s="385"/>
      <c r="Q7" s="385" t="s">
        <v>917</v>
      </c>
      <c r="R7" s="36"/>
      <c r="S7" s="111" t="s">
        <v>344</v>
      </c>
      <c r="T7" s="1028">
        <f t="shared" ref="T7:T25" si="0">C7</f>
        <v>9.6999999999999993</v>
      </c>
    </row>
    <row r="8" spans="1:20" ht="18.5">
      <c r="A8" s="385" t="s">
        <v>918</v>
      </c>
      <c r="B8" s="385"/>
      <c r="C8" s="386">
        <v>10.9</v>
      </c>
      <c r="D8" s="386"/>
      <c r="E8" s="386"/>
      <c r="F8" s="386">
        <v>33.5</v>
      </c>
      <c r="G8" s="386"/>
      <c r="H8" s="386"/>
      <c r="I8" s="387">
        <v>1.2E-2</v>
      </c>
      <c r="J8" s="387"/>
      <c r="K8" s="387"/>
      <c r="L8" s="385" t="s">
        <v>919</v>
      </c>
      <c r="M8" s="385"/>
      <c r="N8" s="385"/>
      <c r="O8" s="385"/>
      <c r="P8" s="385"/>
      <c r="Q8" s="385" t="s">
        <v>920</v>
      </c>
      <c r="R8" s="36"/>
      <c r="S8" s="111" t="s">
        <v>345</v>
      </c>
      <c r="T8" s="1028">
        <f t="shared" si="0"/>
        <v>10.9</v>
      </c>
    </row>
    <row r="9" spans="1:20" ht="18.5">
      <c r="A9" s="385" t="s">
        <v>921</v>
      </c>
      <c r="B9" s="385"/>
      <c r="C9" s="386">
        <v>11.8</v>
      </c>
      <c r="D9" s="386"/>
      <c r="E9" s="386"/>
      <c r="F9" s="386">
        <v>34</v>
      </c>
      <c r="G9" s="386"/>
      <c r="H9" s="386"/>
      <c r="I9" s="387">
        <v>1.4E-2</v>
      </c>
      <c r="J9" s="387"/>
      <c r="K9" s="387"/>
      <c r="L9" s="385" t="s">
        <v>922</v>
      </c>
      <c r="M9" s="385"/>
      <c r="N9" s="385"/>
      <c r="O9" s="385"/>
      <c r="P9" s="385"/>
      <c r="Q9" s="385" t="s">
        <v>923</v>
      </c>
      <c r="R9" s="36"/>
      <c r="S9" s="111" t="s">
        <v>346</v>
      </c>
      <c r="T9" s="1028">
        <f t="shared" si="0"/>
        <v>11.8</v>
      </c>
    </row>
    <row r="10" spans="1:20" ht="18.5">
      <c r="A10" s="385" t="s">
        <v>924</v>
      </c>
      <c r="B10" s="385"/>
      <c r="C10" s="386">
        <v>12.5</v>
      </c>
      <c r="D10" s="386"/>
      <c r="E10" s="386"/>
      <c r="F10" s="386">
        <v>34.299999999999997</v>
      </c>
      <c r="G10" s="386"/>
      <c r="H10" s="386"/>
      <c r="I10" s="387">
        <v>8.9999999999999993E-3</v>
      </c>
      <c r="J10" s="387"/>
      <c r="K10" s="387"/>
      <c r="L10" s="385" t="s">
        <v>925</v>
      </c>
      <c r="M10" s="385"/>
      <c r="N10" s="385"/>
      <c r="O10" s="385"/>
      <c r="P10" s="385"/>
      <c r="Q10" s="385" t="s">
        <v>926</v>
      </c>
      <c r="R10" s="36"/>
      <c r="S10" s="111" t="s">
        <v>347</v>
      </c>
      <c r="T10" s="1028">
        <f t="shared" si="0"/>
        <v>12.5</v>
      </c>
    </row>
    <row r="11" spans="1:20" ht="18.5">
      <c r="A11" s="385" t="s">
        <v>927</v>
      </c>
      <c r="B11" s="385"/>
      <c r="C11" s="386">
        <v>13.4</v>
      </c>
      <c r="D11" s="386"/>
      <c r="E11" s="386"/>
      <c r="F11" s="386">
        <v>34.799999999999997</v>
      </c>
      <c r="G11" s="386"/>
      <c r="H11" s="386"/>
      <c r="I11" s="387">
        <v>1.4999999999999999E-2</v>
      </c>
      <c r="J11" s="387"/>
      <c r="K11" s="387"/>
      <c r="L11" s="385" t="s">
        <v>928</v>
      </c>
      <c r="M11" s="385"/>
      <c r="N11" s="385"/>
      <c r="O11" s="385"/>
      <c r="P11" s="385"/>
      <c r="Q11" s="385" t="s">
        <v>929</v>
      </c>
      <c r="R11" s="36"/>
      <c r="S11" s="111" t="s">
        <v>348</v>
      </c>
      <c r="T11" s="1028">
        <f t="shared" si="0"/>
        <v>13.4</v>
      </c>
    </row>
    <row r="12" spans="1:20" ht="18.5">
      <c r="A12" s="385" t="s">
        <v>930</v>
      </c>
      <c r="B12" s="385"/>
      <c r="C12" s="386">
        <v>14.2</v>
      </c>
      <c r="D12" s="386"/>
      <c r="E12" s="386"/>
      <c r="F12" s="386">
        <v>34.9</v>
      </c>
      <c r="G12" s="386"/>
      <c r="H12" s="386"/>
      <c r="I12" s="387">
        <v>2E-3</v>
      </c>
      <c r="J12" s="387"/>
      <c r="K12" s="387"/>
      <c r="L12" s="385" t="s">
        <v>931</v>
      </c>
      <c r="M12" s="385"/>
      <c r="N12" s="385"/>
      <c r="O12" s="385"/>
      <c r="P12" s="385"/>
      <c r="Q12" s="385" t="s">
        <v>932</v>
      </c>
      <c r="R12" s="36"/>
      <c r="S12" s="111" t="s">
        <v>349</v>
      </c>
      <c r="T12" s="1028">
        <f t="shared" si="0"/>
        <v>14.2</v>
      </c>
    </row>
    <row r="13" spans="1:20" ht="18.5">
      <c r="A13" s="385" t="s">
        <v>933</v>
      </c>
      <c r="B13" s="385"/>
      <c r="C13" s="386">
        <v>15.2</v>
      </c>
      <c r="D13" s="386"/>
      <c r="E13" s="386"/>
      <c r="F13" s="386">
        <v>35.799999999999997</v>
      </c>
      <c r="G13" s="386"/>
      <c r="H13" s="386"/>
      <c r="I13" s="387">
        <v>2.8000000000000001E-2</v>
      </c>
      <c r="J13" s="387"/>
      <c r="K13" s="387"/>
      <c r="L13" s="385" t="s">
        <v>934</v>
      </c>
      <c r="M13" s="385"/>
      <c r="N13" s="385"/>
      <c r="O13" s="385"/>
      <c r="P13" s="385"/>
      <c r="Q13" s="385" t="s">
        <v>935</v>
      </c>
      <c r="R13" s="36"/>
      <c r="S13" s="111" t="s">
        <v>350</v>
      </c>
      <c r="T13" s="1028">
        <f t="shared" si="0"/>
        <v>15.2</v>
      </c>
    </row>
    <row r="14" spans="1:20" ht="18.5">
      <c r="A14" s="385" t="s">
        <v>936</v>
      </c>
      <c r="B14" s="385"/>
      <c r="C14" s="386">
        <v>16.7</v>
      </c>
      <c r="D14" s="386"/>
      <c r="E14" s="386"/>
      <c r="F14" s="386">
        <v>37.299999999999997</v>
      </c>
      <c r="G14" s="386"/>
      <c r="H14" s="386"/>
      <c r="I14" s="387">
        <v>0.04</v>
      </c>
      <c r="J14" s="387"/>
      <c r="K14" s="387"/>
      <c r="L14" s="385" t="s">
        <v>937</v>
      </c>
      <c r="M14" s="385"/>
      <c r="N14" s="385"/>
      <c r="O14" s="385"/>
      <c r="P14" s="385"/>
      <c r="Q14" s="385" t="s">
        <v>938</v>
      </c>
      <c r="R14" s="36"/>
      <c r="S14" s="111" t="s">
        <v>351</v>
      </c>
      <c r="T14" s="1028">
        <f t="shared" si="0"/>
        <v>16.7</v>
      </c>
    </row>
    <row r="15" spans="1:20" ht="18.5">
      <c r="A15" s="385" t="s">
        <v>939</v>
      </c>
      <c r="B15" s="385"/>
      <c r="C15" s="386">
        <v>18.399999999999999</v>
      </c>
      <c r="D15" s="386"/>
      <c r="E15" s="386"/>
      <c r="F15" s="386">
        <v>38.700000000000003</v>
      </c>
      <c r="G15" s="386"/>
      <c r="H15" s="386"/>
      <c r="I15" s="387">
        <v>3.6999999999999998E-2</v>
      </c>
      <c r="J15" s="387"/>
      <c r="K15" s="387"/>
      <c r="L15" s="385" t="s">
        <v>940</v>
      </c>
      <c r="M15" s="385"/>
      <c r="N15" s="385"/>
      <c r="O15" s="385"/>
      <c r="P15" s="385"/>
      <c r="Q15" s="385" t="s">
        <v>941</v>
      </c>
      <c r="R15" s="36"/>
      <c r="S15" s="111" t="s">
        <v>352</v>
      </c>
      <c r="T15" s="1028">
        <f t="shared" si="0"/>
        <v>18.399999999999999</v>
      </c>
    </row>
    <row r="16" spans="1:20" ht="18.5">
      <c r="A16" s="385" t="s">
        <v>942</v>
      </c>
      <c r="B16" s="385"/>
      <c r="C16" s="386">
        <v>19.899999999999999</v>
      </c>
      <c r="D16" s="386"/>
      <c r="E16" s="386"/>
      <c r="F16" s="386">
        <v>38.700000000000003</v>
      </c>
      <c r="G16" s="386"/>
      <c r="H16" s="386"/>
      <c r="I16" s="387">
        <v>1E-3</v>
      </c>
      <c r="J16" s="387"/>
      <c r="K16" s="387"/>
      <c r="L16" s="385" t="s">
        <v>943</v>
      </c>
      <c r="M16" s="385"/>
      <c r="N16" s="385"/>
      <c r="O16" s="385"/>
      <c r="P16" s="385"/>
      <c r="Q16" s="385" t="s">
        <v>944</v>
      </c>
      <c r="R16" s="36"/>
      <c r="S16" s="111" t="s">
        <v>353</v>
      </c>
      <c r="T16" s="1028">
        <f t="shared" si="0"/>
        <v>19.899999999999999</v>
      </c>
    </row>
    <row r="17" spans="1:20" ht="18.5">
      <c r="A17" s="385" t="s">
        <v>945</v>
      </c>
      <c r="B17" s="385"/>
      <c r="C17" s="386">
        <v>22.3</v>
      </c>
      <c r="D17" s="386"/>
      <c r="E17" s="386"/>
      <c r="F17" s="386">
        <v>40.200000000000003</v>
      </c>
      <c r="G17" s="386"/>
      <c r="H17" s="386"/>
      <c r="I17" s="387">
        <v>3.9E-2</v>
      </c>
      <c r="J17" s="387"/>
      <c r="K17" s="387"/>
      <c r="L17" s="385" t="s">
        <v>946</v>
      </c>
      <c r="M17" s="385"/>
      <c r="N17" s="385"/>
      <c r="O17" s="385"/>
      <c r="P17" s="385"/>
      <c r="Q17" s="385" t="s">
        <v>947</v>
      </c>
      <c r="R17" s="36"/>
      <c r="S17" s="111" t="s">
        <v>354</v>
      </c>
      <c r="T17" s="1028">
        <f t="shared" si="0"/>
        <v>22.3</v>
      </c>
    </row>
    <row r="18" spans="1:20" ht="18.5">
      <c r="A18" s="385" t="s">
        <v>948</v>
      </c>
      <c r="B18" s="385"/>
      <c r="C18" s="386">
        <v>25.4</v>
      </c>
      <c r="D18" s="386"/>
      <c r="E18" s="386"/>
      <c r="F18" s="386">
        <v>43.1</v>
      </c>
      <c r="G18" s="386"/>
      <c r="H18" s="386"/>
      <c r="I18" s="387">
        <v>7.2999999999999995E-2</v>
      </c>
      <c r="J18" s="387"/>
      <c r="K18" s="387"/>
      <c r="L18" s="385" t="s">
        <v>949</v>
      </c>
      <c r="M18" s="385"/>
      <c r="N18" s="385"/>
      <c r="O18" s="385"/>
      <c r="P18" s="385"/>
      <c r="Q18" s="385" t="s">
        <v>950</v>
      </c>
      <c r="R18" s="36"/>
      <c r="S18" s="111" t="s">
        <v>355</v>
      </c>
      <c r="T18" s="1028">
        <f t="shared" si="0"/>
        <v>25.4</v>
      </c>
    </row>
    <row r="19" spans="1:20" ht="18.5">
      <c r="A19" s="385" t="s">
        <v>951</v>
      </c>
      <c r="B19" s="385"/>
      <c r="C19" s="386">
        <v>28</v>
      </c>
      <c r="D19" s="386"/>
      <c r="E19" s="386"/>
      <c r="F19" s="386">
        <v>46.4</v>
      </c>
      <c r="G19" s="386"/>
      <c r="H19" s="386"/>
      <c r="I19" s="387">
        <v>7.4999999999999997E-2</v>
      </c>
      <c r="J19" s="387"/>
      <c r="K19" s="387"/>
      <c r="L19" s="385" t="s">
        <v>952</v>
      </c>
      <c r="M19" s="385"/>
      <c r="N19" s="385"/>
      <c r="O19" s="385"/>
      <c r="P19" s="385"/>
      <c r="Q19" s="385" t="s">
        <v>953</v>
      </c>
      <c r="R19" s="36"/>
      <c r="S19" s="111" t="s">
        <v>356</v>
      </c>
      <c r="T19" s="1028">
        <f t="shared" si="0"/>
        <v>28</v>
      </c>
    </row>
    <row r="20" spans="1:20" ht="18.5">
      <c r="A20" s="385" t="s">
        <v>954</v>
      </c>
      <c r="B20" s="385"/>
      <c r="C20" s="386">
        <v>28.9</v>
      </c>
      <c r="D20" s="386"/>
      <c r="E20" s="386"/>
      <c r="F20" s="386">
        <v>46.9</v>
      </c>
      <c r="G20" s="386"/>
      <c r="H20" s="386"/>
      <c r="I20" s="387">
        <v>0.01</v>
      </c>
      <c r="J20" s="387"/>
      <c r="K20" s="387"/>
      <c r="L20" s="385" t="s">
        <v>955</v>
      </c>
      <c r="M20" s="385"/>
      <c r="N20" s="385"/>
      <c r="O20" s="385"/>
      <c r="P20" s="385"/>
      <c r="Q20" s="385" t="s">
        <v>956</v>
      </c>
      <c r="R20" s="36"/>
      <c r="S20" s="111" t="s">
        <v>357</v>
      </c>
      <c r="T20" s="1028">
        <f t="shared" si="0"/>
        <v>28.9</v>
      </c>
    </row>
    <row r="21" spans="1:20" ht="18.5">
      <c r="A21" s="385" t="s">
        <v>957</v>
      </c>
      <c r="B21" s="385"/>
      <c r="C21" s="386">
        <v>30.6</v>
      </c>
      <c r="D21" s="386"/>
      <c r="E21" s="386"/>
      <c r="F21" s="386">
        <v>48.9</v>
      </c>
      <c r="G21" s="386"/>
      <c r="H21" s="386"/>
      <c r="I21" s="387">
        <v>4.2999999999999997E-2</v>
      </c>
      <c r="J21" s="387"/>
      <c r="K21" s="387"/>
      <c r="L21" s="385" t="s">
        <v>958</v>
      </c>
      <c r="M21" s="385"/>
      <c r="N21" s="385"/>
      <c r="O21" s="385"/>
      <c r="P21" s="385"/>
      <c r="Q21" s="385" t="s">
        <v>959</v>
      </c>
      <c r="R21" s="36"/>
      <c r="S21" s="111" t="s">
        <v>358</v>
      </c>
      <c r="T21" s="1028">
        <f t="shared" si="0"/>
        <v>30.6</v>
      </c>
    </row>
    <row r="22" spans="1:20" ht="18.5">
      <c r="A22" s="385" t="s">
        <v>960</v>
      </c>
      <c r="B22" s="385"/>
      <c r="C22" s="386">
        <v>32</v>
      </c>
      <c r="D22" s="386"/>
      <c r="E22" s="386"/>
      <c r="F22" s="386">
        <v>49.7</v>
      </c>
      <c r="G22" s="386"/>
      <c r="H22" s="386"/>
      <c r="I22" s="387">
        <v>1.6E-2</v>
      </c>
      <c r="J22" s="387"/>
      <c r="K22" s="387"/>
      <c r="L22" s="385" t="s">
        <v>961</v>
      </c>
      <c r="M22" s="385"/>
      <c r="N22" s="385"/>
      <c r="O22" s="385"/>
      <c r="P22" s="385"/>
      <c r="Q22" s="385" t="s">
        <v>962</v>
      </c>
      <c r="R22" s="36"/>
      <c r="S22" s="111" t="s">
        <v>359</v>
      </c>
      <c r="T22" s="1028">
        <f t="shared" si="0"/>
        <v>32</v>
      </c>
    </row>
    <row r="23" spans="1:20" ht="18.5">
      <c r="A23" s="385" t="s">
        <v>502</v>
      </c>
      <c r="B23" s="385"/>
      <c r="C23" s="386">
        <v>33</v>
      </c>
      <c r="D23" s="386"/>
      <c r="E23" s="386"/>
      <c r="F23" s="386">
        <v>49.3</v>
      </c>
      <c r="G23" s="386"/>
      <c r="H23" s="386"/>
      <c r="I23" s="387">
        <v>-8.0000000000000002E-3</v>
      </c>
      <c r="J23" s="387"/>
      <c r="K23" s="387"/>
      <c r="L23" s="385" t="s">
        <v>963</v>
      </c>
      <c r="M23" s="385"/>
      <c r="N23" s="385"/>
      <c r="O23" s="385"/>
      <c r="P23" s="385"/>
      <c r="Q23" s="385" t="s">
        <v>964</v>
      </c>
      <c r="R23" s="36"/>
      <c r="S23" s="111" t="s">
        <v>360</v>
      </c>
      <c r="T23" s="1028">
        <f t="shared" si="0"/>
        <v>33</v>
      </c>
    </row>
    <row r="24" spans="1:20" ht="18.5">
      <c r="A24" s="385" t="s">
        <v>965</v>
      </c>
      <c r="B24" s="385"/>
      <c r="C24" s="386">
        <v>34.700000000000003</v>
      </c>
      <c r="D24" s="386"/>
      <c r="E24" s="386"/>
      <c r="F24" s="386">
        <v>51.5</v>
      </c>
      <c r="G24" s="386"/>
      <c r="H24" s="386"/>
      <c r="I24" s="387">
        <v>4.5999999999999999E-2</v>
      </c>
      <c r="J24" s="387"/>
      <c r="K24" s="387"/>
      <c r="L24" s="385" t="s">
        <v>966</v>
      </c>
      <c r="M24" s="385"/>
      <c r="N24" s="385"/>
      <c r="O24" s="385"/>
      <c r="P24" s="385"/>
      <c r="Q24" s="385" t="s">
        <v>967</v>
      </c>
      <c r="R24" s="36"/>
      <c r="S24" s="111" t="s">
        <v>361</v>
      </c>
      <c r="T24" s="1028">
        <f t="shared" si="0"/>
        <v>34.700000000000003</v>
      </c>
    </row>
    <row r="25" spans="1:20" ht="18.5">
      <c r="A25" s="385" t="s">
        <v>968</v>
      </c>
      <c r="B25" s="385"/>
      <c r="C25" s="386">
        <v>36.6</v>
      </c>
      <c r="D25" s="386"/>
      <c r="E25" s="386"/>
      <c r="F25" s="386">
        <v>53.6</v>
      </c>
      <c r="G25" s="386"/>
      <c r="H25" s="386"/>
      <c r="I25" s="387">
        <v>0.04</v>
      </c>
      <c r="J25" s="387"/>
      <c r="K25" s="387"/>
      <c r="L25" s="385" t="s">
        <v>969</v>
      </c>
      <c r="M25" s="385"/>
      <c r="N25" s="385"/>
      <c r="O25" s="385"/>
      <c r="P25" s="385"/>
      <c r="Q25" s="385" t="s">
        <v>970</v>
      </c>
      <c r="R25" s="36"/>
      <c r="S25" s="111" t="s">
        <v>362</v>
      </c>
      <c r="T25" s="1028">
        <f t="shared" si="0"/>
        <v>36.6</v>
      </c>
    </row>
    <row r="26" spans="1:20" ht="18.5">
      <c r="A26" s="385" t="s">
        <v>971</v>
      </c>
      <c r="B26" s="385"/>
      <c r="C26" s="386">
        <v>39.9</v>
      </c>
      <c r="D26" s="386"/>
      <c r="E26" s="386"/>
      <c r="F26" s="386">
        <v>58.2</v>
      </c>
      <c r="G26" s="386"/>
      <c r="H26" s="386"/>
      <c r="I26" s="387">
        <v>8.5000000000000006E-2</v>
      </c>
      <c r="J26" s="387"/>
      <c r="K26" s="387"/>
      <c r="L26" s="385" t="s">
        <v>972</v>
      </c>
      <c r="M26" s="385"/>
      <c r="N26" s="385"/>
      <c r="O26" s="385"/>
      <c r="P26" s="385"/>
      <c r="Q26" s="385" t="s">
        <v>973</v>
      </c>
      <c r="R26" s="3"/>
      <c r="S26" s="111" t="s">
        <v>363</v>
      </c>
      <c r="T26" s="1027">
        <f>C28</f>
        <v>40.200000000000003</v>
      </c>
    </row>
    <row r="27" spans="1:20" ht="31">
      <c r="A27" s="383" t="s">
        <v>974</v>
      </c>
      <c r="B27" s="383"/>
      <c r="C27" s="383"/>
      <c r="D27" s="383"/>
      <c r="E27" s="383"/>
      <c r="F27" s="384"/>
      <c r="G27" s="384"/>
      <c r="H27" s="384"/>
      <c r="I27" s="384"/>
      <c r="J27" s="384"/>
      <c r="K27" s="384"/>
      <c r="L27" s="384"/>
      <c r="M27" s="384"/>
      <c r="N27" s="384"/>
      <c r="O27" s="384"/>
      <c r="P27" s="384"/>
      <c r="Q27" s="384"/>
      <c r="R27" s="3"/>
      <c r="S27" s="111" t="s">
        <v>364</v>
      </c>
      <c r="T27" s="1027">
        <f>C29</f>
        <v>43.9</v>
      </c>
    </row>
    <row r="28" spans="1:20" ht="18.5">
      <c r="A28" s="385" t="s">
        <v>971</v>
      </c>
      <c r="B28" s="385"/>
      <c r="C28" s="386">
        <v>40.200000000000003</v>
      </c>
      <c r="D28" s="386"/>
      <c r="E28" s="386"/>
      <c r="F28" s="386">
        <v>58.6</v>
      </c>
      <c r="G28" s="386"/>
      <c r="H28" s="386"/>
      <c r="I28" s="385" t="s">
        <v>531</v>
      </c>
      <c r="J28" s="385"/>
      <c r="K28" s="385"/>
      <c r="L28" s="385" t="s">
        <v>975</v>
      </c>
      <c r="M28" s="385"/>
      <c r="N28" s="385"/>
      <c r="O28" s="385"/>
      <c r="P28" s="385"/>
      <c r="Q28" s="385" t="s">
        <v>976</v>
      </c>
      <c r="R28" s="36"/>
      <c r="S28" s="111" t="s">
        <v>365</v>
      </c>
      <c r="T28" s="1027">
        <f>C30</f>
        <v>49</v>
      </c>
    </row>
    <row r="29" spans="1:20" ht="18.5">
      <c r="A29" s="385" t="s">
        <v>977</v>
      </c>
      <c r="B29" s="385"/>
      <c r="C29" s="386">
        <v>43.9</v>
      </c>
      <c r="D29" s="386"/>
      <c r="E29" s="386"/>
      <c r="F29" s="386">
        <v>62.8</v>
      </c>
      <c r="G29" s="386"/>
      <c r="H29" s="386"/>
      <c r="I29" s="387">
        <v>7.1999999999999995E-2</v>
      </c>
      <c r="J29" s="387"/>
      <c r="K29" s="387"/>
      <c r="L29" s="385" t="s">
        <v>978</v>
      </c>
      <c r="M29" s="385"/>
      <c r="N29" s="385"/>
      <c r="O29" s="385"/>
      <c r="P29" s="385"/>
      <c r="Q29" s="385" t="s">
        <v>979</v>
      </c>
      <c r="R29" s="36"/>
      <c r="S29" s="111" t="s">
        <v>366</v>
      </c>
      <c r="T29" s="1026">
        <f>C33</f>
        <v>57</v>
      </c>
    </row>
    <row r="30" spans="1:20" ht="18.5">
      <c r="A30" s="385" t="s">
        <v>980</v>
      </c>
      <c r="B30" s="385"/>
      <c r="C30" s="386">
        <v>49</v>
      </c>
      <c r="D30" s="386"/>
      <c r="E30" s="386"/>
      <c r="F30" s="386">
        <v>69.3</v>
      </c>
      <c r="G30" s="386"/>
      <c r="H30" s="386"/>
      <c r="I30" s="387">
        <v>0.10199999999999999</v>
      </c>
      <c r="J30" s="387"/>
      <c r="K30" s="387"/>
      <c r="L30" s="385" t="s">
        <v>981</v>
      </c>
      <c r="M30" s="385"/>
      <c r="N30" s="385"/>
      <c r="O30" s="385"/>
      <c r="P30" s="385"/>
      <c r="Q30" s="385" t="s">
        <v>982</v>
      </c>
      <c r="R30" s="36"/>
      <c r="S30" s="111" t="s">
        <v>367</v>
      </c>
      <c r="T30" s="1026">
        <f t="shared" ref="T30:T44" si="1">C34</f>
        <v>64.2</v>
      </c>
    </row>
    <row r="31" spans="1:20" ht="18.5">
      <c r="A31" s="385" t="s">
        <v>983</v>
      </c>
      <c r="B31" s="385"/>
      <c r="C31" s="386">
        <v>54</v>
      </c>
      <c r="D31" s="386"/>
      <c r="E31" s="386"/>
      <c r="F31" s="386">
        <v>74.599999999999994</v>
      </c>
      <c r="G31" s="386"/>
      <c r="H31" s="386"/>
      <c r="I31" s="387">
        <v>7.6999999999999999E-2</v>
      </c>
      <c r="J31" s="387"/>
      <c r="K31" s="387"/>
      <c r="L31" s="385" t="s">
        <v>984</v>
      </c>
      <c r="M31" s="385"/>
      <c r="N31" s="385"/>
      <c r="O31" s="385"/>
      <c r="P31" s="385"/>
      <c r="Q31" s="385" t="s">
        <v>985</v>
      </c>
      <c r="R31" s="3"/>
      <c r="S31" s="111" t="s">
        <v>368</v>
      </c>
      <c r="T31" s="1026">
        <f t="shared" si="1"/>
        <v>69.099999999999994</v>
      </c>
    </row>
    <row r="32" spans="1:20" ht="31">
      <c r="A32" s="383" t="s">
        <v>986</v>
      </c>
      <c r="B32" s="383"/>
      <c r="C32" s="383"/>
      <c r="D32" s="383"/>
      <c r="E32" s="383"/>
      <c r="F32" s="384"/>
      <c r="G32" s="384"/>
      <c r="H32" s="384"/>
      <c r="I32" s="384"/>
      <c r="J32" s="384"/>
      <c r="K32" s="384"/>
      <c r="L32" s="384"/>
      <c r="M32" s="384"/>
      <c r="N32" s="384"/>
      <c r="O32" s="384"/>
      <c r="P32" s="384"/>
      <c r="Q32" s="384"/>
      <c r="R32" s="3"/>
      <c r="S32" s="111" t="s">
        <v>369</v>
      </c>
      <c r="T32" s="1026">
        <f t="shared" si="1"/>
        <v>74.400000000000006</v>
      </c>
    </row>
    <row r="33" spans="1:20" ht="18.5">
      <c r="A33" s="385" t="s">
        <v>983</v>
      </c>
      <c r="B33" s="385"/>
      <c r="C33" s="386">
        <v>57</v>
      </c>
      <c r="D33" s="386"/>
      <c r="E33" s="386"/>
      <c r="F33" s="386">
        <v>78.8</v>
      </c>
      <c r="G33" s="386"/>
      <c r="H33" s="386"/>
      <c r="I33" s="385" t="s">
        <v>531</v>
      </c>
      <c r="J33" s="385"/>
      <c r="K33" s="385"/>
      <c r="L33" s="385" t="s">
        <v>987</v>
      </c>
      <c r="M33" s="385"/>
      <c r="N33" s="385"/>
      <c r="O33" s="385"/>
      <c r="P33" s="385"/>
      <c r="Q33" s="385" t="s">
        <v>988</v>
      </c>
      <c r="R33" s="36"/>
      <c r="S33" s="111" t="s">
        <v>370</v>
      </c>
      <c r="T33" s="1026">
        <f t="shared" si="1"/>
        <v>78.900000000000006</v>
      </c>
    </row>
    <row r="34" spans="1:20" ht="18.5">
      <c r="A34" s="385" t="s">
        <v>989</v>
      </c>
      <c r="B34" s="385"/>
      <c r="C34" s="386">
        <v>64.2</v>
      </c>
      <c r="D34" s="386">
        <v>12</v>
      </c>
      <c r="E34" s="386"/>
      <c r="F34" s="386">
        <v>86.9</v>
      </c>
      <c r="G34" s="386"/>
      <c r="H34" s="386"/>
      <c r="I34" s="387">
        <v>0.10299999999999999</v>
      </c>
      <c r="J34" s="387"/>
      <c r="K34" s="387"/>
      <c r="L34" s="385" t="s">
        <v>990</v>
      </c>
      <c r="M34" s="385"/>
      <c r="N34" s="385"/>
      <c r="O34" s="385"/>
      <c r="P34" s="385"/>
      <c r="Q34" s="385" t="s">
        <v>991</v>
      </c>
      <c r="R34" s="36"/>
      <c r="S34" s="111" t="s">
        <v>371</v>
      </c>
      <c r="T34" s="1026">
        <f t="shared" si="1"/>
        <v>85.8</v>
      </c>
    </row>
    <row r="35" spans="1:20" ht="18.5">
      <c r="A35" s="385" t="s">
        <v>992</v>
      </c>
      <c r="B35" s="385"/>
      <c r="C35" s="386">
        <v>69.099999999999994</v>
      </c>
      <c r="D35" s="894">
        <f>D34/C34</f>
        <v>0.18691588785046728</v>
      </c>
      <c r="E35" s="386"/>
      <c r="F35" s="386">
        <v>90.9</v>
      </c>
      <c r="G35" s="386"/>
      <c r="H35" s="386"/>
      <c r="I35" s="387">
        <v>4.5999999999999999E-2</v>
      </c>
      <c r="J35" s="387"/>
      <c r="K35" s="387"/>
      <c r="L35" s="385" t="s">
        <v>993</v>
      </c>
      <c r="M35" s="385"/>
      <c r="N35" s="385"/>
      <c r="O35" s="385"/>
      <c r="P35" s="385"/>
      <c r="Q35" s="385" t="s">
        <v>994</v>
      </c>
      <c r="R35" s="36"/>
      <c r="S35" s="111" t="s">
        <v>372</v>
      </c>
      <c r="T35" s="1026">
        <f t="shared" si="1"/>
        <v>91</v>
      </c>
    </row>
    <row r="36" spans="1:20" ht="18.5">
      <c r="A36" s="385" t="s">
        <v>995</v>
      </c>
      <c r="B36" s="385"/>
      <c r="C36" s="386">
        <v>74.400000000000006</v>
      </c>
      <c r="D36" s="386"/>
      <c r="E36" s="386"/>
      <c r="F36" s="386">
        <v>95.6</v>
      </c>
      <c r="G36" s="386"/>
      <c r="H36" s="386"/>
      <c r="I36" s="387">
        <v>5.1999999999999998E-2</v>
      </c>
      <c r="J36" s="387"/>
      <c r="K36" s="387"/>
      <c r="L36" s="385" t="s">
        <v>996</v>
      </c>
      <c r="M36" s="385"/>
      <c r="N36" s="385"/>
      <c r="O36" s="385"/>
      <c r="P36" s="385"/>
      <c r="Q36" s="385" t="s">
        <v>997</v>
      </c>
      <c r="R36" s="36"/>
      <c r="S36" s="111" t="s">
        <v>373</v>
      </c>
      <c r="T36" s="1026">
        <f t="shared" si="1"/>
        <v>98.4</v>
      </c>
    </row>
    <row r="37" spans="1:20" ht="18.5">
      <c r="A37" s="385" t="s">
        <v>998</v>
      </c>
      <c r="B37" s="385"/>
      <c r="C37" s="386">
        <v>78.900000000000006</v>
      </c>
      <c r="D37" s="386"/>
      <c r="E37" s="386"/>
      <c r="F37" s="386">
        <v>98.6</v>
      </c>
      <c r="G37" s="386"/>
      <c r="H37" s="386"/>
      <c r="I37" s="387">
        <v>3.1E-2</v>
      </c>
      <c r="J37" s="387"/>
      <c r="K37" s="387"/>
      <c r="L37" s="385" t="s">
        <v>999</v>
      </c>
      <c r="M37" s="385"/>
      <c r="N37" s="385"/>
      <c r="O37" s="385"/>
      <c r="P37" s="385"/>
      <c r="Q37" s="385" t="s">
        <v>1000</v>
      </c>
      <c r="R37" s="36"/>
      <c r="S37" s="111" t="s">
        <v>374</v>
      </c>
      <c r="T37" s="1026">
        <f t="shared" si="1"/>
        <v>100.4</v>
      </c>
    </row>
    <row r="38" spans="1:20" ht="18.5">
      <c r="A38" s="385" t="s">
        <v>1001</v>
      </c>
      <c r="B38" s="385"/>
      <c r="C38" s="386">
        <v>85.8</v>
      </c>
      <c r="D38" s="386"/>
      <c r="E38" s="386"/>
      <c r="F38" s="386">
        <v>104.4</v>
      </c>
      <c r="G38" s="386"/>
      <c r="H38" s="386"/>
      <c r="I38" s="387">
        <v>5.8999999999999997E-2</v>
      </c>
      <c r="J38" s="387"/>
      <c r="K38" s="387"/>
      <c r="L38" s="385" t="s">
        <v>1002</v>
      </c>
      <c r="M38" s="385"/>
      <c r="N38" s="385"/>
      <c r="O38" s="385"/>
      <c r="P38" s="385"/>
      <c r="Q38" s="385" t="s">
        <v>1003</v>
      </c>
      <c r="R38" s="36"/>
      <c r="S38" s="111" t="s">
        <v>375</v>
      </c>
      <c r="T38" s="1026">
        <f t="shared" si="1"/>
        <v>102.8</v>
      </c>
    </row>
    <row r="39" spans="1:20" ht="18.5">
      <c r="A39" s="385" t="s">
        <v>1004</v>
      </c>
      <c r="B39" s="385"/>
      <c r="C39" s="386">
        <v>91</v>
      </c>
      <c r="D39" s="386"/>
      <c r="E39" s="386"/>
      <c r="F39" s="386">
        <v>108.1</v>
      </c>
      <c r="G39" s="386"/>
      <c r="H39" s="386"/>
      <c r="I39" s="387">
        <v>3.5000000000000003E-2</v>
      </c>
      <c r="J39" s="387"/>
      <c r="K39" s="387"/>
      <c r="L39" s="385" t="s">
        <v>1005</v>
      </c>
      <c r="M39" s="385"/>
      <c r="N39" s="385"/>
      <c r="O39" s="385"/>
      <c r="P39" s="385"/>
      <c r="Q39" s="385" t="s">
        <v>1006</v>
      </c>
      <c r="R39" s="36"/>
      <c r="S39" s="111" t="s">
        <v>376</v>
      </c>
      <c r="T39" s="1026">
        <f t="shared" si="1"/>
        <v>105.2</v>
      </c>
    </row>
    <row r="40" spans="1:20" ht="18.5">
      <c r="A40" s="385" t="s">
        <v>1007</v>
      </c>
      <c r="B40" s="385"/>
      <c r="C40" s="386">
        <v>98.4</v>
      </c>
      <c r="D40" s="386"/>
      <c r="E40" s="386"/>
      <c r="F40" s="386">
        <v>114.9</v>
      </c>
      <c r="G40" s="386"/>
      <c r="H40" s="386"/>
      <c r="I40" s="387">
        <v>6.4000000000000001E-2</v>
      </c>
      <c r="J40" s="387"/>
      <c r="K40" s="387"/>
      <c r="L40" s="385" t="s">
        <v>1008</v>
      </c>
      <c r="M40" s="385"/>
      <c r="N40" s="385"/>
      <c r="O40" s="385"/>
      <c r="P40" s="385"/>
      <c r="Q40" s="385" t="s">
        <v>1009</v>
      </c>
      <c r="R40" s="36"/>
      <c r="S40" s="111" t="s">
        <v>377</v>
      </c>
      <c r="T40" s="1026">
        <f t="shared" si="1"/>
        <v>109.8</v>
      </c>
    </row>
    <row r="41" spans="1:20" ht="18.5">
      <c r="A41" s="385" t="s">
        <v>1010</v>
      </c>
      <c r="B41" s="385"/>
      <c r="C41" s="388">
        <v>100.4</v>
      </c>
      <c r="D41" s="386"/>
      <c r="E41" s="386"/>
      <c r="F41" s="386">
        <v>115.3</v>
      </c>
      <c r="G41" s="386"/>
      <c r="H41" s="386"/>
      <c r="I41" s="387">
        <v>3.0000000000000001E-3</v>
      </c>
      <c r="J41" s="387"/>
      <c r="K41" s="387"/>
      <c r="L41" s="385" t="s">
        <v>1011</v>
      </c>
      <c r="M41" s="385"/>
      <c r="N41" s="385"/>
      <c r="O41" s="385"/>
      <c r="P41" s="385"/>
      <c r="Q41" s="385" t="s">
        <v>1012</v>
      </c>
      <c r="R41" s="36"/>
      <c r="S41" s="111" t="s">
        <v>378</v>
      </c>
      <c r="T41" s="1026">
        <f t="shared" si="1"/>
        <v>113.3</v>
      </c>
    </row>
    <row r="42" spans="1:20" ht="18.5">
      <c r="A42" s="385" t="s">
        <v>1013</v>
      </c>
      <c r="B42" s="385"/>
      <c r="C42" s="386">
        <v>102.8</v>
      </c>
      <c r="D42" s="386"/>
      <c r="E42" s="386"/>
      <c r="F42" s="386">
        <v>116.3</v>
      </c>
      <c r="G42" s="386"/>
      <c r="H42" s="386"/>
      <c r="I42" s="387">
        <v>8.9999999999999993E-3</v>
      </c>
      <c r="J42" s="387"/>
      <c r="K42" s="387"/>
      <c r="L42" s="385" t="s">
        <v>1014</v>
      </c>
      <c r="M42" s="385"/>
      <c r="N42" s="385"/>
      <c r="O42" s="385"/>
      <c r="P42" s="385"/>
      <c r="Q42" s="385" t="s">
        <v>1015</v>
      </c>
      <c r="R42" s="36"/>
      <c r="S42" s="111" t="s">
        <v>379</v>
      </c>
      <c r="T42" s="1026">
        <f t="shared" si="1"/>
        <v>117.2</v>
      </c>
    </row>
    <row r="43" spans="1:20" ht="18.5">
      <c r="A43" s="385" t="s">
        <v>1016</v>
      </c>
      <c r="B43" s="385"/>
      <c r="C43" s="386">
        <v>105.2</v>
      </c>
      <c r="D43" s="386"/>
      <c r="E43" s="386"/>
      <c r="F43" s="386">
        <v>116.6</v>
      </c>
      <c r="G43" s="386"/>
      <c r="H43" s="386"/>
      <c r="I43" s="387">
        <v>2E-3</v>
      </c>
      <c r="J43" s="387"/>
      <c r="K43" s="387"/>
      <c r="L43" s="385" t="s">
        <v>1017</v>
      </c>
      <c r="M43" s="385"/>
      <c r="N43" s="385"/>
      <c r="O43" s="385"/>
      <c r="P43" s="385"/>
      <c r="Q43" s="385" t="s">
        <v>1018</v>
      </c>
      <c r="R43" s="36"/>
      <c r="S43" s="111" t="s">
        <v>165</v>
      </c>
      <c r="T43" s="1026">
        <f t="shared" si="1"/>
        <v>120.6</v>
      </c>
    </row>
    <row r="44" spans="1:20" ht="18.5">
      <c r="A44" s="385" t="s">
        <v>1019</v>
      </c>
      <c r="B44" s="385"/>
      <c r="C44" s="386">
        <v>109.8</v>
      </c>
      <c r="D44" s="386"/>
      <c r="E44" s="386"/>
      <c r="F44" s="386">
        <v>119.3</v>
      </c>
      <c r="G44" s="386"/>
      <c r="H44" s="386"/>
      <c r="I44" s="387">
        <v>2.4E-2</v>
      </c>
      <c r="J44" s="387"/>
      <c r="K44" s="387"/>
      <c r="L44" s="385" t="s">
        <v>1020</v>
      </c>
      <c r="M44" s="385"/>
      <c r="N44" s="385"/>
      <c r="O44" s="385"/>
      <c r="P44" s="385"/>
      <c r="Q44" s="385" t="s">
        <v>1021</v>
      </c>
      <c r="R44" s="36"/>
      <c r="S44" s="111" t="s">
        <v>167</v>
      </c>
      <c r="T44" s="1026">
        <f t="shared" si="1"/>
        <v>125.2</v>
      </c>
    </row>
    <row r="45" spans="1:20" ht="18.5">
      <c r="A45" s="385" t="s">
        <v>1022</v>
      </c>
      <c r="B45" s="385"/>
      <c r="C45" s="386">
        <v>113.3</v>
      </c>
      <c r="D45" s="386"/>
      <c r="E45" s="386"/>
      <c r="F45" s="386">
        <v>121.5</v>
      </c>
      <c r="G45" s="386"/>
      <c r="H45" s="386"/>
      <c r="I45" s="387">
        <v>1.7999999999999999E-2</v>
      </c>
      <c r="J45" s="387"/>
      <c r="K45" s="387"/>
      <c r="L45" s="385" t="s">
        <v>1023</v>
      </c>
      <c r="M45" s="385"/>
      <c r="N45" s="385"/>
      <c r="O45" s="385"/>
      <c r="P45" s="385"/>
      <c r="Q45" s="385" t="s">
        <v>1024</v>
      </c>
      <c r="R45" s="36"/>
      <c r="S45" s="111" t="s">
        <v>168</v>
      </c>
      <c r="T45" s="1026">
        <f>C49</f>
        <v>130.30000000000001</v>
      </c>
    </row>
    <row r="46" spans="1:20" ht="18.5">
      <c r="A46" s="385" t="s">
        <v>1025</v>
      </c>
      <c r="B46" s="385"/>
      <c r="C46" s="386">
        <v>117.2</v>
      </c>
      <c r="D46" s="386"/>
      <c r="E46" s="386"/>
      <c r="F46" s="386">
        <v>124.6</v>
      </c>
      <c r="G46" s="386"/>
      <c r="H46" s="386"/>
      <c r="I46" s="387">
        <v>2.5999999999999999E-2</v>
      </c>
      <c r="J46" s="387"/>
      <c r="K46" s="387"/>
      <c r="L46" s="385" t="s">
        <v>1026</v>
      </c>
      <c r="M46" s="385"/>
      <c r="N46" s="385"/>
      <c r="O46" s="385"/>
      <c r="P46" s="385"/>
      <c r="Q46" s="385" t="s">
        <v>1027</v>
      </c>
      <c r="R46" s="812"/>
      <c r="S46" s="111" t="s">
        <v>169</v>
      </c>
      <c r="T46" s="1025">
        <f>'Comparison across fiscal events'!D35</f>
        <v>140.499</v>
      </c>
    </row>
    <row r="47" spans="1:20" ht="18.5">
      <c r="A47" s="385" t="s">
        <v>1028</v>
      </c>
      <c r="B47" s="385"/>
      <c r="C47" s="386">
        <v>120.6</v>
      </c>
      <c r="D47" s="386"/>
      <c r="E47" s="386"/>
      <c r="F47" s="386">
        <v>125.2</v>
      </c>
      <c r="G47" s="386"/>
      <c r="H47" s="386"/>
      <c r="I47" s="387">
        <v>5.0000000000000001E-3</v>
      </c>
      <c r="J47" s="387"/>
      <c r="K47" s="387"/>
      <c r="L47" s="385" t="s">
        <v>1029</v>
      </c>
      <c r="M47" s="385"/>
      <c r="N47" s="385"/>
      <c r="O47" s="385"/>
      <c r="P47" s="385"/>
      <c r="Q47" s="385" t="s">
        <v>1030</v>
      </c>
      <c r="R47" s="36"/>
      <c r="S47" s="111"/>
      <c r="T47" s="1027"/>
    </row>
    <row r="48" spans="1:20" ht="18.5">
      <c r="A48" s="385" t="s">
        <v>1031</v>
      </c>
      <c r="B48" s="385"/>
      <c r="C48" s="386">
        <v>125.2</v>
      </c>
      <c r="D48" s="386"/>
      <c r="E48" s="386"/>
      <c r="F48" s="386">
        <v>127.7</v>
      </c>
      <c r="G48" s="386"/>
      <c r="H48" s="386"/>
      <c r="I48" s="387">
        <v>0.02</v>
      </c>
      <c r="J48" s="387"/>
      <c r="K48" s="387"/>
      <c r="L48" s="385" t="s">
        <v>1032</v>
      </c>
      <c r="M48" s="385"/>
      <c r="N48" s="385"/>
      <c r="O48" s="385"/>
      <c r="P48" s="385"/>
      <c r="Q48" s="385" t="s">
        <v>1033</v>
      </c>
      <c r="R48" s="36"/>
      <c r="S48" s="111"/>
      <c r="T48" s="1027"/>
    </row>
    <row r="49" spans="1:20" ht="18.5">
      <c r="A49" s="385" t="s">
        <v>1034</v>
      </c>
      <c r="B49" s="385"/>
      <c r="C49" s="386">
        <v>130.30000000000001</v>
      </c>
      <c r="D49" s="386"/>
      <c r="E49" s="386"/>
      <c r="F49" s="386">
        <v>130.30000000000001</v>
      </c>
      <c r="G49" s="386"/>
      <c r="H49" s="386"/>
      <c r="I49" s="387">
        <v>0.02</v>
      </c>
      <c r="J49" s="387"/>
      <c r="K49" s="387"/>
      <c r="L49" s="385" t="s">
        <v>1035</v>
      </c>
      <c r="M49" s="385"/>
      <c r="N49" s="385"/>
      <c r="O49" s="385"/>
      <c r="P49" s="385"/>
      <c r="Q49" s="385" t="s">
        <v>1035</v>
      </c>
      <c r="R49" s="36"/>
      <c r="S49" s="111"/>
      <c r="T49" s="1028"/>
    </row>
    <row r="50" spans="1:20" ht="18.5">
      <c r="A50" s="385" t="s">
        <v>1036</v>
      </c>
      <c r="B50" s="385"/>
      <c r="C50" s="386">
        <v>138</v>
      </c>
      <c r="D50" s="386"/>
      <c r="E50" s="386"/>
      <c r="F50" s="386">
        <v>135.30000000000001</v>
      </c>
      <c r="G50" s="386"/>
      <c r="H50" s="386"/>
      <c r="I50" s="387">
        <v>3.7999999999999999E-2</v>
      </c>
      <c r="J50" s="387"/>
      <c r="K50" s="387"/>
      <c r="L50" s="385" t="s">
        <v>1037</v>
      </c>
      <c r="M50" s="385"/>
      <c r="N50" s="385"/>
      <c r="O50" s="385"/>
      <c r="P50" s="385"/>
      <c r="Q50" s="385" t="s">
        <v>1038</v>
      </c>
      <c r="R50" s="3"/>
      <c r="S50" s="111"/>
      <c r="T50" s="1028"/>
    </row>
    <row r="51" spans="1:20" ht="15.75" customHeight="1">
      <c r="B51" s="291"/>
      <c r="C51" s="291"/>
      <c r="D51" s="291"/>
      <c r="E51" s="291"/>
      <c r="F51" s="291"/>
      <c r="G51" s="291"/>
      <c r="H51" s="291"/>
      <c r="I51" s="291"/>
      <c r="J51" s="291"/>
      <c r="K51" s="291"/>
      <c r="L51" s="291"/>
      <c r="M51" s="291"/>
      <c r="N51" s="291"/>
      <c r="O51" s="291"/>
      <c r="P51" s="291"/>
      <c r="Q51" s="291"/>
      <c r="R51" s="291"/>
      <c r="S51" s="111"/>
      <c r="T51" s="1028"/>
    </row>
    <row r="52" spans="1:20" ht="18.5">
      <c r="A52" s="389" t="s">
        <v>1039</v>
      </c>
      <c r="B52" s="292"/>
      <c r="C52" s="292"/>
      <c r="D52" s="292"/>
      <c r="E52" s="292"/>
      <c r="F52" s="292"/>
      <c r="G52" s="292"/>
      <c r="H52" s="292"/>
      <c r="I52" s="292"/>
      <c r="J52" s="292"/>
      <c r="K52" s="292"/>
      <c r="L52" s="292"/>
      <c r="M52" s="292"/>
      <c r="N52" s="292"/>
      <c r="O52" s="292"/>
      <c r="P52" s="292"/>
      <c r="Q52" s="292"/>
      <c r="R52" s="292"/>
      <c r="S52" s="111"/>
      <c r="T52" s="1024"/>
    </row>
    <row r="53" spans="1:20" ht="18.5">
      <c r="A53" s="1081" t="s">
        <v>1040</v>
      </c>
      <c r="S53" s="111"/>
    </row>
    <row r="55" spans="1:20" ht="26.5" customHeight="1">
      <c r="T55" s="1023"/>
    </row>
    <row r="56" spans="1:20" ht="26.5" customHeight="1">
      <c r="T56" s="1021"/>
    </row>
    <row r="57" spans="1:20" ht="26.5" customHeight="1"/>
    <row r="58" spans="1:20" ht="26.5" customHeight="1"/>
    <row r="59" spans="1:20" ht="26.5" customHeight="1"/>
    <row r="60" spans="1:20" ht="26.5" customHeight="1"/>
    <row r="61" spans="1:20" ht="26.5" customHeight="1"/>
    <row r="62" spans="1:20" ht="26.5" customHeight="1"/>
    <row r="63" spans="1:20" ht="26.5" customHeight="1"/>
    <row r="64" spans="1:20" ht="26.5" customHeight="1"/>
  </sheetData>
  <mergeCells count="1">
    <mergeCell ref="A3:Q3"/>
  </mergeCells>
  <hyperlinks>
    <hyperlink ref="B1" r:id="rId1" xr:uid="{C5B400D3-F947-4200-AB84-B99A9B3521AB}"/>
  </hyperlinks>
  <pageMargins left="0.7" right="0.7" top="0.75" bottom="0.75" header="0.3" footer="0.3"/>
  <pageSetup paperSize="9" orientation="portrait" r:id="rId2"/>
  <legacy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6C04-2983-43E6-A8D9-C3C68E433BB0}">
  <dimension ref="A1"/>
  <sheetViews>
    <sheetView workbookViewId="0"/>
  </sheetViews>
  <sheetFormatPr defaultRowHeight="14.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A91AB-CDA4-4C68-8D23-898920CEF198}">
  <sheetPr>
    <tabColor theme="5"/>
  </sheetPr>
  <dimension ref="A1"/>
  <sheetViews>
    <sheetView workbookViewId="0">
      <selection activeCell="C28" sqref="C28"/>
    </sheetView>
  </sheetViews>
  <sheetFormatPr defaultRowHeight="14.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9FB3F-EA37-43DC-9E2D-9F749909B708}">
  <dimension ref="A1:U59"/>
  <sheetViews>
    <sheetView topLeftCell="A2" zoomScale="85" zoomScaleNormal="85" workbookViewId="0">
      <pane xSplit="1" topLeftCell="B1" activePane="topRight" state="frozen"/>
      <selection activeCell="A4" sqref="A4"/>
      <selection pane="topRight" activeCell="L33" sqref="L33"/>
    </sheetView>
  </sheetViews>
  <sheetFormatPr defaultRowHeight="14.5"/>
  <cols>
    <col min="1" max="1" width="31.453125" bestFit="1" customWidth="1"/>
    <col min="2" max="2" width="20.1796875" customWidth="1"/>
    <col min="3" max="3" width="18" customWidth="1"/>
    <col min="4" max="4" width="15.453125" customWidth="1"/>
    <col min="5" max="5" width="14.1796875" customWidth="1"/>
    <col min="6" max="6" width="16.453125" customWidth="1"/>
    <col min="7" max="7" width="15.1796875" customWidth="1"/>
    <col min="8" max="9" width="15.1796875" bestFit="1" customWidth="1"/>
    <col min="10" max="13" width="10.453125" bestFit="1" customWidth="1"/>
    <col min="14" max="15" width="10.453125" customWidth="1"/>
    <col min="16" max="16" width="21.81640625" customWidth="1"/>
    <col min="17" max="17" width="20.81640625" customWidth="1"/>
    <col min="18" max="18" width="22.54296875" customWidth="1"/>
    <col min="19" max="19" width="19.453125" customWidth="1"/>
    <col min="20" max="20" width="10.453125" bestFit="1" customWidth="1"/>
  </cols>
  <sheetData>
    <row r="1" spans="1:19">
      <c r="A1" t="s">
        <v>177</v>
      </c>
      <c r="G1" s="702" t="s">
        <v>246</v>
      </c>
      <c r="H1" s="702"/>
      <c r="I1" s="702"/>
      <c r="J1" s="702"/>
      <c r="K1" s="1033" t="s">
        <v>311</v>
      </c>
      <c r="L1" s="43" t="s">
        <v>180</v>
      </c>
      <c r="M1" s="1033"/>
      <c r="N1" s="76" t="s">
        <v>181</v>
      </c>
    </row>
    <row r="2" spans="1:19">
      <c r="G2" s="1034" t="s">
        <v>262</v>
      </c>
      <c r="H2" s="702"/>
      <c r="I2" s="702"/>
      <c r="J2" s="702"/>
      <c r="K2" s="1032" t="s">
        <v>312</v>
      </c>
      <c r="L2" s="1112" t="s">
        <v>184</v>
      </c>
      <c r="M2" s="1033"/>
    </row>
    <row r="3" spans="1:19">
      <c r="A3" s="76" t="s">
        <v>185</v>
      </c>
      <c r="B3" s="76"/>
      <c r="C3" s="76"/>
      <c r="D3" s="76"/>
      <c r="E3" s="76"/>
      <c r="F3" s="76"/>
      <c r="G3" s="702"/>
      <c r="H3" s="702"/>
      <c r="I3" s="702"/>
      <c r="J3" s="702"/>
      <c r="K3" s="1033"/>
      <c r="L3" s="43"/>
      <c r="M3" s="1033"/>
    </row>
    <row r="4" spans="1:19">
      <c r="B4" t="s">
        <v>186</v>
      </c>
      <c r="G4" s="702"/>
      <c r="H4" s="702"/>
      <c r="I4" s="702"/>
      <c r="J4" s="702"/>
      <c r="K4" s="1033"/>
      <c r="L4" s="43"/>
      <c r="M4" s="1033"/>
    </row>
    <row r="5" spans="1:19">
      <c r="A5" s="76" t="s">
        <v>263</v>
      </c>
      <c r="B5" s="1014" t="s">
        <v>191</v>
      </c>
      <c r="C5" s="1014" t="s">
        <v>192</v>
      </c>
      <c r="D5" s="1014" t="s">
        <v>193</v>
      </c>
      <c r="E5" s="1014" t="s">
        <v>165</v>
      </c>
      <c r="F5" s="1014" t="s">
        <v>167</v>
      </c>
      <c r="G5" s="1014" t="s">
        <v>168</v>
      </c>
      <c r="H5" s="1014" t="s">
        <v>169</v>
      </c>
      <c r="I5" s="1014" t="s">
        <v>170</v>
      </c>
      <c r="J5" s="1014" t="s">
        <v>171</v>
      </c>
      <c r="K5" s="1014" t="s">
        <v>172</v>
      </c>
      <c r="L5" s="1014" t="s">
        <v>173</v>
      </c>
      <c r="M5" s="1014" t="s">
        <v>174</v>
      </c>
      <c r="N5" s="1014"/>
      <c r="P5" s="1761" t="s">
        <v>194</v>
      </c>
      <c r="Q5" s="1761"/>
      <c r="R5" s="1761" t="s">
        <v>195</v>
      </c>
      <c r="S5" s="1761"/>
    </row>
    <row r="6" spans="1:19">
      <c r="A6" s="76" t="s">
        <v>231</v>
      </c>
      <c r="B6" s="1015" t="s">
        <v>196</v>
      </c>
      <c r="C6" s="1015" t="s">
        <v>196</v>
      </c>
      <c r="D6" s="1015" t="s">
        <v>196</v>
      </c>
      <c r="E6" s="1015" t="s">
        <v>196</v>
      </c>
      <c r="F6" s="1015" t="s">
        <v>196</v>
      </c>
      <c r="G6" s="1015" t="s">
        <v>196</v>
      </c>
      <c r="H6" s="1015" t="s">
        <v>196</v>
      </c>
      <c r="I6" s="1015" t="s">
        <v>196</v>
      </c>
      <c r="J6" s="1015" t="s">
        <v>196</v>
      </c>
      <c r="K6" s="1015" t="s">
        <v>196</v>
      </c>
      <c r="L6" s="1015" t="s">
        <v>152</v>
      </c>
      <c r="M6" s="1015" t="s">
        <v>152</v>
      </c>
      <c r="N6" s="1015"/>
      <c r="P6" s="1038" t="s">
        <v>198</v>
      </c>
      <c r="Q6" s="1038" t="s">
        <v>199</v>
      </c>
      <c r="R6" s="1038" t="s">
        <v>200</v>
      </c>
      <c r="S6" s="1038" t="s">
        <v>201</v>
      </c>
    </row>
    <row r="7" spans="1:19">
      <c r="A7" s="3" t="s">
        <v>202</v>
      </c>
      <c r="B7" s="1016">
        <f t="shared" ref="B7:M7" si="0">B8+B13</f>
        <v>109.77430665328011</v>
      </c>
      <c r="C7" s="1016">
        <f t="shared" si="0"/>
        <v>113.344612</v>
      </c>
      <c r="D7" s="1016">
        <f t="shared" si="0"/>
        <v>117.247606</v>
      </c>
      <c r="E7" s="1016">
        <f t="shared" si="0"/>
        <v>121.556</v>
      </c>
      <c r="F7" s="1016">
        <f t="shared" si="0"/>
        <v>125.15600000000001</v>
      </c>
      <c r="G7" s="1016">
        <f t="shared" si="0"/>
        <v>128.39599999999999</v>
      </c>
      <c r="H7" s="1016">
        <f t="shared" si="0"/>
        <v>138.45499999999998</v>
      </c>
      <c r="I7" s="1016">
        <f t="shared" si="0"/>
        <v>190.61</v>
      </c>
      <c r="J7" s="1016">
        <f t="shared" si="0"/>
        <v>187.274</v>
      </c>
      <c r="K7" s="1016">
        <f t="shared" si="0"/>
        <v>181.69299999999998</v>
      </c>
      <c r="L7" s="1016">
        <f t="shared" si="0"/>
        <v>189.5</v>
      </c>
      <c r="M7" s="1016">
        <f t="shared" si="0"/>
        <v>189.83999999999997</v>
      </c>
      <c r="N7" s="1016">
        <f>L8-'Autumn 23'!L8</f>
        <v>3.9000000000000057</v>
      </c>
      <c r="O7" s="1156"/>
      <c r="P7" s="583">
        <f t="shared" ref="P7:Q13" si="1">L7/K7-1</f>
        <v>4.2968083525507517E-2</v>
      </c>
      <c r="Q7" s="583">
        <f t="shared" si="1"/>
        <v>1.7941952506594916E-3</v>
      </c>
      <c r="R7" s="51">
        <f t="shared" ref="R7:S13" si="2">L7-K7</f>
        <v>7.8070000000000164</v>
      </c>
      <c r="S7" s="51">
        <f t="shared" si="2"/>
        <v>0.33999999999997499</v>
      </c>
    </row>
    <row r="8" spans="1:19">
      <c r="A8" t="s">
        <v>204</v>
      </c>
      <c r="B8" s="1016">
        <v>104.40736065328011</v>
      </c>
      <c r="C8" s="1016">
        <v>108.373357</v>
      </c>
      <c r="D8" s="1016">
        <v>112.595276</v>
      </c>
      <c r="E8" s="1016">
        <v>117</v>
      </c>
      <c r="F8" s="1016">
        <v>119.91800000000001</v>
      </c>
      <c r="G8" s="1016">
        <v>122.455</v>
      </c>
      <c r="H8" s="1016">
        <v>131.44</v>
      </c>
      <c r="I8" s="1016">
        <v>177.90600000000001</v>
      </c>
      <c r="J8" s="1016">
        <v>178.155</v>
      </c>
      <c r="K8" s="1016">
        <v>171.797</v>
      </c>
      <c r="L8" s="1016">
        <v>178.5</v>
      </c>
      <c r="M8" s="1016">
        <v>177.2</v>
      </c>
      <c r="N8" t="s">
        <v>270</v>
      </c>
      <c r="O8" t="s">
        <v>271</v>
      </c>
      <c r="P8" s="583">
        <f t="shared" si="1"/>
        <v>3.901697934189774E-2</v>
      </c>
      <c r="Q8" s="583">
        <f t="shared" si="1"/>
        <v>-7.2829131652661916E-3</v>
      </c>
      <c r="R8" s="51">
        <f t="shared" si="2"/>
        <v>6.703000000000003</v>
      </c>
      <c r="S8" s="51">
        <f t="shared" si="2"/>
        <v>-1.3000000000000114</v>
      </c>
    </row>
    <row r="9" spans="1:19">
      <c r="A9" t="s">
        <v>129</v>
      </c>
      <c r="B9" s="1016">
        <v>93.695999999999998</v>
      </c>
      <c r="C9" s="1016">
        <v>97.097999999999999</v>
      </c>
      <c r="D9" s="1016">
        <v>100.572</v>
      </c>
      <c r="E9" s="1016">
        <v>105.735</v>
      </c>
      <c r="F9" s="1016">
        <v>109.605</v>
      </c>
      <c r="G9" s="1016">
        <v>112.42700000000001</v>
      </c>
      <c r="H9" s="1016">
        <v>121.70699999999999</v>
      </c>
      <c r="I9" s="1016">
        <v>141.02600000000001</v>
      </c>
      <c r="J9" s="1016">
        <v>146.68100000000001</v>
      </c>
      <c r="K9" s="1016">
        <v>155.1</v>
      </c>
      <c r="L9" s="1016">
        <f>'Autumn 23'!L9+'Supps 2024'!N7</f>
        <v>165</v>
      </c>
      <c r="M9" s="1016">
        <v>162.5</v>
      </c>
      <c r="N9" s="1016"/>
      <c r="P9" s="583">
        <f t="shared" si="1"/>
        <v>6.3829787234042534E-2</v>
      </c>
      <c r="Q9" s="583">
        <f t="shared" si="1"/>
        <v>-1.5151515151515138E-2</v>
      </c>
      <c r="R9" s="51">
        <f t="shared" si="2"/>
        <v>9.9000000000000057</v>
      </c>
      <c r="S9" s="51">
        <f t="shared" si="2"/>
        <v>-2.5</v>
      </c>
    </row>
    <row r="10" spans="1:19">
      <c r="A10" t="s">
        <v>232</v>
      </c>
      <c r="B10" s="1016">
        <v>0</v>
      </c>
      <c r="C10" s="1016">
        <v>0</v>
      </c>
      <c r="D10" s="1016">
        <v>0</v>
      </c>
      <c r="E10" s="1016">
        <v>0</v>
      </c>
      <c r="F10" s="1016">
        <v>0</v>
      </c>
      <c r="G10" s="1016">
        <v>0</v>
      </c>
      <c r="H10" s="1016">
        <v>2.851</v>
      </c>
      <c r="I10" s="1016">
        <v>2.851</v>
      </c>
      <c r="J10" s="1016">
        <v>2.851</v>
      </c>
      <c r="K10" s="1016">
        <v>2.851</v>
      </c>
      <c r="L10" s="1016">
        <v>2.851</v>
      </c>
      <c r="M10" s="1016">
        <v>2.851</v>
      </c>
      <c r="N10" s="1016" t="s">
        <v>313</v>
      </c>
      <c r="O10" s="1016"/>
      <c r="P10" s="583">
        <f t="shared" si="1"/>
        <v>0</v>
      </c>
      <c r="Q10" s="583">
        <f t="shared" si="1"/>
        <v>0</v>
      </c>
      <c r="R10" s="51">
        <f t="shared" si="2"/>
        <v>0</v>
      </c>
      <c r="S10" s="51">
        <f t="shared" si="2"/>
        <v>0</v>
      </c>
    </row>
    <row r="11" spans="1:19">
      <c r="A11" t="s">
        <v>212</v>
      </c>
      <c r="B11" s="1016">
        <f t="shared" ref="B11:M11" si="3">B9-B10</f>
        <v>93.695999999999998</v>
      </c>
      <c r="C11" s="1016">
        <f t="shared" si="3"/>
        <v>97.097999999999999</v>
      </c>
      <c r="D11" s="1016">
        <f t="shared" si="3"/>
        <v>100.572</v>
      </c>
      <c r="E11" s="1016">
        <f t="shared" si="3"/>
        <v>105.735</v>
      </c>
      <c r="F11" s="1016">
        <f t="shared" si="3"/>
        <v>109.605</v>
      </c>
      <c r="G11" s="1016">
        <f t="shared" si="3"/>
        <v>112.42700000000001</v>
      </c>
      <c r="H11" s="1016">
        <f t="shared" si="3"/>
        <v>118.85599999999999</v>
      </c>
      <c r="I11" s="1016">
        <f t="shared" si="3"/>
        <v>138.17500000000001</v>
      </c>
      <c r="J11" s="1016">
        <f t="shared" si="3"/>
        <v>143.83000000000001</v>
      </c>
      <c r="K11" s="1016">
        <f t="shared" si="3"/>
        <v>152.249</v>
      </c>
      <c r="L11" s="1016">
        <f t="shared" si="3"/>
        <v>162.149</v>
      </c>
      <c r="M11" s="1016">
        <f t="shared" si="3"/>
        <v>159.649</v>
      </c>
      <c r="N11" s="1016"/>
      <c r="O11" s="1016"/>
      <c r="P11" s="583">
        <f t="shared" si="1"/>
        <v>6.502505763584665E-2</v>
      </c>
      <c r="Q11" s="583">
        <f t="shared" si="1"/>
        <v>-1.5417918087684779E-2</v>
      </c>
      <c r="R11" s="51">
        <f t="shared" si="2"/>
        <v>9.9000000000000057</v>
      </c>
      <c r="S11" s="51">
        <f t="shared" si="2"/>
        <v>-2.5</v>
      </c>
    </row>
    <row r="12" spans="1:19">
      <c r="A12" t="s">
        <v>234</v>
      </c>
      <c r="B12" s="1016">
        <f t="shared" ref="B12:M12" si="4">B8-B9</f>
        <v>10.71136065328011</v>
      </c>
      <c r="C12" s="1016">
        <f t="shared" si="4"/>
        <v>11.275357</v>
      </c>
      <c r="D12" s="1016">
        <f t="shared" si="4"/>
        <v>12.023275999999996</v>
      </c>
      <c r="E12" s="1016">
        <f t="shared" si="4"/>
        <v>11.265000000000001</v>
      </c>
      <c r="F12" s="1016">
        <f t="shared" si="4"/>
        <v>10.313000000000002</v>
      </c>
      <c r="G12" s="1016">
        <f t="shared" si="4"/>
        <v>10.027999999999992</v>
      </c>
      <c r="H12" s="1016">
        <f t="shared" si="4"/>
        <v>9.7330000000000041</v>
      </c>
      <c r="I12" s="1016">
        <f t="shared" si="4"/>
        <v>36.879999999999995</v>
      </c>
      <c r="J12" s="1016">
        <f t="shared" si="4"/>
        <v>31.47399999999999</v>
      </c>
      <c r="K12" s="1016">
        <f t="shared" si="4"/>
        <v>16.697000000000003</v>
      </c>
      <c r="L12" s="1016">
        <f t="shared" si="4"/>
        <v>13.5</v>
      </c>
      <c r="M12" s="1016">
        <f t="shared" si="4"/>
        <v>14.699999999999989</v>
      </c>
      <c r="N12" s="1016">
        <f>L13-'Autumn 23'!L13</f>
        <v>-1.0879999999999992</v>
      </c>
      <c r="O12" s="1016"/>
      <c r="P12" s="583">
        <f t="shared" si="1"/>
        <v>-0.19147152183026905</v>
      </c>
      <c r="Q12" s="583">
        <f t="shared" si="1"/>
        <v>8.8888888888888129E-2</v>
      </c>
      <c r="R12" s="51">
        <f t="shared" si="2"/>
        <v>-3.1970000000000027</v>
      </c>
      <c r="S12" s="51">
        <f t="shared" si="2"/>
        <v>1.1999999999999886</v>
      </c>
    </row>
    <row r="13" spans="1:19">
      <c r="A13" t="s">
        <v>214</v>
      </c>
      <c r="B13" s="1016">
        <v>5.3669460000000004</v>
      </c>
      <c r="C13" s="1016">
        <v>4.9712550000000002</v>
      </c>
      <c r="D13" s="1016">
        <v>4.6523300000000001</v>
      </c>
      <c r="E13" s="1016">
        <v>4.556</v>
      </c>
      <c r="F13" s="1016">
        <v>5.2380000000000004</v>
      </c>
      <c r="G13" s="1016">
        <v>5.9409999999999998</v>
      </c>
      <c r="H13" s="1016">
        <v>7.0149999999999997</v>
      </c>
      <c r="I13" s="1016">
        <v>12.704000000000001</v>
      </c>
      <c r="J13" s="1016">
        <v>9.1189999999999998</v>
      </c>
      <c r="K13" s="1016">
        <v>9.8960000000000008</v>
      </c>
      <c r="L13" s="1016">
        <v>11</v>
      </c>
      <c r="M13" s="1016">
        <v>12.64</v>
      </c>
      <c r="N13" t="s">
        <v>272</v>
      </c>
      <c r="O13" t="s">
        <v>273</v>
      </c>
      <c r="P13" s="583">
        <f t="shared" si="1"/>
        <v>0.11156022635408247</v>
      </c>
      <c r="Q13" s="583">
        <f t="shared" si="1"/>
        <v>0.14909090909090916</v>
      </c>
      <c r="R13" s="51">
        <f t="shared" si="2"/>
        <v>1.1039999999999992</v>
      </c>
      <c r="S13" s="51">
        <f t="shared" si="2"/>
        <v>1.6400000000000006</v>
      </c>
    </row>
    <row r="14" spans="1:19">
      <c r="G14" s="1016"/>
      <c r="H14" s="1016"/>
      <c r="I14" s="1016"/>
      <c r="J14" s="1016"/>
      <c r="K14" s="1016"/>
      <c r="L14" s="1016"/>
      <c r="M14" s="1016"/>
      <c r="N14" s="1016"/>
      <c r="O14" s="1016"/>
    </row>
    <row r="15" spans="1:19">
      <c r="A15" s="627" t="s">
        <v>225</v>
      </c>
      <c r="B15" s="1036">
        <f t="shared" ref="B15:M15" si="5">B9/B7</f>
        <v>0.85353306121018724</v>
      </c>
      <c r="C15" s="1036">
        <f t="shared" si="5"/>
        <v>0.85666180585628549</v>
      </c>
      <c r="D15" s="1036">
        <f t="shared" si="5"/>
        <v>0.85777444359930044</v>
      </c>
      <c r="E15" s="1036">
        <f t="shared" si="5"/>
        <v>0.86984599690677544</v>
      </c>
      <c r="F15" s="1036">
        <f t="shared" si="5"/>
        <v>0.8757470676595609</v>
      </c>
      <c r="G15" s="1036">
        <f t="shared" si="5"/>
        <v>0.87562696657216754</v>
      </c>
      <c r="H15" s="1036">
        <f t="shared" si="5"/>
        <v>0.87903651005741945</v>
      </c>
      <c r="I15" s="1036">
        <f t="shared" si="5"/>
        <v>0.73986674361261218</v>
      </c>
      <c r="J15" s="1036">
        <f t="shared" si="5"/>
        <v>0.78324273524354693</v>
      </c>
      <c r="K15" s="1036">
        <f t="shared" si="5"/>
        <v>0.85363772957681372</v>
      </c>
      <c r="L15" s="1036">
        <f t="shared" si="5"/>
        <v>0.87071240105540892</v>
      </c>
      <c r="M15" s="1036">
        <f t="shared" si="5"/>
        <v>0.8559839865149601</v>
      </c>
      <c r="N15" s="1036"/>
      <c r="O15" s="1016"/>
    </row>
    <row r="16" spans="1:19">
      <c r="G16" s="1016"/>
      <c r="H16" s="1016"/>
      <c r="I16" s="1016"/>
      <c r="J16" s="1016"/>
      <c r="K16" s="1016"/>
      <c r="L16" s="1016"/>
      <c r="M16" s="1016"/>
      <c r="N16" s="1016"/>
      <c r="O16" s="1016"/>
    </row>
    <row r="17" spans="1:19">
      <c r="B17" s="1017" t="s">
        <v>191</v>
      </c>
      <c r="C17" s="1017" t="s">
        <v>192</v>
      </c>
      <c r="D17" s="1017" t="s">
        <v>193</v>
      </c>
      <c r="E17" s="1017" t="s">
        <v>165</v>
      </c>
      <c r="F17" s="1017" t="s">
        <v>167</v>
      </c>
      <c r="G17" s="1017" t="s">
        <v>168</v>
      </c>
      <c r="H17" s="1017" t="s">
        <v>169</v>
      </c>
      <c r="I17" s="1017" t="s">
        <v>170</v>
      </c>
      <c r="J17" s="1017" t="s">
        <v>171</v>
      </c>
      <c r="K17" s="1017" t="s">
        <v>172</v>
      </c>
      <c r="L17" s="1017" t="s">
        <v>173</v>
      </c>
      <c r="M17" s="1017" t="s">
        <v>174</v>
      </c>
      <c r="N17" s="1017"/>
    </row>
    <row r="18" spans="1:19">
      <c r="A18" s="76" t="s">
        <v>226</v>
      </c>
      <c r="B18" s="1016">
        <v>91.025000000000006</v>
      </c>
      <c r="C18" s="1016">
        <v>92.125</v>
      </c>
      <c r="D18" s="1016">
        <v>92.8</v>
      </c>
      <c r="E18" s="1016">
        <v>94.9</v>
      </c>
      <c r="F18" s="1016">
        <v>96.375</v>
      </c>
      <c r="G18" s="1016">
        <v>98.4</v>
      </c>
      <c r="H18" s="1016">
        <v>100.72499999999999</v>
      </c>
      <c r="I18" s="1016">
        <v>106.19999999999999</v>
      </c>
      <c r="J18" s="1016">
        <v>105.375</v>
      </c>
      <c r="K18" s="1016">
        <v>112.4</v>
      </c>
      <c r="L18" s="1016">
        <v>119.2549027044208</v>
      </c>
      <c r="M18" s="1016">
        <v>121.25506271536932</v>
      </c>
      <c r="N18" s="1016" t="s">
        <v>264</v>
      </c>
    </row>
    <row r="19" spans="1:19">
      <c r="A19" t="s">
        <v>228</v>
      </c>
      <c r="L19" s="98"/>
    </row>
    <row r="20" spans="1:19">
      <c r="L20" s="51"/>
    </row>
    <row r="21" spans="1:19">
      <c r="A21" s="76" t="s">
        <v>265</v>
      </c>
      <c r="B21" s="1018" t="s">
        <v>191</v>
      </c>
      <c r="C21" s="1018" t="s">
        <v>192</v>
      </c>
      <c r="D21" s="1018" t="s">
        <v>193</v>
      </c>
      <c r="E21" s="1018" t="s">
        <v>165</v>
      </c>
      <c r="F21" s="1018" t="s">
        <v>167</v>
      </c>
      <c r="G21" s="1018" t="s">
        <v>168</v>
      </c>
      <c r="H21" s="1018" t="s">
        <v>169</v>
      </c>
      <c r="I21" s="1018" t="s">
        <v>170</v>
      </c>
      <c r="J21" s="1018" t="s">
        <v>171</v>
      </c>
      <c r="K21" s="1018" t="s">
        <v>172</v>
      </c>
      <c r="L21" s="1018" t="s">
        <v>173</v>
      </c>
      <c r="M21" s="1018" t="s">
        <v>174</v>
      </c>
      <c r="N21" s="1018"/>
      <c r="P21" s="1037" t="s">
        <v>194</v>
      </c>
      <c r="Q21" s="1037"/>
      <c r="R21" s="1037" t="s">
        <v>195</v>
      </c>
      <c r="S21" s="1037"/>
    </row>
    <row r="22" spans="1:19">
      <c r="A22" s="76" t="s">
        <v>231</v>
      </c>
      <c r="B22" s="1018" t="s">
        <v>196</v>
      </c>
      <c r="C22" s="1018" t="s">
        <v>196</v>
      </c>
      <c r="D22" s="1018" t="s">
        <v>196</v>
      </c>
      <c r="E22" s="1018" t="s">
        <v>196</v>
      </c>
      <c r="F22" s="1018" t="s">
        <v>196</v>
      </c>
      <c r="G22" s="1019" t="s">
        <v>196</v>
      </c>
      <c r="H22" s="1019" t="s">
        <v>196</v>
      </c>
      <c r="I22" s="1019" t="s">
        <v>196</v>
      </c>
      <c r="J22" s="1019" t="s">
        <v>196</v>
      </c>
      <c r="K22" s="1019" t="s">
        <v>196</v>
      </c>
      <c r="L22" s="1019" t="s">
        <v>152</v>
      </c>
      <c r="M22" s="1019" t="s">
        <v>152</v>
      </c>
      <c r="N22" s="1019"/>
      <c r="P22" s="1038" t="s">
        <v>198</v>
      </c>
      <c r="Q22" s="1038" t="s">
        <v>199</v>
      </c>
      <c r="R22" s="1038" t="s">
        <v>200</v>
      </c>
      <c r="S22" s="1038" t="s">
        <v>201</v>
      </c>
    </row>
    <row r="23" spans="1:19">
      <c r="A23" s="3" t="s">
        <v>202</v>
      </c>
      <c r="B23" s="1016">
        <f t="shared" ref="B23:M23" si="6">(B7/B$18)*$L$18</f>
        <v>143.81899763122408</v>
      </c>
      <c r="C23" s="1016">
        <f t="shared" si="6"/>
        <v>146.72348088065485</v>
      </c>
      <c r="D23" s="1016">
        <f t="shared" si="6"/>
        <v>150.67189489069253</v>
      </c>
      <c r="E23" s="1016">
        <f t="shared" si="6"/>
        <v>152.75183301515884</v>
      </c>
      <c r="F23" s="1016">
        <f t="shared" si="6"/>
        <v>154.86865476393763</v>
      </c>
      <c r="G23" s="1016">
        <f t="shared" si="6"/>
        <v>155.60825698817897</v>
      </c>
      <c r="H23" s="1016">
        <f t="shared" si="6"/>
        <v>163.92591267252996</v>
      </c>
      <c r="I23" s="1016">
        <f t="shared" si="6"/>
        <v>214.041214731541</v>
      </c>
      <c r="J23" s="1016">
        <f t="shared" si="6"/>
        <v>211.94156725093904</v>
      </c>
      <c r="K23" s="1016">
        <f t="shared" si="6"/>
        <v>192.77385264301003</v>
      </c>
      <c r="L23" s="1016">
        <f t="shared" si="6"/>
        <v>189.5</v>
      </c>
      <c r="M23" s="1016">
        <f t="shared" si="6"/>
        <v>186.70849878285253</v>
      </c>
      <c r="N23" s="590">
        <f t="shared" ref="N23:N29" si="7">M23/L23-1</f>
        <v>-1.4730877135342824E-2</v>
      </c>
      <c r="O23" s="1016"/>
      <c r="P23" s="583">
        <f t="shared" ref="P23:Q29" si="8">L23/K23-1</f>
        <v>-1.6982866701703236E-2</v>
      </c>
      <c r="Q23" s="583">
        <f t="shared" si="8"/>
        <v>-1.4730877135342824E-2</v>
      </c>
      <c r="R23" s="51">
        <f t="shared" ref="R23:S29" si="9">L23-K23</f>
        <v>-3.2738526430100308</v>
      </c>
      <c r="S23" s="51">
        <f t="shared" si="9"/>
        <v>-2.79150121714747</v>
      </c>
    </row>
    <row r="24" spans="1:19">
      <c r="A24" t="s">
        <v>204</v>
      </c>
      <c r="B24" s="1016">
        <f t="shared" ref="B24:M24" si="10">(B8/B$18)*$L$18</f>
        <v>136.78758183281838</v>
      </c>
      <c r="C24" s="1016">
        <f t="shared" si="10"/>
        <v>140.28824037760066</v>
      </c>
      <c r="D24" s="1016">
        <f t="shared" si="10"/>
        <v>144.69330478833413</v>
      </c>
      <c r="E24" s="1016">
        <f t="shared" si="10"/>
        <v>147.0265923753133</v>
      </c>
      <c r="F24" s="1016">
        <f t="shared" si="10"/>
        <v>148.38712760060943</v>
      </c>
      <c r="G24" s="1016">
        <f t="shared" si="10"/>
        <v>148.40812104339275</v>
      </c>
      <c r="H24" s="1016">
        <f t="shared" si="10"/>
        <v>155.62039624193667</v>
      </c>
      <c r="I24" s="1016">
        <f t="shared" si="10"/>
        <v>199.77554350784075</v>
      </c>
      <c r="J24" s="1016">
        <f t="shared" si="10"/>
        <v>201.6214205580649</v>
      </c>
      <c r="K24" s="1016">
        <f t="shared" si="10"/>
        <v>182.27432846896244</v>
      </c>
      <c r="L24" s="1016">
        <f t="shared" si="10"/>
        <v>178.5</v>
      </c>
      <c r="M24" s="1016">
        <f t="shared" si="10"/>
        <v>174.2770016030419</v>
      </c>
      <c r="N24" s="590">
        <f t="shared" si="7"/>
        <v>-2.365825432469526E-2</v>
      </c>
      <c r="O24" s="1016"/>
      <c r="P24" s="583">
        <f t="shared" si="8"/>
        <v>-2.0706857080014629E-2</v>
      </c>
      <c r="Q24" s="583">
        <f t="shared" si="8"/>
        <v>-2.365825432469526E-2</v>
      </c>
      <c r="R24" s="51">
        <f t="shared" si="9"/>
        <v>-3.7743284689624375</v>
      </c>
      <c r="S24" s="51">
        <f t="shared" si="9"/>
        <v>-4.2229983969581042</v>
      </c>
    </row>
    <row r="25" spans="1:19">
      <c r="A25" t="s">
        <v>129</v>
      </c>
      <c r="B25" s="1016">
        <f t="shared" ref="B25:M25" si="11">(B9/B$18)*$L$18</f>
        <v>122.75426930835937</v>
      </c>
      <c r="C25" s="1016">
        <f t="shared" si="11"/>
        <v>125.69240209274194</v>
      </c>
      <c r="D25" s="1016">
        <f t="shared" si="11"/>
        <v>129.24250080591605</v>
      </c>
      <c r="E25" s="1016">
        <f t="shared" si="11"/>
        <v>132.87057046840815</v>
      </c>
      <c r="F25" s="1016">
        <f t="shared" si="11"/>
        <v>135.62577028189929</v>
      </c>
      <c r="G25" s="1016">
        <f t="shared" si="11"/>
        <v>136.25478604014143</v>
      </c>
      <c r="H25" s="1016">
        <f t="shared" si="11"/>
        <v>144.09686218363805</v>
      </c>
      <c r="I25" s="1016">
        <f t="shared" si="11"/>
        <v>158.3619765423131</v>
      </c>
      <c r="J25" s="1016">
        <f t="shared" si="11"/>
        <v>166.00169284542966</v>
      </c>
      <c r="K25" s="1016">
        <f t="shared" si="11"/>
        <v>164.5590338919543</v>
      </c>
      <c r="L25" s="1016">
        <f t="shared" si="11"/>
        <v>165</v>
      </c>
      <c r="M25" s="1016">
        <f t="shared" si="11"/>
        <v>159.8194851043697</v>
      </c>
      <c r="N25" s="590">
        <f t="shared" si="7"/>
        <v>-3.1397059973516939E-2</v>
      </c>
      <c r="O25" s="1016"/>
      <c r="P25" s="583">
        <f t="shared" si="8"/>
        <v>2.6796833793714114E-3</v>
      </c>
      <c r="Q25" s="583">
        <f t="shared" si="8"/>
        <v>-3.1397059973516939E-2</v>
      </c>
      <c r="R25" s="51">
        <f t="shared" si="9"/>
        <v>0.44096610804569991</v>
      </c>
      <c r="S25" s="51">
        <f t="shared" si="9"/>
        <v>-5.1805148956302958</v>
      </c>
    </row>
    <row r="26" spans="1:19">
      <c r="A26" t="s">
        <v>232</v>
      </c>
      <c r="B26" s="1016">
        <f t="shared" ref="B26:M26" si="12">(B10/B$18)*$L$18</f>
        <v>0</v>
      </c>
      <c r="C26" s="1016">
        <f t="shared" si="12"/>
        <v>0</v>
      </c>
      <c r="D26" s="1016">
        <f t="shared" si="12"/>
        <v>0</v>
      </c>
      <c r="E26" s="1016">
        <f t="shared" si="12"/>
        <v>0</v>
      </c>
      <c r="F26" s="1016">
        <f t="shared" si="12"/>
        <v>0</v>
      </c>
      <c r="G26" s="1016">
        <f t="shared" si="12"/>
        <v>0</v>
      </c>
      <c r="H26" s="1016">
        <f t="shared" si="12"/>
        <v>3.3754850097821172</v>
      </c>
      <c r="I26" s="1016">
        <f t="shared" si="12"/>
        <v>3.2014663616789427</v>
      </c>
      <c r="J26" s="1016">
        <f t="shared" si="12"/>
        <v>3.2265312228735819</v>
      </c>
      <c r="K26" s="1016">
        <f t="shared" si="12"/>
        <v>3.024873021443983</v>
      </c>
      <c r="L26" s="1016">
        <f t="shared" si="12"/>
        <v>2.851</v>
      </c>
      <c r="M26" s="1016">
        <f t="shared" si="12"/>
        <v>2.8039713971234339</v>
      </c>
      <c r="N26" s="590">
        <f t="shared" si="7"/>
        <v>-1.6495476280801835E-2</v>
      </c>
      <c r="O26" s="1016"/>
      <c r="P26" s="583">
        <f t="shared" si="8"/>
        <v>-5.7481097623390931E-2</v>
      </c>
      <c r="Q26" s="583">
        <f t="shared" si="8"/>
        <v>-1.6495476280801835E-2</v>
      </c>
      <c r="R26" s="51">
        <f t="shared" si="9"/>
        <v>-0.17387302144398298</v>
      </c>
      <c r="S26" s="51">
        <f t="shared" si="9"/>
        <v>-4.7028602876566072E-2</v>
      </c>
    </row>
    <row r="27" spans="1:19">
      <c r="A27" t="s">
        <v>212</v>
      </c>
      <c r="B27" s="1016">
        <f t="shared" ref="B27:M27" si="13">(B11/B$18)*$L$18</f>
        <v>122.75426930835937</v>
      </c>
      <c r="C27" s="1016">
        <f t="shared" si="13"/>
        <v>125.69240209274194</v>
      </c>
      <c r="D27" s="1016">
        <f t="shared" si="13"/>
        <v>129.24250080591605</v>
      </c>
      <c r="E27" s="1016">
        <f t="shared" si="13"/>
        <v>132.87057046840815</v>
      </c>
      <c r="F27" s="1016">
        <f t="shared" si="13"/>
        <v>135.62577028189929</v>
      </c>
      <c r="G27" s="1016">
        <f t="shared" si="13"/>
        <v>136.25478604014143</v>
      </c>
      <c r="H27" s="1016">
        <f t="shared" si="13"/>
        <v>140.72137717385596</v>
      </c>
      <c r="I27" s="1016">
        <f t="shared" si="13"/>
        <v>155.16051018063413</v>
      </c>
      <c r="J27" s="1016">
        <f t="shared" si="13"/>
        <v>162.77516162255606</v>
      </c>
      <c r="K27" s="1016">
        <f t="shared" si="13"/>
        <v>161.53416087051031</v>
      </c>
      <c r="L27" s="1016">
        <f t="shared" si="13"/>
        <v>162.149</v>
      </c>
      <c r="M27" s="1016">
        <f t="shared" si="13"/>
        <v>157.01551370724627</v>
      </c>
      <c r="N27" s="590">
        <f>M27/L27-1</f>
        <v>-3.1659068466371898E-2</v>
      </c>
      <c r="O27" s="1016"/>
      <c r="P27" s="583">
        <f t="shared" si="8"/>
        <v>3.8062483265230984E-3</v>
      </c>
      <c r="Q27" s="583">
        <f t="shared" si="8"/>
        <v>-3.1659068466371898E-2</v>
      </c>
      <c r="R27" s="51">
        <f t="shared" si="9"/>
        <v>0.61483912948969532</v>
      </c>
      <c r="S27" s="51">
        <f t="shared" si="9"/>
        <v>-5.1334862927537301</v>
      </c>
    </row>
    <row r="28" spans="1:19">
      <c r="A28" t="s">
        <v>234</v>
      </c>
      <c r="B28" s="1016">
        <f t="shared" ref="B28:M28" si="14">(B12/B$18)*$L$18</f>
        <v>14.033312524459003</v>
      </c>
      <c r="C28" s="1016">
        <f t="shared" si="14"/>
        <v>14.595838284858724</v>
      </c>
      <c r="D28" s="1016">
        <f t="shared" si="14"/>
        <v>15.450803982418073</v>
      </c>
      <c r="E28" s="1016">
        <f t="shared" si="14"/>
        <v>14.156021906905167</v>
      </c>
      <c r="F28" s="1016">
        <f t="shared" si="14"/>
        <v>12.761357318710163</v>
      </c>
      <c r="G28" s="1016">
        <f t="shared" si="14"/>
        <v>12.153335003251328</v>
      </c>
      <c r="H28" s="1016">
        <f t="shared" si="14"/>
        <v>11.523534058298617</v>
      </c>
      <c r="I28" s="1016">
        <f t="shared" si="14"/>
        <v>41.413566965527671</v>
      </c>
      <c r="J28" s="1016">
        <f t="shared" si="14"/>
        <v>35.619727712635246</v>
      </c>
      <c r="K28" s="1016">
        <f t="shared" si="14"/>
        <v>17.715294577008134</v>
      </c>
      <c r="L28" s="1016">
        <f t="shared" si="14"/>
        <v>13.5</v>
      </c>
      <c r="M28" s="1016">
        <f t="shared" si="14"/>
        <v>14.4575164986722</v>
      </c>
      <c r="N28" s="590">
        <f t="shared" si="7"/>
        <v>7.092714804979261E-2</v>
      </c>
      <c r="O28" s="1016"/>
      <c r="P28" s="583">
        <f t="shared" si="8"/>
        <v>-0.23794662621523499</v>
      </c>
      <c r="Q28" s="583">
        <f t="shared" si="8"/>
        <v>7.092714804979261E-2</v>
      </c>
      <c r="R28" s="51">
        <f t="shared" si="9"/>
        <v>-4.2152945770081338</v>
      </c>
      <c r="S28" s="51">
        <f t="shared" si="9"/>
        <v>0.95751649867220046</v>
      </c>
    </row>
    <row r="29" spans="1:19">
      <c r="A29" t="s">
        <v>214</v>
      </c>
      <c r="B29" s="1016">
        <f t="shared" ref="B29:M29" si="15">(B13/B$18)*$L$18</f>
        <v>7.0314157984057166</v>
      </c>
      <c r="C29" s="1016">
        <f t="shared" si="15"/>
        <v>6.4352405030541702</v>
      </c>
      <c r="D29" s="1016">
        <f t="shared" si="15"/>
        <v>5.9785901023583836</v>
      </c>
      <c r="E29" s="1016">
        <f t="shared" si="15"/>
        <v>5.7252406398455333</v>
      </c>
      <c r="F29" s="1016">
        <f t="shared" si="15"/>
        <v>6.4815271633282094</v>
      </c>
      <c r="G29" s="1016">
        <f t="shared" si="15"/>
        <v>7.2001359447862185</v>
      </c>
      <c r="H29" s="1016">
        <f t="shared" si="15"/>
        <v>8.3055164305933165</v>
      </c>
      <c r="I29" s="1016">
        <f t="shared" si="15"/>
        <v>14.265671223700208</v>
      </c>
      <c r="J29" s="1016">
        <f t="shared" si="15"/>
        <v>10.320146692874147</v>
      </c>
      <c r="K29" s="1016">
        <f t="shared" si="15"/>
        <v>10.499524174047583</v>
      </c>
      <c r="L29" s="1016">
        <f t="shared" si="15"/>
        <v>11</v>
      </c>
      <c r="M29" s="1016">
        <f t="shared" si="15"/>
        <v>12.431497179810664</v>
      </c>
      <c r="N29" s="590">
        <f t="shared" si="7"/>
        <v>0.13013610725551494</v>
      </c>
      <c r="O29" s="1016"/>
      <c r="P29" s="583">
        <f t="shared" si="8"/>
        <v>4.7666524468744864E-2</v>
      </c>
      <c r="Q29" s="583">
        <f t="shared" si="8"/>
        <v>0.13013610725551494</v>
      </c>
      <c r="R29" s="51">
        <f t="shared" si="9"/>
        <v>0.50047582595241735</v>
      </c>
      <c r="S29" s="51">
        <f t="shared" si="9"/>
        <v>1.4314971798106644</v>
      </c>
    </row>
    <row r="30" spans="1:19">
      <c r="G30" s="1016"/>
      <c r="L30" s="1016"/>
      <c r="P30" s="583" t="e">
        <f>L30/L32-1</f>
        <v>#DIV/0!</v>
      </c>
      <c r="Q30" s="583"/>
      <c r="R30" s="51">
        <f>L30-L32</f>
        <v>0</v>
      </c>
      <c r="S30" s="51"/>
    </row>
    <row r="31" spans="1:19" ht="20.9" customHeight="1">
      <c r="B31" s="1762" t="s">
        <v>235</v>
      </c>
      <c r="C31" s="1762"/>
      <c r="D31" s="1762"/>
      <c r="E31" s="1762"/>
      <c r="F31" s="1762"/>
      <c r="G31" s="1762"/>
      <c r="L31" s="51"/>
      <c r="P31" s="78"/>
      <c r="Q31" s="51"/>
    </row>
    <row r="32" spans="1:19">
      <c r="A32" s="76" t="s">
        <v>231</v>
      </c>
      <c r="B32" s="1019" t="s">
        <v>237</v>
      </c>
      <c r="C32" s="1019" t="s">
        <v>238</v>
      </c>
      <c r="D32" s="1019" t="s">
        <v>239</v>
      </c>
      <c r="E32" s="1019" t="s">
        <v>240</v>
      </c>
      <c r="F32" s="1019" t="s">
        <v>241</v>
      </c>
      <c r="G32" s="1019" t="s">
        <v>242</v>
      </c>
      <c r="L32" s="51"/>
      <c r="Q32" s="51"/>
    </row>
    <row r="33" spans="1:21">
      <c r="A33" s="3" t="s">
        <v>202</v>
      </c>
      <c r="B33" s="583">
        <f>(K23/G23)^(1/COUNTA(H23:K23))-1</f>
        <v>5.5003431493993116E-2</v>
      </c>
      <c r="C33" s="583">
        <f>(L23/G23)^(1/COUNTA(H23:L23))-1</f>
        <v>4.0196325380410958E-2</v>
      </c>
      <c r="D33" s="583">
        <f>(M23/G23)^(1/COUNTA(H23:M23))-1</f>
        <v>3.0833621118887988E-2</v>
      </c>
      <c r="E33" s="1022">
        <f>(K23/H23)^(1/COUNTA(I23:K23))-1</f>
        <v>5.5520904466256127E-2</v>
      </c>
      <c r="F33" s="583">
        <f>(L23/H23)^(1/COUNTA(I23:L23))-1</f>
        <v>3.6908419775555368E-2</v>
      </c>
      <c r="G33" s="1022">
        <f>(M23/H23)^(1/COUNTA(I23:M23))-1</f>
        <v>2.6368454126665775E-2</v>
      </c>
      <c r="Q33" s="51"/>
    </row>
    <row r="34" spans="1:21">
      <c r="A34" t="s">
        <v>204</v>
      </c>
      <c r="B34" s="583">
        <f>(K24/G24)^(1/COUNTA(H24:K24))-1</f>
        <v>5.2729904782316872E-2</v>
      </c>
      <c r="C34" s="583">
        <f>(L24/G24)^(1/COUNTA(H24:L24))-1</f>
        <v>3.7614687927779222E-2</v>
      </c>
      <c r="D34" s="583">
        <f>(M24/G24)^(1/COUNTA(H24:M24))-1</f>
        <v>2.7141797013217284E-2</v>
      </c>
      <c r="E34" s="583">
        <f>(K24/H24)^(1/COUNTA(I24:K24))-1</f>
        <v>5.4110962796854567E-2</v>
      </c>
      <c r="F34" s="583">
        <f>(L24/H24)^(1/COUNTA(I24:L24))-1</f>
        <v>3.488698674508095E-2</v>
      </c>
      <c r="G34" s="583">
        <f>(M24/H24)^(1/COUNTA(I24:M24))-1</f>
        <v>2.2903612851494559E-2</v>
      </c>
    </row>
    <row r="35" spans="1:21">
      <c r="A35" t="s">
        <v>129</v>
      </c>
      <c r="B35" s="583" t="s">
        <v>243</v>
      </c>
      <c r="C35" s="583" t="s">
        <v>243</v>
      </c>
      <c r="D35" s="583" t="s">
        <v>243</v>
      </c>
      <c r="E35" s="583">
        <f>(K25/H25)^(1/COUNTA(I25:K25))-1</f>
        <v>4.525535629604982E-2</v>
      </c>
      <c r="F35" s="583">
        <f>(L25/H25)^(1/COUNTA(I25:L25))-1</f>
        <v>3.4444881650115278E-2</v>
      </c>
      <c r="G35" s="1022">
        <f>(M25/H25)^(1/COUNTA(I25:M25))-1</f>
        <v>2.0927825367260455E-2</v>
      </c>
    </row>
    <row r="36" spans="1:21">
      <c r="A36" t="s">
        <v>232</v>
      </c>
      <c r="B36" s="583" t="s">
        <v>243</v>
      </c>
      <c r="C36" s="583" t="s">
        <v>243</v>
      </c>
      <c r="D36" s="583" t="s">
        <v>243</v>
      </c>
      <c r="E36" s="583" t="s">
        <v>243</v>
      </c>
      <c r="F36" s="583" t="s">
        <v>243</v>
      </c>
      <c r="G36" s="583" t="s">
        <v>243</v>
      </c>
      <c r="P36" s="51"/>
      <c r="Q36" s="51"/>
      <c r="R36" s="51"/>
    </row>
    <row r="37" spans="1:21">
      <c r="A37" t="s">
        <v>212</v>
      </c>
      <c r="B37" s="583">
        <f>(K27/G27)^(1/COUNTA(H27:K27))-1</f>
        <v>4.3465641435776581E-2</v>
      </c>
      <c r="C37" s="1022">
        <f>(L27/G27)^(1/COUNTA(H27:L27))-1</f>
        <v>3.5410349568495203E-2</v>
      </c>
      <c r="D37" s="583">
        <f>(M27/G27)^(1/COUNTA(H27:M27))-1</f>
        <v>2.3917894595607336E-2</v>
      </c>
      <c r="E37" s="583">
        <f>(K27/H27)^(1/COUNTA(I27:K27))-1</f>
        <v>4.705163932790124E-2</v>
      </c>
      <c r="F37" s="583">
        <f>(L27/H27)^(1/COUNTA(I27:L27))-1</f>
        <v>3.606868991872747E-2</v>
      </c>
      <c r="G37" s="583">
        <f>(M27/H27)^(1/COUNTA(I27:M27))-1</f>
        <v>2.2154388434190153E-2</v>
      </c>
      <c r="L37" s="172"/>
      <c r="P37" s="51"/>
      <c r="Q37" s="51"/>
      <c r="R37" s="51"/>
    </row>
    <row r="38" spans="1:21">
      <c r="A38" t="s">
        <v>234</v>
      </c>
      <c r="B38" s="583">
        <f>(K28/G28)^(1/COUNTA(H28:K28))-1</f>
        <v>9.878627824750752E-2</v>
      </c>
      <c r="C38" s="583">
        <f>(L28/G28)^(1/COUNTA(H28:L28))-1</f>
        <v>2.1239630586007197E-2</v>
      </c>
      <c r="D38" s="583">
        <f>(M28/G28)^(1/COUNTA(H28:M28))-1</f>
        <v>2.9357827174271822E-2</v>
      </c>
      <c r="E38" s="583">
        <f>(K28/H28)^(1/COUNTA(I28:K28))-1</f>
        <v>0.15412866989571006</v>
      </c>
      <c r="F38" s="583">
        <f>(L28/H28)^(1/COUNTA(I28:L28))-1</f>
        <v>4.0368081787337085E-2</v>
      </c>
      <c r="G38" s="583">
        <f>(M28/H28)^(1/COUNTA(I28:M28))-1</f>
        <v>4.6409325456704842E-2</v>
      </c>
      <c r="P38" s="51"/>
      <c r="Q38" s="51"/>
      <c r="R38" s="51"/>
    </row>
    <row r="39" spans="1:21">
      <c r="A39" t="s">
        <v>214</v>
      </c>
      <c r="B39" s="583">
        <f>(K29/G29)^(1/COUNTA(H29:K29))-1</f>
        <v>9.8897613859986189E-2</v>
      </c>
      <c r="C39" s="583">
        <f>(L29/G29)^(1/COUNTA(H29:L29))-1</f>
        <v>8.8454797116720441E-2</v>
      </c>
      <c r="D39" s="583">
        <f>(M29/G29)^(1/COUNTA(H29:M29))-1</f>
        <v>9.5293364330971686E-2</v>
      </c>
      <c r="E39" s="583">
        <f>(K29/H29)^(1/COUNTA(I29:K29))-1</f>
        <v>8.1270427658752808E-2</v>
      </c>
      <c r="F39" s="583">
        <f>(L29/H29)^(1/COUNTA(I29:L29))-1</f>
        <v>7.2769730471572203E-2</v>
      </c>
      <c r="G39" s="583">
        <f>(M29/H29)^(1/COUNTA(I29:M29))-1</f>
        <v>8.4005183235347447E-2</v>
      </c>
      <c r="P39" s="51"/>
      <c r="Q39" s="51"/>
      <c r="R39" s="51"/>
    </row>
    <row r="40" spans="1:21">
      <c r="P40" s="51"/>
      <c r="Q40" s="51"/>
      <c r="R40" s="51"/>
    </row>
    <row r="41" spans="1:21">
      <c r="A41" s="1040" t="s">
        <v>244</v>
      </c>
      <c r="B41" s="1040" t="s">
        <v>245</v>
      </c>
      <c r="C41" s="1040" t="s">
        <v>192</v>
      </c>
      <c r="D41" s="1040" t="s">
        <v>193</v>
      </c>
      <c r="E41" s="1040" t="s">
        <v>165</v>
      </c>
      <c r="F41" s="1040" t="s">
        <v>167</v>
      </c>
      <c r="G41" s="1040" t="s">
        <v>168</v>
      </c>
      <c r="H41" s="1040" t="s">
        <v>169</v>
      </c>
      <c r="I41" s="1040" t="s">
        <v>170</v>
      </c>
      <c r="J41" s="1040" t="s">
        <v>171</v>
      </c>
      <c r="K41" s="1040" t="s">
        <v>172</v>
      </c>
      <c r="L41" s="1040" t="s">
        <v>173</v>
      </c>
      <c r="M41" s="1040" t="s">
        <v>174</v>
      </c>
      <c r="N41" s="1040"/>
      <c r="P41" s="51"/>
      <c r="Q41" s="51"/>
      <c r="R41" s="51"/>
    </row>
    <row r="42" spans="1:21">
      <c r="A42" t="s">
        <v>212</v>
      </c>
      <c r="B42" s="51">
        <f t="shared" ref="B42:M42" si="16">B11</f>
        <v>93.695999999999998</v>
      </c>
      <c r="C42" s="51">
        <f t="shared" si="16"/>
        <v>97.097999999999999</v>
      </c>
      <c r="D42" s="51">
        <f t="shared" si="16"/>
        <v>100.572</v>
      </c>
      <c r="E42" s="51">
        <f t="shared" si="16"/>
        <v>105.735</v>
      </c>
      <c r="F42" s="51">
        <f t="shared" si="16"/>
        <v>109.605</v>
      </c>
      <c r="G42" s="51">
        <f t="shared" si="16"/>
        <v>112.42700000000001</v>
      </c>
      <c r="H42" s="51">
        <f t="shared" si="16"/>
        <v>118.85599999999999</v>
      </c>
      <c r="I42" s="51">
        <f t="shared" si="16"/>
        <v>138.17500000000001</v>
      </c>
      <c r="J42" s="51">
        <f t="shared" si="16"/>
        <v>143.83000000000001</v>
      </c>
      <c r="K42" s="51">
        <f t="shared" si="16"/>
        <v>152.249</v>
      </c>
      <c r="L42" s="51">
        <f t="shared" si="16"/>
        <v>162.149</v>
      </c>
      <c r="M42" s="51">
        <f t="shared" si="16"/>
        <v>159.649</v>
      </c>
      <c r="N42" s="51"/>
      <c r="P42" s="51"/>
      <c r="Q42" s="51"/>
      <c r="R42" s="51"/>
    </row>
    <row r="43" spans="1:21">
      <c r="A43" t="s">
        <v>266</v>
      </c>
      <c r="G43" s="96">
        <f>G48-G47</f>
        <v>1.8999999999999915</v>
      </c>
      <c r="H43" s="96">
        <f>H48-H47</f>
        <v>2.0999999999999943</v>
      </c>
      <c r="I43" s="96">
        <f>I48-I47</f>
        <v>2.4000000000000057</v>
      </c>
      <c r="J43" s="96">
        <f>J48-J47</f>
        <v>2.7000000000000171</v>
      </c>
      <c r="K43" s="96">
        <v>3.3</v>
      </c>
      <c r="L43" s="96">
        <v>3.3</v>
      </c>
      <c r="M43" s="96">
        <v>3.4</v>
      </c>
      <c r="N43" s="96"/>
      <c r="P43" s="51"/>
      <c r="Q43" s="51"/>
      <c r="R43" s="51"/>
      <c r="U43" s="78"/>
    </row>
    <row r="44" spans="1:21">
      <c r="A44" t="s">
        <v>267</v>
      </c>
      <c r="B44" s="1039">
        <f>C44/(1+$U$43)</f>
        <v>1.8999999999999915</v>
      </c>
      <c r="C44" s="1039">
        <f>D44/(1+$U$43)</f>
        <v>1.8999999999999915</v>
      </c>
      <c r="D44" s="1039">
        <f>E44/(1+$U$43)</f>
        <v>1.8999999999999915</v>
      </c>
      <c r="E44" s="1039">
        <f>F44/(1+$U$43)</f>
        <v>1.8999999999999915</v>
      </c>
      <c r="F44" s="1039">
        <f>G43/(1+$U$43)</f>
        <v>1.8999999999999915</v>
      </c>
      <c r="G44" s="96">
        <f t="shared" ref="G44:M44" si="17">G43</f>
        <v>1.8999999999999915</v>
      </c>
      <c r="H44" s="96">
        <f t="shared" si="17"/>
        <v>2.0999999999999943</v>
      </c>
      <c r="I44" s="96">
        <f t="shared" si="17"/>
        <v>2.4000000000000057</v>
      </c>
      <c r="J44" s="96">
        <f t="shared" si="17"/>
        <v>2.7000000000000171</v>
      </c>
      <c r="K44" s="96">
        <f t="shared" si="17"/>
        <v>3.3</v>
      </c>
      <c r="L44" s="96">
        <f t="shared" si="17"/>
        <v>3.3</v>
      </c>
      <c r="M44" s="96">
        <f t="shared" si="17"/>
        <v>3.4</v>
      </c>
      <c r="N44" s="96"/>
      <c r="P44" s="51"/>
      <c r="Q44" s="51"/>
      <c r="R44" s="51"/>
      <c r="U44" s="78"/>
    </row>
    <row r="45" spans="1:21">
      <c r="A45" t="s">
        <v>249</v>
      </c>
      <c r="B45" s="1035">
        <f>B42-B44</f>
        <v>91.796000000000006</v>
      </c>
      <c r="C45" s="1035">
        <f>C42-C44</f>
        <v>95.198000000000008</v>
      </c>
      <c r="D45" s="1035">
        <f>D42-D44</f>
        <v>98.672000000000011</v>
      </c>
      <c r="E45" s="1035">
        <f>E42-E44</f>
        <v>103.83500000000001</v>
      </c>
      <c r="F45" s="1035">
        <f>F42-F44</f>
        <v>107.70500000000001</v>
      </c>
      <c r="G45" s="96">
        <f t="shared" ref="G45:M45" si="18">G42</f>
        <v>112.42700000000001</v>
      </c>
      <c r="H45" s="96">
        <f t="shared" si="18"/>
        <v>118.85599999999999</v>
      </c>
      <c r="I45" s="96">
        <f t="shared" si="18"/>
        <v>138.17500000000001</v>
      </c>
      <c r="J45" s="96">
        <f t="shared" si="18"/>
        <v>143.83000000000001</v>
      </c>
      <c r="K45" s="96">
        <f t="shared" si="18"/>
        <v>152.249</v>
      </c>
      <c r="L45" s="96">
        <f t="shared" si="18"/>
        <v>162.149</v>
      </c>
      <c r="M45" s="96">
        <f t="shared" si="18"/>
        <v>159.649</v>
      </c>
      <c r="N45" s="96"/>
      <c r="P45" s="51"/>
      <c r="Q45" s="51"/>
      <c r="R45" s="51"/>
      <c r="U45" s="78"/>
    </row>
    <row r="46" spans="1:21">
      <c r="A46" t="s">
        <v>250</v>
      </c>
      <c r="B46" s="96">
        <f>B42</f>
        <v>93.695999999999998</v>
      </c>
      <c r="C46" s="96">
        <f>C42</f>
        <v>97.097999999999999</v>
      </c>
      <c r="D46" s="96">
        <f>D42</f>
        <v>100.572</v>
      </c>
      <c r="E46" s="96">
        <f>E42</f>
        <v>105.735</v>
      </c>
      <c r="F46" s="96">
        <f>F42</f>
        <v>109.605</v>
      </c>
      <c r="G46" s="1035">
        <f t="shared" ref="G46:M46" si="19">G42+G44</f>
        <v>114.327</v>
      </c>
      <c r="H46" s="1035">
        <f t="shared" si="19"/>
        <v>120.95599999999999</v>
      </c>
      <c r="I46" s="1035">
        <f t="shared" si="19"/>
        <v>140.57500000000002</v>
      </c>
      <c r="J46" s="1035">
        <f t="shared" si="19"/>
        <v>146.53000000000003</v>
      </c>
      <c r="K46" s="1035">
        <f t="shared" si="19"/>
        <v>155.54900000000001</v>
      </c>
      <c r="L46" s="1035">
        <f t="shared" si="19"/>
        <v>165.44900000000001</v>
      </c>
      <c r="M46" s="1035">
        <f t="shared" si="19"/>
        <v>163.04900000000001</v>
      </c>
      <c r="N46" s="1035" t="s">
        <v>268</v>
      </c>
      <c r="P46" s="51"/>
      <c r="Q46" s="51"/>
      <c r="R46" s="51"/>
      <c r="U46" s="78"/>
    </row>
    <row r="47" spans="1:21">
      <c r="A47" t="s">
        <v>246</v>
      </c>
      <c r="G47">
        <v>112.4</v>
      </c>
      <c r="H47">
        <v>121.7</v>
      </c>
      <c r="I47">
        <v>141</v>
      </c>
      <c r="J47">
        <v>146.69999999999999</v>
      </c>
      <c r="P47" s="51"/>
      <c r="Q47" s="51"/>
      <c r="R47" s="51"/>
    </row>
    <row r="48" spans="1:21">
      <c r="A48" t="s">
        <v>269</v>
      </c>
      <c r="G48">
        <v>114.3</v>
      </c>
      <c r="H48">
        <v>123.8</v>
      </c>
      <c r="I48">
        <v>143.4</v>
      </c>
      <c r="J48">
        <v>149.4</v>
      </c>
    </row>
    <row r="50" spans="1:14">
      <c r="B50" s="1017" t="s">
        <v>245</v>
      </c>
      <c r="C50" s="1017" t="s">
        <v>192</v>
      </c>
      <c r="D50" s="1017" t="s">
        <v>193</v>
      </c>
      <c r="E50" s="1017" t="s">
        <v>165</v>
      </c>
      <c r="F50" s="1017" t="s">
        <v>167</v>
      </c>
      <c r="G50" s="1017" t="s">
        <v>168</v>
      </c>
      <c r="H50" s="1017" t="s">
        <v>169</v>
      </c>
      <c r="I50" s="1017" t="s">
        <v>170</v>
      </c>
      <c r="J50" s="1017" t="s">
        <v>171</v>
      </c>
      <c r="K50" s="1017" t="s">
        <v>172</v>
      </c>
      <c r="L50" s="1017" t="s">
        <v>173</v>
      </c>
      <c r="M50" s="1017" t="s">
        <v>174</v>
      </c>
      <c r="N50" s="1017"/>
    </row>
    <row r="51" spans="1:14">
      <c r="A51" s="76" t="s">
        <v>226</v>
      </c>
      <c r="B51">
        <v>91.025000000000006</v>
      </c>
      <c r="C51">
        <v>92.125</v>
      </c>
      <c r="D51">
        <v>92.8</v>
      </c>
      <c r="E51">
        <v>94.9</v>
      </c>
      <c r="F51">
        <v>96.375</v>
      </c>
      <c r="G51" s="1016">
        <v>98.4</v>
      </c>
      <c r="H51" s="1016">
        <v>100.72499999999999</v>
      </c>
      <c r="I51" s="1016">
        <v>106.19999999999999</v>
      </c>
      <c r="J51" s="1016">
        <v>105.375</v>
      </c>
      <c r="K51" s="1016">
        <v>112.4</v>
      </c>
      <c r="L51" s="1016">
        <v>119.2549027044208</v>
      </c>
      <c r="M51" s="1016">
        <v>121.25506271536932</v>
      </c>
      <c r="N51" s="1016"/>
    </row>
    <row r="52" spans="1:14">
      <c r="B52" s="583"/>
      <c r="C52" s="583"/>
      <c r="D52" s="583"/>
    </row>
    <row r="53" spans="1:14">
      <c r="A53" s="1040" t="s">
        <v>251</v>
      </c>
      <c r="B53" s="1040" t="s">
        <v>245</v>
      </c>
      <c r="C53" s="1040" t="s">
        <v>192</v>
      </c>
      <c r="D53" s="1040" t="s">
        <v>193</v>
      </c>
      <c r="E53" s="1040" t="s">
        <v>165</v>
      </c>
      <c r="F53" s="1040" t="s">
        <v>167</v>
      </c>
      <c r="G53" s="1040" t="s">
        <v>168</v>
      </c>
      <c r="H53" s="1040" t="s">
        <v>169</v>
      </c>
      <c r="I53" s="1040" t="s">
        <v>170</v>
      </c>
      <c r="J53" s="1040" t="s">
        <v>171</v>
      </c>
      <c r="K53" s="1040" t="s">
        <v>172</v>
      </c>
      <c r="L53" s="1040" t="s">
        <v>173</v>
      </c>
      <c r="M53" s="1040" t="s">
        <v>174</v>
      </c>
      <c r="N53" s="1040"/>
    </row>
    <row r="54" spans="1:14">
      <c r="A54" t="s">
        <v>249</v>
      </c>
      <c r="B54" s="51">
        <f t="shared" ref="B54:M54" si="20">(B45/B51)*$L51</f>
        <v>120.2650156402638</v>
      </c>
      <c r="C54" s="51">
        <f t="shared" si="20"/>
        <v>123.23287085650423</v>
      </c>
      <c r="D54" s="51">
        <f t="shared" si="20"/>
        <v>126.80085947899366</v>
      </c>
      <c r="E54" s="51">
        <f t="shared" si="20"/>
        <v>130.48295913923639</v>
      </c>
      <c r="F54" s="51">
        <f t="shared" si="20"/>
        <v>133.27470086412083</v>
      </c>
      <c r="G54" s="51">
        <f t="shared" si="20"/>
        <v>136.25478604014143</v>
      </c>
      <c r="H54" s="51">
        <f t="shared" si="20"/>
        <v>140.72137717385596</v>
      </c>
      <c r="I54" s="51">
        <f t="shared" si="20"/>
        <v>155.16051018063413</v>
      </c>
      <c r="J54" s="51">
        <f t="shared" si="20"/>
        <v>162.77516162255606</v>
      </c>
      <c r="K54" s="51">
        <f t="shared" si="20"/>
        <v>161.53416087051031</v>
      </c>
      <c r="L54" s="51">
        <f t="shared" si="20"/>
        <v>162.149</v>
      </c>
      <c r="M54" s="51">
        <f t="shared" si="20"/>
        <v>157.01551370724627</v>
      </c>
      <c r="N54" s="51"/>
    </row>
    <row r="55" spans="1:14">
      <c r="A55" t="s">
        <v>250</v>
      </c>
      <c r="B55" s="51">
        <f t="shared" ref="B55:M55" si="21">(B46/B51)*$L51</f>
        <v>122.75426930835937</v>
      </c>
      <c r="C55" s="51">
        <f t="shared" si="21"/>
        <v>125.69240209274194</v>
      </c>
      <c r="D55" s="51">
        <f t="shared" si="21"/>
        <v>129.24250080591605</v>
      </c>
      <c r="E55" s="51">
        <f t="shared" si="21"/>
        <v>132.87057046840815</v>
      </c>
      <c r="F55" s="51">
        <f t="shared" si="21"/>
        <v>135.62577028189929</v>
      </c>
      <c r="G55" s="51">
        <f t="shared" si="21"/>
        <v>138.55747216959671</v>
      </c>
      <c r="H55" s="51">
        <f t="shared" si="21"/>
        <v>143.20770425927944</v>
      </c>
      <c r="I55" s="51">
        <f t="shared" si="21"/>
        <v>157.85553623045161</v>
      </c>
      <c r="J55" s="51">
        <f t="shared" si="21"/>
        <v>165.83080325768714</v>
      </c>
      <c r="K55" s="51">
        <f t="shared" si="21"/>
        <v>165.0354169107647</v>
      </c>
      <c r="L55" s="51">
        <f t="shared" si="21"/>
        <v>165.44900000000001</v>
      </c>
      <c r="M55" s="51">
        <f t="shared" si="21"/>
        <v>160.35942908789153</v>
      </c>
      <c r="N55" s="51"/>
    </row>
    <row r="56" spans="1:14">
      <c r="L56" s="51"/>
    </row>
    <row r="57" spans="1:14">
      <c r="L57" s="51">
        <f>K54-L54</f>
        <v>-0.61483912948969532</v>
      </c>
      <c r="M57" s="51">
        <f>L54-M54</f>
        <v>5.1334862927537301</v>
      </c>
    </row>
    <row r="58" spans="1:14">
      <c r="L58" s="51">
        <f>K55-L55</f>
        <v>-0.41358308923531695</v>
      </c>
    </row>
    <row r="59" spans="1:14">
      <c r="L59" s="51"/>
    </row>
  </sheetData>
  <mergeCells count="3">
    <mergeCell ref="P5:Q5"/>
    <mergeCell ref="R5:S5"/>
    <mergeCell ref="B31:G31"/>
  </mergeCells>
  <hyperlinks>
    <hyperlink ref="K2" r:id="rId1" xr:uid="{2EE04824-9DFD-43E2-8082-1F130F432CCE}"/>
  </hyperlinks>
  <pageMargins left="0.7" right="0.7" top="0.75" bottom="0.75" header="0.3" footer="0.3"/>
  <pageSetup paperSize="9" orientation="portrait"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9D0FA-6793-4755-99F2-358E5134EB41}">
  <dimension ref="A1:Q15"/>
  <sheetViews>
    <sheetView workbookViewId="0"/>
  </sheetViews>
  <sheetFormatPr defaultRowHeight="14.5"/>
  <sheetData>
    <row r="1" spans="1:17">
      <c r="A1" s="76" t="s">
        <v>1041</v>
      </c>
    </row>
    <row r="3" spans="1:17">
      <c r="A3" s="645" t="s">
        <v>707</v>
      </c>
      <c r="B3" s="1"/>
      <c r="C3" s="1"/>
      <c r="D3" s="1"/>
      <c r="E3" s="1"/>
      <c r="L3" s="1" t="s">
        <v>169</v>
      </c>
      <c r="M3" s="1" t="s">
        <v>170</v>
      </c>
      <c r="N3" s="1" t="s">
        <v>171</v>
      </c>
      <c r="O3" s="1" t="s">
        <v>172</v>
      </c>
      <c r="P3" s="1" t="s">
        <v>173</v>
      </c>
      <c r="Q3" s="1" t="s">
        <v>174</v>
      </c>
    </row>
    <row r="4" spans="1:17">
      <c r="A4" s="646" t="s">
        <v>1042</v>
      </c>
      <c r="B4" s="1"/>
      <c r="C4" s="1"/>
      <c r="D4" s="1"/>
      <c r="E4" s="1"/>
      <c r="F4" s="10">
        <v>93.695999999999998</v>
      </c>
      <c r="G4" s="10">
        <v>97.097999999999999</v>
      </c>
      <c r="H4" s="10">
        <v>100.572</v>
      </c>
      <c r="I4" s="10">
        <v>105.735</v>
      </c>
      <c r="J4" s="10">
        <v>109.605</v>
      </c>
      <c r="K4" s="1">
        <v>114.5</v>
      </c>
      <c r="L4" s="1">
        <v>120.807</v>
      </c>
      <c r="M4" s="1">
        <v>127.00700000000001</v>
      </c>
      <c r="N4" s="1">
        <v>133.28299999999999</v>
      </c>
      <c r="O4" s="1">
        <v>155.1</v>
      </c>
      <c r="P4" s="1">
        <v>148.46700000000001</v>
      </c>
      <c r="Q4" s="492">
        <v>151.62899999999999</v>
      </c>
    </row>
    <row r="5" spans="1:17">
      <c r="A5" s="646" t="s">
        <v>232</v>
      </c>
      <c r="B5" s="1"/>
      <c r="C5" s="1"/>
      <c r="D5" s="1"/>
      <c r="E5" s="1"/>
      <c r="F5" s="10"/>
      <c r="G5" s="10"/>
      <c r="H5" s="10"/>
      <c r="I5" s="10"/>
      <c r="J5" s="10"/>
      <c r="K5" s="1"/>
      <c r="L5" s="129">
        <v>2.851</v>
      </c>
      <c r="M5" s="129">
        <v>2.851</v>
      </c>
      <c r="N5" s="129">
        <v>2.851</v>
      </c>
      <c r="O5" s="129">
        <v>2.851</v>
      </c>
      <c r="P5" s="129">
        <v>2.851</v>
      </c>
      <c r="Q5" s="129">
        <v>2.851</v>
      </c>
    </row>
    <row r="6" spans="1:17">
      <c r="A6" s="646" t="s">
        <v>712</v>
      </c>
      <c r="B6" s="1"/>
      <c r="C6" s="1"/>
      <c r="D6" s="1"/>
      <c r="E6" s="1"/>
      <c r="F6" s="1"/>
      <c r="G6" s="1"/>
      <c r="H6" s="1"/>
      <c r="I6" s="1"/>
      <c r="J6" s="1"/>
      <c r="K6" s="1"/>
      <c r="L6" s="1"/>
      <c r="M6" s="10">
        <v>19.988</v>
      </c>
      <c r="N6" s="10">
        <v>16.295000000000002</v>
      </c>
      <c r="O6" s="1"/>
      <c r="P6" s="14"/>
      <c r="Q6" s="14"/>
    </row>
    <row r="7" spans="1:17">
      <c r="A7" s="646" t="s">
        <v>1043</v>
      </c>
      <c r="B7" s="1"/>
      <c r="C7" s="1"/>
      <c r="D7" s="1"/>
      <c r="E7" s="1"/>
      <c r="F7" s="1"/>
      <c r="G7" s="1"/>
      <c r="H7" s="1"/>
      <c r="I7" s="1"/>
      <c r="J7" s="1"/>
      <c r="K7" s="1"/>
      <c r="L7" s="1"/>
      <c r="M7" s="10"/>
      <c r="N7" s="10"/>
      <c r="O7" s="1">
        <v>8.9890000000000008</v>
      </c>
      <c r="P7" s="14">
        <v>6.085</v>
      </c>
      <c r="Q7" s="14">
        <v>8.1609999999999996</v>
      </c>
    </row>
    <row r="8" spans="1:17">
      <c r="A8" s="646" t="s">
        <v>1044</v>
      </c>
      <c r="B8" s="1"/>
      <c r="C8" s="1"/>
      <c r="D8" s="1"/>
      <c r="E8" s="1"/>
      <c r="F8" s="1"/>
      <c r="G8" s="1"/>
      <c r="H8" s="1"/>
      <c r="I8" s="1"/>
      <c r="J8" s="1"/>
      <c r="K8" s="1"/>
      <c r="L8" s="1"/>
      <c r="M8" s="10"/>
      <c r="N8" s="10"/>
      <c r="O8" s="1">
        <v>0.193</v>
      </c>
      <c r="P8" s="14">
        <v>0.222</v>
      </c>
      <c r="Q8" s="14"/>
    </row>
    <row r="9" spans="1:17">
      <c r="A9" s="646" t="s">
        <v>1045</v>
      </c>
      <c r="B9" s="1"/>
      <c r="C9" s="1"/>
      <c r="D9" s="1"/>
      <c r="E9" s="1"/>
      <c r="F9" s="1"/>
      <c r="G9" s="1"/>
      <c r="H9" s="1"/>
      <c r="I9" s="1"/>
      <c r="J9" s="1"/>
      <c r="K9" s="1"/>
      <c r="L9" s="1"/>
      <c r="M9" s="10"/>
      <c r="N9" s="10"/>
      <c r="O9" s="1"/>
      <c r="P9" s="14">
        <v>3.3</v>
      </c>
      <c r="Q9" s="14">
        <v>3.2</v>
      </c>
    </row>
    <row r="10" spans="1:17">
      <c r="A10" s="646" t="s">
        <v>713</v>
      </c>
      <c r="B10" s="1"/>
      <c r="C10" s="1"/>
      <c r="D10" s="1"/>
      <c r="E10" s="1"/>
      <c r="F10" s="1"/>
      <c r="G10" s="1"/>
      <c r="H10" s="1"/>
      <c r="I10" s="1"/>
      <c r="J10" s="1"/>
      <c r="K10" s="1"/>
      <c r="L10" s="1">
        <v>-0.28100000000000003</v>
      </c>
      <c r="M10" s="1">
        <v>-0.371</v>
      </c>
      <c r="N10" s="1">
        <v>-1.8149999999999999</v>
      </c>
      <c r="O10" s="1">
        <v>6.4980000000000002</v>
      </c>
      <c r="P10" s="14">
        <v>2.4009999999999998</v>
      </c>
      <c r="Q10" s="14"/>
    </row>
    <row r="11" spans="1:17">
      <c r="A11" s="646" t="s">
        <v>1046</v>
      </c>
      <c r="B11" s="1"/>
      <c r="C11" s="1"/>
      <c r="D11" s="1"/>
      <c r="E11" s="1"/>
      <c r="F11" s="1"/>
      <c r="G11" s="1"/>
      <c r="H11" s="1"/>
      <c r="I11" s="1"/>
      <c r="J11" s="1"/>
      <c r="K11" s="1"/>
      <c r="L11" s="1"/>
      <c r="M11" s="1"/>
      <c r="N11" s="1"/>
      <c r="O11" s="1"/>
      <c r="P11" s="14">
        <v>0.2</v>
      </c>
      <c r="Q11" s="14"/>
    </row>
    <row r="12" spans="1:17">
      <c r="A12" s="646" t="s">
        <v>1047</v>
      </c>
      <c r="B12" s="1"/>
      <c r="C12" s="1"/>
      <c r="D12" s="1"/>
      <c r="E12" s="1"/>
      <c r="F12" s="1"/>
      <c r="G12" s="1"/>
      <c r="H12" s="1"/>
      <c r="I12" s="1"/>
      <c r="J12" s="1"/>
      <c r="K12" s="1"/>
      <c r="L12" s="1"/>
      <c r="M12" s="1"/>
      <c r="N12" s="1"/>
      <c r="O12" s="1"/>
      <c r="P12" s="14">
        <v>0.45000000000000007</v>
      </c>
      <c r="Q12" s="14"/>
    </row>
    <row r="13" spans="1:17">
      <c r="A13" s="646" t="s">
        <v>1048</v>
      </c>
      <c r="B13" s="1"/>
      <c r="C13" s="1"/>
      <c r="D13" s="1"/>
      <c r="E13" s="1"/>
      <c r="F13" s="10">
        <v>93.695999999999998</v>
      </c>
      <c r="G13" s="10">
        <v>97.097999999999999</v>
      </c>
      <c r="H13" s="10">
        <v>100.572</v>
      </c>
      <c r="I13" s="10">
        <v>105.735</v>
      </c>
      <c r="J13" s="10">
        <v>109.605</v>
      </c>
      <c r="K13" s="10">
        <v>114.5</v>
      </c>
      <c r="L13" s="10">
        <v>123.377</v>
      </c>
      <c r="M13" s="10">
        <v>149.47499999999999</v>
      </c>
      <c r="N13" s="10">
        <v>150.61399999999998</v>
      </c>
      <c r="O13" s="10">
        <v>173.631</v>
      </c>
      <c r="P13" s="10">
        <v>164.10899999999998</v>
      </c>
      <c r="Q13" s="10">
        <v>165.84099999999998</v>
      </c>
    </row>
    <row r="14" spans="1:17">
      <c r="A14" s="646" t="s">
        <v>1049</v>
      </c>
      <c r="B14" s="1"/>
      <c r="C14" s="1"/>
      <c r="D14" s="1"/>
      <c r="E14" s="1"/>
      <c r="F14" s="10">
        <v>98.572999999999993</v>
      </c>
      <c r="G14" s="10">
        <v>102.005</v>
      </c>
      <c r="H14" s="10">
        <v>105.44200000000001</v>
      </c>
      <c r="I14" s="10">
        <v>110.714</v>
      </c>
      <c r="J14" s="10">
        <v>114.428</v>
      </c>
      <c r="K14" s="10">
        <v>118.94499999999999</v>
      </c>
      <c r="L14" s="10">
        <v>127.47999999999999</v>
      </c>
      <c r="M14" s="10">
        <v>153.75799999999998</v>
      </c>
      <c r="N14" s="10">
        <v>155.62309999999997</v>
      </c>
      <c r="O14" s="10">
        <v>179.14240000000001</v>
      </c>
      <c r="P14" s="10">
        <v>169.15699999999998</v>
      </c>
      <c r="Q14" s="10"/>
    </row>
    <row r="15" spans="1:17">
      <c r="A15" s="646" t="s">
        <v>1050</v>
      </c>
      <c r="B15" s="1"/>
      <c r="C15" s="1"/>
      <c r="D15" s="1"/>
      <c r="E15" s="1"/>
      <c r="F15" s="10">
        <v>93.695999999999998</v>
      </c>
      <c r="G15" s="10">
        <v>97.097999999999999</v>
      </c>
      <c r="H15" s="10">
        <v>100.572</v>
      </c>
      <c r="I15" s="10">
        <v>105.735</v>
      </c>
      <c r="J15" s="10">
        <v>109.605</v>
      </c>
      <c r="K15" s="10">
        <v>114.5</v>
      </c>
      <c r="L15" s="10">
        <v>120.526</v>
      </c>
      <c r="M15" s="10">
        <v>146.624</v>
      </c>
      <c r="N15" s="10">
        <v>147.76299999999998</v>
      </c>
      <c r="O15" s="10">
        <v>170.78</v>
      </c>
      <c r="P15" s="10">
        <v>161.25799999999998</v>
      </c>
      <c r="Q15" s="14">
        <v>162.98999999999998</v>
      </c>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4BB4D-3E20-4D2C-B893-74747A63CE94}">
  <dimension ref="A1:AI61"/>
  <sheetViews>
    <sheetView topLeftCell="A10" zoomScale="85" zoomScaleNormal="85" workbookViewId="0">
      <selection activeCell="C37" sqref="C37"/>
    </sheetView>
  </sheetViews>
  <sheetFormatPr defaultRowHeight="14.5"/>
  <cols>
    <col min="1" max="1" width="50.453125" bestFit="1" customWidth="1"/>
    <col min="2" max="3" width="8" bestFit="1" customWidth="1"/>
    <col min="4" max="4" width="7.54296875" bestFit="1" customWidth="1"/>
    <col min="5" max="5" width="8.1796875" bestFit="1" customWidth="1"/>
    <col min="6" max="6" width="8.54296875" bestFit="1" customWidth="1"/>
    <col min="7" max="17" width="7.54296875" bestFit="1" customWidth="1"/>
    <col min="18" max="18" width="20.453125" bestFit="1" customWidth="1"/>
    <col min="19" max="19" width="43.453125" customWidth="1"/>
    <col min="26" max="26" width="12.453125" bestFit="1" customWidth="1"/>
  </cols>
  <sheetData>
    <row r="1" spans="1:35" ht="15" thickBot="1">
      <c r="A1" s="331" t="s">
        <v>653</v>
      </c>
      <c r="B1" s="326" t="s">
        <v>325</v>
      </c>
      <c r="C1" s="326" t="s">
        <v>188</v>
      </c>
      <c r="D1" s="326" t="s">
        <v>189</v>
      </c>
      <c r="E1" s="326" t="s">
        <v>681</v>
      </c>
      <c r="F1" s="326" t="s">
        <v>245</v>
      </c>
      <c r="G1" s="326" t="s">
        <v>192</v>
      </c>
      <c r="H1" s="326" t="s">
        <v>193</v>
      </c>
      <c r="I1" s="326" t="s">
        <v>165</v>
      </c>
      <c r="J1" s="326" t="s">
        <v>167</v>
      </c>
      <c r="K1" s="326" t="s">
        <v>168</v>
      </c>
      <c r="L1" s="326" t="s">
        <v>169</v>
      </c>
      <c r="M1" s="327" t="s">
        <v>170</v>
      </c>
      <c r="N1" s="327" t="s">
        <v>171</v>
      </c>
      <c r="O1" s="328" t="s">
        <v>172</v>
      </c>
      <c r="P1" s="328" t="s">
        <v>173</v>
      </c>
      <c r="Q1" s="332" t="s">
        <v>174</v>
      </c>
      <c r="R1" s="92" t="s">
        <v>18</v>
      </c>
      <c r="S1" s="310" t="s">
        <v>181</v>
      </c>
    </row>
    <row r="2" spans="1:35">
      <c r="A2" s="45" t="s">
        <v>1051</v>
      </c>
      <c r="B2" s="1"/>
      <c r="C2" s="1"/>
      <c r="D2" s="1"/>
      <c r="E2" s="1"/>
      <c r="F2" s="1"/>
      <c r="G2" s="1"/>
      <c r="H2" s="1"/>
      <c r="I2" s="1"/>
      <c r="J2" s="1"/>
      <c r="K2" s="1"/>
      <c r="L2" s="1"/>
      <c r="M2" s="1"/>
      <c r="N2" s="1"/>
      <c r="O2" s="1"/>
      <c r="P2" s="1"/>
      <c r="Q2" s="6"/>
      <c r="R2" s="88" t="s">
        <v>1052</v>
      </c>
      <c r="S2" s="603" t="s">
        <v>1053</v>
      </c>
    </row>
    <row r="3" spans="1:35">
      <c r="A3" s="45"/>
      <c r="B3" s="1"/>
      <c r="C3" s="1"/>
      <c r="D3" s="1"/>
      <c r="E3" s="1"/>
      <c r="F3" s="1"/>
      <c r="G3" s="1"/>
      <c r="H3" s="1"/>
      <c r="I3" s="1"/>
      <c r="J3" s="1"/>
      <c r="K3" s="1"/>
      <c r="L3" s="1"/>
      <c r="M3" s="1"/>
      <c r="N3" s="1"/>
      <c r="O3" s="1"/>
      <c r="P3" s="1"/>
      <c r="Q3" s="1"/>
      <c r="R3" s="157"/>
      <c r="S3" s="6"/>
    </row>
    <row r="4" spans="1:35">
      <c r="A4" s="607" t="s">
        <v>1054</v>
      </c>
      <c r="B4" s="304"/>
      <c r="C4" s="304"/>
      <c r="D4" s="304"/>
      <c r="E4" s="304"/>
      <c r="F4" s="304"/>
      <c r="G4" s="304"/>
      <c r="H4" s="304"/>
      <c r="I4" s="304"/>
      <c r="J4" s="304"/>
      <c r="K4" s="304"/>
      <c r="L4" s="1"/>
      <c r="M4" s="1"/>
      <c r="N4" s="1"/>
      <c r="O4" s="1"/>
      <c r="P4" s="1"/>
      <c r="Q4" s="6"/>
      <c r="R4" s="600" t="s">
        <v>1055</v>
      </c>
      <c r="S4" s="602" t="s">
        <v>1056</v>
      </c>
    </row>
    <row r="5" spans="1:35">
      <c r="A5" s="5" t="s">
        <v>1057</v>
      </c>
      <c r="B5" s="304">
        <v>324.17200000000003</v>
      </c>
      <c r="C5" s="304">
        <v>330.32900000000001</v>
      </c>
      <c r="D5" s="304">
        <v>314.28800000000001</v>
      </c>
      <c r="E5" s="304">
        <v>309.65300000000002</v>
      </c>
      <c r="F5" s="304">
        <v>308.35399999999998</v>
      </c>
      <c r="G5" s="304">
        <v>307.81799999999998</v>
      </c>
      <c r="H5" s="304">
        <v>306.74799999999999</v>
      </c>
      <c r="I5" s="305">
        <v>304.33199999999999</v>
      </c>
      <c r="J5" s="604">
        <v>315.75799999999998</v>
      </c>
      <c r="K5" s="604">
        <v>321.12799999999999</v>
      </c>
      <c r="L5" s="605">
        <v>345.505</v>
      </c>
      <c r="M5" s="605">
        <v>470.99700000000001</v>
      </c>
      <c r="N5" s="601">
        <v>451.8</v>
      </c>
      <c r="O5" s="601">
        <v>449.8</v>
      </c>
      <c r="P5" s="601">
        <v>452.6</v>
      </c>
      <c r="Q5" s="617">
        <v>455</v>
      </c>
      <c r="R5" s="87"/>
      <c r="S5" s="6"/>
    </row>
    <row r="6" spans="1:35">
      <c r="A6" s="5" t="s">
        <v>1058</v>
      </c>
      <c r="B6" s="304">
        <v>57.006999999999998</v>
      </c>
      <c r="C6" s="304">
        <v>49.816000000000003</v>
      </c>
      <c r="D6" s="304">
        <v>49.765999999999998</v>
      </c>
      <c r="E6" s="304">
        <v>46.375</v>
      </c>
      <c r="F6" s="304">
        <v>49.749000000000002</v>
      </c>
      <c r="G6" s="304">
        <v>53.203000000000003</v>
      </c>
      <c r="H6" s="304">
        <v>48.603000000000002</v>
      </c>
      <c r="I6" s="305">
        <v>51.298000000000002</v>
      </c>
      <c r="J6" s="604">
        <v>55.625999999999998</v>
      </c>
      <c r="K6" s="604">
        <v>62.561999999999998</v>
      </c>
      <c r="L6" s="605">
        <v>70.159000000000006</v>
      </c>
      <c r="M6" s="605">
        <v>94.917000000000002</v>
      </c>
      <c r="N6" s="601">
        <v>93</v>
      </c>
      <c r="O6" s="601">
        <v>118.3</v>
      </c>
      <c r="P6" s="601">
        <v>113.6</v>
      </c>
      <c r="Q6" s="617">
        <v>115.2</v>
      </c>
      <c r="R6" s="87"/>
      <c r="S6" s="6"/>
    </row>
    <row r="7" spans="1:35">
      <c r="A7" s="5" t="s">
        <v>1059</v>
      </c>
      <c r="B7" s="304">
        <v>381.17899999999997</v>
      </c>
      <c r="C7" s="304">
        <v>380.14499999999998</v>
      </c>
      <c r="D7" s="304">
        <v>364.05399999999997</v>
      </c>
      <c r="E7" s="304">
        <v>356.02800000000002</v>
      </c>
      <c r="F7" s="304">
        <v>358.10300000000001</v>
      </c>
      <c r="G7" s="304">
        <v>361.02100000000002</v>
      </c>
      <c r="H7" s="304">
        <v>355.351</v>
      </c>
      <c r="I7" s="305">
        <v>361.13100000000003</v>
      </c>
      <c r="J7" s="604">
        <v>371.38400000000001</v>
      </c>
      <c r="K7" s="604">
        <v>383.69</v>
      </c>
      <c r="L7" s="604">
        <v>415.66500000000002</v>
      </c>
      <c r="M7" s="604">
        <v>565.91399999999999</v>
      </c>
      <c r="N7" s="618">
        <f t="shared" ref="N7:Q7" si="0">SUM(N5:N6)</f>
        <v>544.79999999999995</v>
      </c>
      <c r="O7" s="618">
        <f t="shared" si="0"/>
        <v>568.1</v>
      </c>
      <c r="P7" s="618">
        <f t="shared" si="0"/>
        <v>566.20000000000005</v>
      </c>
      <c r="Q7" s="618">
        <f t="shared" si="0"/>
        <v>570.20000000000005</v>
      </c>
      <c r="R7" s="87"/>
      <c r="S7" s="6"/>
    </row>
    <row r="8" spans="1:35">
      <c r="A8" s="5"/>
      <c r="B8" s="1"/>
      <c r="C8" s="1"/>
      <c r="D8" s="1"/>
      <c r="E8" s="1"/>
      <c r="F8" s="1"/>
      <c r="G8" s="1"/>
      <c r="H8" s="1"/>
      <c r="I8" s="1"/>
      <c r="J8" s="1"/>
      <c r="K8" s="1"/>
      <c r="L8" s="1"/>
      <c r="M8" s="1"/>
      <c r="N8" s="1"/>
      <c r="O8" s="1"/>
      <c r="P8" s="1"/>
      <c r="Q8" s="6"/>
      <c r="R8" s="87"/>
      <c r="S8" s="6"/>
    </row>
    <row r="9" spans="1:35">
      <c r="A9" s="608" t="s">
        <v>1060</v>
      </c>
      <c r="B9" s="304"/>
      <c r="C9" s="304"/>
      <c r="D9" s="304"/>
      <c r="E9" s="304"/>
      <c r="F9" s="304"/>
      <c r="G9" s="304"/>
      <c r="H9" s="304"/>
      <c r="I9" s="304"/>
      <c r="J9" s="304"/>
      <c r="K9" s="304"/>
      <c r="L9" s="1"/>
      <c r="M9" s="1"/>
      <c r="N9" s="1"/>
      <c r="O9" s="1"/>
      <c r="P9" s="1"/>
      <c r="Q9" s="6"/>
      <c r="R9" s="87"/>
      <c r="S9" s="6"/>
    </row>
    <row r="10" spans="1:35" ht="58">
      <c r="A10" s="5" t="s">
        <v>166</v>
      </c>
      <c r="B10" s="304"/>
      <c r="C10" s="304"/>
      <c r="D10" s="304"/>
      <c r="E10" s="304"/>
      <c r="F10" s="304"/>
      <c r="G10" s="304"/>
      <c r="H10" s="304"/>
      <c r="I10" s="304"/>
      <c r="J10" s="304"/>
      <c r="K10" s="304"/>
      <c r="L10" s="1"/>
      <c r="M10" s="614">
        <v>121.2</v>
      </c>
      <c r="N10" s="612">
        <v>74.599999999999994</v>
      </c>
      <c r="O10" s="1"/>
      <c r="P10" s="1"/>
      <c r="Q10" s="6"/>
      <c r="R10" s="87"/>
      <c r="S10" s="6"/>
      <c r="Z10" t="s">
        <v>26</v>
      </c>
      <c r="AA10" s="3" t="s">
        <v>1061</v>
      </c>
      <c r="AB10" s="3" t="s">
        <v>1062</v>
      </c>
      <c r="AC10" s="3" t="s">
        <v>1063</v>
      </c>
      <c r="AE10" t="s">
        <v>26</v>
      </c>
      <c r="AF10" s="3" t="s">
        <v>1061</v>
      </c>
      <c r="AG10" s="3" t="s">
        <v>1062</v>
      </c>
      <c r="AH10" s="3" t="s">
        <v>1063</v>
      </c>
    </row>
    <row r="11" spans="1:35">
      <c r="A11" s="5" t="s">
        <v>1064</v>
      </c>
      <c r="M11" s="615">
        <v>5.8</v>
      </c>
      <c r="N11" s="613">
        <v>0.9</v>
      </c>
      <c r="R11" s="87"/>
      <c r="S11" s="6"/>
      <c r="Y11" t="s">
        <v>168</v>
      </c>
      <c r="Z11">
        <v>100</v>
      </c>
      <c r="AA11">
        <v>100</v>
      </c>
      <c r="AB11">
        <v>100</v>
      </c>
      <c r="AC11">
        <v>100</v>
      </c>
      <c r="AD11" t="s">
        <v>168</v>
      </c>
      <c r="AE11">
        <f>Z11-100</f>
        <v>0</v>
      </c>
      <c r="AF11">
        <f t="shared" ref="AF11:AH11" si="1">AA11-100</f>
        <v>0</v>
      </c>
      <c r="AG11">
        <f t="shared" si="1"/>
        <v>0</v>
      </c>
      <c r="AH11">
        <f t="shared" si="1"/>
        <v>0</v>
      </c>
    </row>
    <row r="12" spans="1:35">
      <c r="A12" s="5" t="s">
        <v>1065</v>
      </c>
      <c r="M12" s="615">
        <f>SUM(M10:M11)</f>
        <v>127</v>
      </c>
      <c r="N12" s="613">
        <f>SUM(N10:N11)</f>
        <v>75.5</v>
      </c>
      <c r="R12" s="87"/>
      <c r="S12" s="6" t="s">
        <v>1066</v>
      </c>
      <c r="Y12" t="s">
        <v>169</v>
      </c>
      <c r="Z12">
        <f>Z11*(1+Z$29)</f>
        <v>103.2</v>
      </c>
      <c r="AA12">
        <f t="shared" ref="AA12:AC12" si="2">AA11*(1+AA$29)</f>
        <v>102.2</v>
      </c>
      <c r="AB12">
        <f t="shared" si="2"/>
        <v>100.69999999999999</v>
      </c>
      <c r="AC12">
        <f t="shared" si="2"/>
        <v>100.29999999999998</v>
      </c>
      <c r="AD12" t="s">
        <v>169</v>
      </c>
      <c r="AE12">
        <f t="shared" ref="AE12:AE27" si="3">Z12-100</f>
        <v>3.2000000000000028</v>
      </c>
      <c r="AF12">
        <f t="shared" ref="AF12:AF27" si="4">AA12-100</f>
        <v>2.2000000000000028</v>
      </c>
      <c r="AG12">
        <f t="shared" ref="AG12:AG27" si="5">AB12-100</f>
        <v>0.69999999999998863</v>
      </c>
      <c r="AH12">
        <f t="shared" ref="AH12:AH27" si="6">AC12-100</f>
        <v>0.29999999999998295</v>
      </c>
    </row>
    <row r="13" spans="1:35">
      <c r="R13" s="87"/>
      <c r="S13" s="6"/>
      <c r="Y13" t="s">
        <v>170</v>
      </c>
      <c r="Z13">
        <f t="shared" ref="Z13:Z27" si="7">Z12*1.032</f>
        <v>106.50240000000001</v>
      </c>
      <c r="AA13">
        <f t="shared" ref="AA13:AA27" si="8">AA12*(1+AA$29)</f>
        <v>104.44840000000001</v>
      </c>
      <c r="AB13">
        <f t="shared" ref="AB13:AB27" si="9">AB12*(1+AB$29)</f>
        <v>101.40489999999998</v>
      </c>
      <c r="AC13">
        <f t="shared" ref="AC13:AC27" si="10">AC12*(1+AC$29)</f>
        <v>100.60089999999997</v>
      </c>
      <c r="AD13" t="s">
        <v>170</v>
      </c>
      <c r="AE13">
        <f t="shared" si="3"/>
        <v>6.5024000000000086</v>
      </c>
      <c r="AF13">
        <f t="shared" si="4"/>
        <v>4.4484000000000066</v>
      </c>
      <c r="AG13">
        <f t="shared" si="5"/>
        <v>1.4048999999999836</v>
      </c>
      <c r="AH13">
        <f t="shared" si="6"/>
        <v>0.60089999999996735</v>
      </c>
    </row>
    <row r="14" spans="1:35">
      <c r="A14" s="609" t="s">
        <v>1067</v>
      </c>
      <c r="R14" s="87"/>
      <c r="S14" s="6"/>
      <c r="Y14" t="s">
        <v>171</v>
      </c>
      <c r="Z14">
        <f t="shared" si="7"/>
        <v>109.91047680000001</v>
      </c>
      <c r="AA14">
        <f t="shared" si="8"/>
        <v>106.74626480000001</v>
      </c>
      <c r="AB14">
        <f t="shared" si="9"/>
        <v>102.11473429999997</v>
      </c>
      <c r="AC14">
        <f t="shared" si="10"/>
        <v>100.90270269999996</v>
      </c>
      <c r="AD14" t="s">
        <v>171</v>
      </c>
      <c r="AE14">
        <f t="shared" si="3"/>
        <v>9.9104768000000121</v>
      </c>
      <c r="AF14">
        <f t="shared" si="4"/>
        <v>6.7462648000000058</v>
      </c>
      <c r="AG14">
        <f t="shared" si="5"/>
        <v>2.1147342999999665</v>
      </c>
      <c r="AH14">
        <f t="shared" si="6"/>
        <v>0.90270269999996344</v>
      </c>
    </row>
    <row r="15" spans="1:35">
      <c r="A15" t="s">
        <v>166</v>
      </c>
      <c r="B15" s="304">
        <f>B5</f>
        <v>324.17200000000003</v>
      </c>
      <c r="C15" s="304">
        <f t="shared" ref="C15:L15" si="11">C5</f>
        <v>330.32900000000001</v>
      </c>
      <c r="D15" s="304">
        <f t="shared" si="11"/>
        <v>314.28800000000001</v>
      </c>
      <c r="E15" s="304">
        <f t="shared" si="11"/>
        <v>309.65300000000002</v>
      </c>
      <c r="F15" s="304">
        <f t="shared" si="11"/>
        <v>308.35399999999998</v>
      </c>
      <c r="G15" s="304">
        <f t="shared" si="11"/>
        <v>307.81799999999998</v>
      </c>
      <c r="H15" s="304">
        <f t="shared" si="11"/>
        <v>306.74799999999999</v>
      </c>
      <c r="I15" s="304">
        <f t="shared" si="11"/>
        <v>304.33199999999999</v>
      </c>
      <c r="J15" s="304">
        <f t="shared" si="11"/>
        <v>315.75799999999998</v>
      </c>
      <c r="K15" s="304">
        <f t="shared" si="11"/>
        <v>321.12799999999999</v>
      </c>
      <c r="L15" s="304">
        <f t="shared" si="11"/>
        <v>345.505</v>
      </c>
      <c r="M15" s="606">
        <f>M5-M10</f>
        <v>349.79700000000003</v>
      </c>
      <c r="N15" s="606">
        <f>N5-N10</f>
        <v>377.20000000000005</v>
      </c>
      <c r="O15" s="351">
        <f t="shared" ref="O15:Q15" si="12">O5-O10</f>
        <v>449.8</v>
      </c>
      <c r="P15" s="351">
        <f t="shared" si="12"/>
        <v>452.6</v>
      </c>
      <c r="Q15" s="351">
        <f t="shared" si="12"/>
        <v>455</v>
      </c>
      <c r="R15" s="87"/>
      <c r="S15" s="6"/>
      <c r="Y15" t="s">
        <v>172</v>
      </c>
      <c r="Z15">
        <f t="shared" si="7"/>
        <v>113.42761205760002</v>
      </c>
      <c r="AA15">
        <f t="shared" si="8"/>
        <v>109.09468262560002</v>
      </c>
      <c r="AB15">
        <f t="shared" si="9"/>
        <v>102.82953744009995</v>
      </c>
      <c r="AC15">
        <f t="shared" si="10"/>
        <v>101.20541080809996</v>
      </c>
      <c r="AD15" t="s">
        <v>172</v>
      </c>
      <c r="AE15">
        <f t="shared" si="3"/>
        <v>13.427612057600015</v>
      </c>
      <c r="AF15">
        <f t="shared" si="4"/>
        <v>9.0946826256000151</v>
      </c>
      <c r="AG15">
        <f t="shared" si="5"/>
        <v>2.8295374400999549</v>
      </c>
      <c r="AH15">
        <f t="shared" si="6"/>
        <v>1.2054108080999555</v>
      </c>
    </row>
    <row r="16" spans="1:35">
      <c r="A16" t="s">
        <v>1064</v>
      </c>
      <c r="B16" s="304">
        <f t="shared" ref="B16:L17" si="13">B6</f>
        <v>57.006999999999998</v>
      </c>
      <c r="C16" s="304">
        <f t="shared" si="13"/>
        <v>49.816000000000003</v>
      </c>
      <c r="D16" s="304">
        <f t="shared" si="13"/>
        <v>49.765999999999998</v>
      </c>
      <c r="E16" s="304">
        <f t="shared" si="13"/>
        <v>46.375</v>
      </c>
      <c r="F16" s="304">
        <f t="shared" si="13"/>
        <v>49.749000000000002</v>
      </c>
      <c r="G16" s="304">
        <f t="shared" si="13"/>
        <v>53.203000000000003</v>
      </c>
      <c r="H16" s="304">
        <f t="shared" si="13"/>
        <v>48.603000000000002</v>
      </c>
      <c r="I16" s="304">
        <f t="shared" si="13"/>
        <v>51.298000000000002</v>
      </c>
      <c r="J16" s="304">
        <f t="shared" si="13"/>
        <v>55.625999999999998</v>
      </c>
      <c r="K16" s="304">
        <f t="shared" si="13"/>
        <v>62.561999999999998</v>
      </c>
      <c r="L16" s="304">
        <f t="shared" si="13"/>
        <v>70.159000000000006</v>
      </c>
      <c r="M16" s="606">
        <f t="shared" ref="M16:Q17" si="14">M6-M11</f>
        <v>89.117000000000004</v>
      </c>
      <c r="N16" s="606">
        <f t="shared" si="14"/>
        <v>92.1</v>
      </c>
      <c r="O16" s="351">
        <f t="shared" si="14"/>
        <v>118.3</v>
      </c>
      <c r="P16" s="351">
        <f t="shared" si="14"/>
        <v>113.6</v>
      </c>
      <c r="Q16" s="351">
        <f t="shared" si="14"/>
        <v>115.2</v>
      </c>
      <c r="R16" s="87"/>
      <c r="S16" s="6"/>
      <c r="Y16" t="s">
        <v>173</v>
      </c>
      <c r="Z16">
        <f t="shared" si="7"/>
        <v>117.05729564344323</v>
      </c>
      <c r="AA16">
        <f t="shared" si="8"/>
        <v>111.49476564336322</v>
      </c>
      <c r="AB16">
        <f t="shared" si="9"/>
        <v>103.54934420218065</v>
      </c>
      <c r="AC16">
        <f t="shared" si="10"/>
        <v>101.50902704052424</v>
      </c>
      <c r="AD16" t="s">
        <v>173</v>
      </c>
      <c r="AE16">
        <f t="shared" si="3"/>
        <v>17.057295643443226</v>
      </c>
      <c r="AF16">
        <f t="shared" si="4"/>
        <v>11.494765643363223</v>
      </c>
      <c r="AG16">
        <f t="shared" si="5"/>
        <v>3.5493442021806487</v>
      </c>
      <c r="AH16">
        <f t="shared" si="6"/>
        <v>1.509027040524245</v>
      </c>
      <c r="AI16" s="900"/>
    </row>
    <row r="17" spans="1:35">
      <c r="A17" t="s">
        <v>403</v>
      </c>
      <c r="B17" s="304">
        <f t="shared" si="13"/>
        <v>381.17899999999997</v>
      </c>
      <c r="C17" s="304">
        <f t="shared" si="13"/>
        <v>380.14499999999998</v>
      </c>
      <c r="D17" s="304">
        <f t="shared" si="13"/>
        <v>364.05399999999997</v>
      </c>
      <c r="E17" s="304">
        <f t="shared" si="13"/>
        <v>356.02800000000002</v>
      </c>
      <c r="F17" s="304">
        <f t="shared" si="13"/>
        <v>358.10300000000001</v>
      </c>
      <c r="G17" s="304">
        <f t="shared" si="13"/>
        <v>361.02100000000002</v>
      </c>
      <c r="H17" s="304">
        <f t="shared" si="13"/>
        <v>355.351</v>
      </c>
      <c r="I17" s="304">
        <f t="shared" si="13"/>
        <v>361.13100000000003</v>
      </c>
      <c r="J17" s="304">
        <f t="shared" si="13"/>
        <v>371.38400000000001</v>
      </c>
      <c r="K17" s="304">
        <f t="shared" si="13"/>
        <v>383.69</v>
      </c>
      <c r="L17" s="304">
        <f t="shared" si="13"/>
        <v>415.66500000000002</v>
      </c>
      <c r="M17" s="606">
        <f t="shared" si="14"/>
        <v>438.91399999999999</v>
      </c>
      <c r="N17" s="606">
        <f t="shared" si="14"/>
        <v>469.29999999999995</v>
      </c>
      <c r="O17" s="351">
        <f t="shared" si="14"/>
        <v>568.1</v>
      </c>
      <c r="P17" s="351">
        <f t="shared" si="14"/>
        <v>566.20000000000005</v>
      </c>
      <c r="Q17" s="351">
        <f t="shared" si="14"/>
        <v>570.20000000000005</v>
      </c>
      <c r="R17" s="87"/>
      <c r="S17" s="6"/>
      <c r="Y17" t="s">
        <v>174</v>
      </c>
      <c r="Z17">
        <f t="shared" si="7"/>
        <v>120.80312910403342</v>
      </c>
      <c r="AA17">
        <f t="shared" si="8"/>
        <v>113.94765048751722</v>
      </c>
      <c r="AB17">
        <f t="shared" si="9"/>
        <v>104.2741896115959</v>
      </c>
      <c r="AC17">
        <f t="shared" si="10"/>
        <v>101.81355412164581</v>
      </c>
      <c r="AD17" t="s">
        <v>174</v>
      </c>
      <c r="AE17">
        <f t="shared" si="3"/>
        <v>20.803129104033417</v>
      </c>
      <c r="AF17">
        <f t="shared" si="4"/>
        <v>13.947650487517222</v>
      </c>
      <c r="AG17">
        <f t="shared" si="5"/>
        <v>4.2741896115959008</v>
      </c>
      <c r="AH17">
        <f t="shared" si="6"/>
        <v>1.813554121645808</v>
      </c>
      <c r="AI17" s="900">
        <v>4</v>
      </c>
    </row>
    <row r="18" spans="1:35">
      <c r="A18" s="616" t="s">
        <v>690</v>
      </c>
      <c r="B18" s="616">
        <f>B17-SUM(B15:B16)</f>
        <v>0</v>
      </c>
      <c r="C18" s="616">
        <f t="shared" ref="C18:P18" si="15">C17-SUM(C15:C16)</f>
        <v>0</v>
      </c>
      <c r="D18" s="616">
        <f t="shared" si="15"/>
        <v>0</v>
      </c>
      <c r="E18" s="616">
        <f t="shared" si="15"/>
        <v>0</v>
      </c>
      <c r="F18" s="616">
        <f t="shared" si="15"/>
        <v>0</v>
      </c>
      <c r="G18" s="616">
        <f t="shared" si="15"/>
        <v>0</v>
      </c>
      <c r="H18" s="616">
        <f t="shared" si="15"/>
        <v>0</v>
      </c>
      <c r="I18" s="616">
        <f t="shared" si="15"/>
        <v>5.5010000000000332</v>
      </c>
      <c r="J18" s="616">
        <f t="shared" si="15"/>
        <v>0</v>
      </c>
      <c r="K18" s="616">
        <f t="shared" si="15"/>
        <v>0</v>
      </c>
      <c r="L18" s="616">
        <f t="shared" si="15"/>
        <v>1.0000000000331966E-3</v>
      </c>
      <c r="M18" s="616">
        <f t="shared" si="15"/>
        <v>0</v>
      </c>
      <c r="N18" s="616">
        <f t="shared" si="15"/>
        <v>0</v>
      </c>
      <c r="O18" s="616">
        <f t="shared" si="15"/>
        <v>0</v>
      </c>
      <c r="P18" s="616">
        <f t="shared" si="15"/>
        <v>0</v>
      </c>
      <c r="Q18" s="616">
        <f>Q17-SUM(Q15:Q16)</f>
        <v>0</v>
      </c>
      <c r="R18" s="87"/>
      <c r="S18" s="6"/>
      <c r="Y18" t="s">
        <v>139</v>
      </c>
      <c r="Z18">
        <f t="shared" si="7"/>
        <v>124.66882923536249</v>
      </c>
      <c r="AA18">
        <f t="shared" si="8"/>
        <v>116.4544987982426</v>
      </c>
      <c r="AB18">
        <f t="shared" si="9"/>
        <v>105.00410893887707</v>
      </c>
      <c r="AC18">
        <f t="shared" si="10"/>
        <v>102.11899478401074</v>
      </c>
      <c r="AD18" t="s">
        <v>139</v>
      </c>
      <c r="AE18">
        <f t="shared" si="3"/>
        <v>24.668829235362495</v>
      </c>
      <c r="AF18">
        <f t="shared" si="4"/>
        <v>16.454498798242597</v>
      </c>
      <c r="AG18">
        <f t="shared" si="5"/>
        <v>5.0041089388770672</v>
      </c>
      <c r="AH18">
        <f t="shared" si="6"/>
        <v>2.1189947840107379</v>
      </c>
      <c r="AI18" s="900">
        <v>4</v>
      </c>
    </row>
    <row r="19" spans="1:35" ht="15" thickBot="1">
      <c r="A19" s="134"/>
      <c r="B19" s="311"/>
      <c r="C19" s="311"/>
      <c r="D19" s="311"/>
      <c r="E19" s="311"/>
      <c r="F19" s="311"/>
      <c r="G19" s="311"/>
      <c r="H19" s="311"/>
      <c r="I19" s="311"/>
      <c r="J19" s="311"/>
      <c r="K19" s="311"/>
      <c r="L19" s="311"/>
      <c r="M19" s="311"/>
      <c r="N19" s="311"/>
      <c r="O19" s="311"/>
      <c r="P19" s="311"/>
      <c r="Q19" s="312"/>
      <c r="R19" s="344"/>
      <c r="S19" s="312"/>
      <c r="Y19" t="s">
        <v>328</v>
      </c>
      <c r="Z19">
        <f t="shared" si="7"/>
        <v>128.6582317708941</v>
      </c>
      <c r="AA19">
        <f t="shared" si="8"/>
        <v>119.01649777180394</v>
      </c>
      <c r="AB19">
        <f t="shared" si="9"/>
        <v>105.7391377014492</v>
      </c>
      <c r="AC19">
        <f t="shared" si="10"/>
        <v>102.42535176836276</v>
      </c>
      <c r="AD19" t="s">
        <v>328</v>
      </c>
      <c r="AE19">
        <f t="shared" si="3"/>
        <v>28.658231770894105</v>
      </c>
      <c r="AF19">
        <f t="shared" si="4"/>
        <v>19.016497771803941</v>
      </c>
      <c r="AG19">
        <f t="shared" si="5"/>
        <v>5.7391377014491951</v>
      </c>
      <c r="AH19">
        <f t="shared" si="6"/>
        <v>2.4253517683627592</v>
      </c>
      <c r="AI19" s="900">
        <v>4</v>
      </c>
    </row>
    <row r="20" spans="1:35" ht="15" thickBot="1">
      <c r="Y20" t="s">
        <v>330</v>
      </c>
      <c r="Z20">
        <f t="shared" si="7"/>
        <v>132.77529518756273</v>
      </c>
      <c r="AA20">
        <f t="shared" si="8"/>
        <v>121.63486072278363</v>
      </c>
      <c r="AB20">
        <f t="shared" si="9"/>
        <v>106.47931166535933</v>
      </c>
      <c r="AC20">
        <f t="shared" si="10"/>
        <v>102.73262782366784</v>
      </c>
      <c r="AD20" t="s">
        <v>330</v>
      </c>
      <c r="AE20">
        <f t="shared" si="3"/>
        <v>32.775295187562733</v>
      </c>
      <c r="AF20">
        <f t="shared" si="4"/>
        <v>21.634860722783628</v>
      </c>
      <c r="AG20">
        <f t="shared" si="5"/>
        <v>6.479311665359333</v>
      </c>
      <c r="AH20">
        <f t="shared" si="6"/>
        <v>2.7326278236678405</v>
      </c>
      <c r="AI20" s="900">
        <v>4</v>
      </c>
    </row>
    <row r="21" spans="1:35" ht="15" thickBot="1">
      <c r="A21" s="47" t="s">
        <v>729</v>
      </c>
      <c r="B21" s="333" cm="1">
        <f t="array" ref="B21:Q21">TRANSPOSE(Deflator_OBR!R102:R117)</f>
        <v>0</v>
      </c>
      <c r="C21" s="333">
        <v>0</v>
      </c>
      <c r="D21" s="333">
        <v>0</v>
      </c>
      <c r="E21" s="333">
        <v>0</v>
      </c>
      <c r="F21" s="333">
        <v>0</v>
      </c>
      <c r="G21" s="333">
        <v>0</v>
      </c>
      <c r="H21" s="333">
        <v>0</v>
      </c>
      <c r="I21" s="333">
        <v>0</v>
      </c>
      <c r="J21" s="333">
        <v>0</v>
      </c>
      <c r="K21" s="333">
        <v>0</v>
      </c>
      <c r="L21" s="333">
        <v>0</v>
      </c>
      <c r="M21" s="333">
        <v>0</v>
      </c>
      <c r="N21" s="333">
        <v>0</v>
      </c>
      <c r="O21" s="333">
        <v>0</v>
      </c>
      <c r="P21" s="333">
        <v>0</v>
      </c>
      <c r="Q21" s="347">
        <v>0</v>
      </c>
      <c r="Y21" t="s">
        <v>332</v>
      </c>
      <c r="Z21">
        <f t="shared" si="7"/>
        <v>137.02410463356475</v>
      </c>
      <c r="AA21">
        <f t="shared" si="8"/>
        <v>124.31082765868487</v>
      </c>
      <c r="AB21">
        <f t="shared" si="9"/>
        <v>107.22466684701683</v>
      </c>
      <c r="AC21">
        <f t="shared" si="10"/>
        <v>103.04082570713884</v>
      </c>
      <c r="AD21" t="s">
        <v>332</v>
      </c>
      <c r="AE21">
        <f t="shared" si="3"/>
        <v>37.024104633564747</v>
      </c>
      <c r="AF21">
        <f t="shared" si="4"/>
        <v>24.310827658684872</v>
      </c>
      <c r="AG21">
        <f t="shared" si="5"/>
        <v>7.2246668470168345</v>
      </c>
      <c r="AH21">
        <f t="shared" si="6"/>
        <v>3.0408257071388363</v>
      </c>
      <c r="AI21" s="900">
        <v>4</v>
      </c>
    </row>
    <row r="22" spans="1:35" ht="15" thickBot="1">
      <c r="A22" s="346"/>
      <c r="B22" s="345"/>
      <c r="C22" s="345"/>
      <c r="D22" s="345"/>
      <c r="E22" s="345"/>
      <c r="F22" s="345"/>
      <c r="G22" s="345"/>
      <c r="H22" s="345"/>
      <c r="I22" s="345"/>
      <c r="J22" s="345"/>
      <c r="K22" s="345"/>
      <c r="L22" s="345"/>
      <c r="M22" s="345"/>
      <c r="N22" s="345"/>
      <c r="O22" s="345"/>
      <c r="P22" s="345"/>
      <c r="Q22" s="345"/>
      <c r="Y22" t="s">
        <v>334</v>
      </c>
      <c r="Z22">
        <f t="shared" si="7"/>
        <v>141.40887598183883</v>
      </c>
      <c r="AA22">
        <f t="shared" si="8"/>
        <v>127.04566586717594</v>
      </c>
      <c r="AB22">
        <f t="shared" si="9"/>
        <v>107.97523951494594</v>
      </c>
      <c r="AC22">
        <f t="shared" si="10"/>
        <v>103.34994818426024</v>
      </c>
      <c r="AD22" t="s">
        <v>334</v>
      </c>
      <c r="AE22">
        <f t="shared" si="3"/>
        <v>41.408875981838833</v>
      </c>
      <c r="AF22">
        <f t="shared" si="4"/>
        <v>27.045665867175941</v>
      </c>
      <c r="AG22">
        <f t="shared" si="5"/>
        <v>7.9752395149459403</v>
      </c>
      <c r="AH22">
        <f t="shared" si="6"/>
        <v>3.3499481842602421</v>
      </c>
      <c r="AI22" s="900">
        <v>4</v>
      </c>
    </row>
    <row r="23" spans="1:35" ht="15" thickBot="1">
      <c r="A23" s="331" t="s">
        <v>730</v>
      </c>
      <c r="B23" s="326" t="s">
        <v>325</v>
      </c>
      <c r="C23" s="326" t="s">
        <v>188</v>
      </c>
      <c r="D23" s="326" t="s">
        <v>189</v>
      </c>
      <c r="E23" s="326" t="s">
        <v>681</v>
      </c>
      <c r="F23" s="326" t="s">
        <v>245</v>
      </c>
      <c r="G23" s="326" t="s">
        <v>192</v>
      </c>
      <c r="H23" s="326" t="s">
        <v>193</v>
      </c>
      <c r="I23" s="326" t="s">
        <v>165</v>
      </c>
      <c r="J23" s="326" t="s">
        <v>167</v>
      </c>
      <c r="K23" s="326" t="s">
        <v>168</v>
      </c>
      <c r="L23" s="326" t="s">
        <v>169</v>
      </c>
      <c r="M23" s="327" t="s">
        <v>170</v>
      </c>
      <c r="N23" s="327" t="s">
        <v>171</v>
      </c>
      <c r="O23" s="328" t="s">
        <v>172</v>
      </c>
      <c r="P23" s="328" t="s">
        <v>173</v>
      </c>
      <c r="Q23" s="332" t="s">
        <v>174</v>
      </c>
      <c r="R23" s="1049"/>
      <c r="S23" s="1050"/>
      <c r="Y23" t="s">
        <v>1068</v>
      </c>
      <c r="Z23">
        <f t="shared" si="7"/>
        <v>145.93396001325769</v>
      </c>
      <c r="AA23">
        <f t="shared" si="8"/>
        <v>129.84067051625382</v>
      </c>
      <c r="AB23">
        <f t="shared" si="9"/>
        <v>108.73106619155055</v>
      </c>
      <c r="AC23">
        <f t="shared" si="10"/>
        <v>103.65999802881301</v>
      </c>
      <c r="AD23" t="s">
        <v>1068</v>
      </c>
      <c r="AE23">
        <f t="shared" si="3"/>
        <v>45.933960013257689</v>
      </c>
      <c r="AF23">
        <f t="shared" si="4"/>
        <v>29.840670516253823</v>
      </c>
      <c r="AG23">
        <f t="shared" si="5"/>
        <v>8.7310661915505534</v>
      </c>
      <c r="AH23">
        <f t="shared" si="6"/>
        <v>3.659998028813007</v>
      </c>
    </row>
    <row r="24" spans="1:35">
      <c r="A24" s="5"/>
      <c r="B24" s="2"/>
      <c r="C24" s="2"/>
      <c r="D24" s="2"/>
      <c r="E24" s="2"/>
      <c r="F24" s="2"/>
      <c r="G24" s="2"/>
      <c r="H24" s="2"/>
      <c r="I24" s="2"/>
      <c r="J24" s="2"/>
      <c r="K24" s="2"/>
      <c r="L24" s="2"/>
      <c r="M24" s="2"/>
      <c r="N24" s="2"/>
      <c r="O24" s="2"/>
      <c r="P24" s="2"/>
      <c r="Q24" s="6"/>
      <c r="R24" s="313"/>
      <c r="S24" s="307"/>
      <c r="Y24" t="s">
        <v>1069</v>
      </c>
      <c r="Z24">
        <f t="shared" si="7"/>
        <v>150.60384673368193</v>
      </c>
      <c r="AA24">
        <f t="shared" si="8"/>
        <v>132.69716526761141</v>
      </c>
      <c r="AB24">
        <f t="shared" si="9"/>
        <v>109.49218365489139</v>
      </c>
      <c r="AC24">
        <f t="shared" si="10"/>
        <v>103.97097802289943</v>
      </c>
      <c r="AD24" t="s">
        <v>1069</v>
      </c>
      <c r="AE24">
        <f t="shared" si="3"/>
        <v>50.603846733681934</v>
      </c>
      <c r="AF24">
        <f t="shared" si="4"/>
        <v>32.69716526761141</v>
      </c>
      <c r="AG24">
        <f t="shared" si="5"/>
        <v>9.4921836548913916</v>
      </c>
      <c r="AH24">
        <f t="shared" si="6"/>
        <v>3.9709780228994305</v>
      </c>
    </row>
    <row r="25" spans="1:35">
      <c r="A25" s="610" t="s">
        <v>1070</v>
      </c>
      <c r="B25" s="1"/>
      <c r="C25" s="1"/>
      <c r="D25" s="1"/>
      <c r="E25" s="1"/>
      <c r="F25" s="1"/>
      <c r="G25" s="1"/>
      <c r="H25" s="1"/>
      <c r="I25" s="1"/>
      <c r="J25" s="1"/>
      <c r="K25" s="1"/>
      <c r="L25" s="1"/>
      <c r="M25" s="1"/>
      <c r="N25" s="1"/>
      <c r="O25" s="14"/>
      <c r="P25" s="14"/>
      <c r="Q25" s="6"/>
      <c r="R25" s="313"/>
      <c r="S25" s="307"/>
      <c r="Y25" t="s">
        <v>1071</v>
      </c>
      <c r="Z25">
        <f t="shared" si="7"/>
        <v>155.42316982915975</v>
      </c>
      <c r="AA25">
        <f t="shared" si="8"/>
        <v>135.61650290349885</v>
      </c>
      <c r="AB25">
        <f t="shared" si="9"/>
        <v>110.25862894047562</v>
      </c>
      <c r="AC25">
        <f t="shared" si="10"/>
        <v>104.28289095696812</v>
      </c>
      <c r="AD25" t="s">
        <v>1071</v>
      </c>
      <c r="AE25">
        <f t="shared" si="3"/>
        <v>55.423169829159747</v>
      </c>
      <c r="AF25">
        <f t="shared" si="4"/>
        <v>35.616502903498855</v>
      </c>
      <c r="AG25">
        <f t="shared" si="5"/>
        <v>10.258628940475617</v>
      </c>
      <c r="AH25">
        <f t="shared" si="6"/>
        <v>4.2828909569681173</v>
      </c>
    </row>
    <row r="26" spans="1:35">
      <c r="A26" s="5" t="s">
        <v>1057</v>
      </c>
      <c r="B26" s="10" t="e">
        <f>B5/B$21*$O$21</f>
        <v>#DIV/0!</v>
      </c>
      <c r="C26" s="10" t="e">
        <f t="shared" ref="C26:Q26" si="16">C5/C$21*$O$21</f>
        <v>#DIV/0!</v>
      </c>
      <c r="D26" s="10" t="e">
        <f t="shared" si="16"/>
        <v>#DIV/0!</v>
      </c>
      <c r="E26" s="10" t="e">
        <f t="shared" si="16"/>
        <v>#DIV/0!</v>
      </c>
      <c r="F26" s="10" t="e">
        <f t="shared" si="16"/>
        <v>#DIV/0!</v>
      </c>
      <c r="G26" s="10" t="e">
        <f t="shared" si="16"/>
        <v>#DIV/0!</v>
      </c>
      <c r="H26" s="10" t="e">
        <f t="shared" si="16"/>
        <v>#DIV/0!</v>
      </c>
      <c r="I26" s="10" t="e">
        <f t="shared" si="16"/>
        <v>#DIV/0!</v>
      </c>
      <c r="J26" s="10" t="e">
        <f t="shared" si="16"/>
        <v>#DIV/0!</v>
      </c>
      <c r="K26" s="10" t="e">
        <f t="shared" si="16"/>
        <v>#DIV/0!</v>
      </c>
      <c r="L26" s="10" t="e">
        <f t="shared" si="16"/>
        <v>#DIV/0!</v>
      </c>
      <c r="M26" s="10" t="e">
        <f t="shared" si="16"/>
        <v>#DIV/0!</v>
      </c>
      <c r="N26" s="10" t="e">
        <f t="shared" si="16"/>
        <v>#DIV/0!</v>
      </c>
      <c r="O26" s="10" t="e">
        <f t="shared" si="16"/>
        <v>#DIV/0!</v>
      </c>
      <c r="P26" s="10" t="e">
        <f t="shared" si="16"/>
        <v>#DIV/0!</v>
      </c>
      <c r="Q26" s="10" t="e">
        <f t="shared" si="16"/>
        <v>#DIV/0!</v>
      </c>
      <c r="R26" s="314"/>
      <c r="S26" s="308"/>
      <c r="Y26" t="s">
        <v>1072</v>
      </c>
      <c r="Z26">
        <f t="shared" si="7"/>
        <v>160.39671126369285</v>
      </c>
      <c r="AA26">
        <f t="shared" si="8"/>
        <v>138.60006596737583</v>
      </c>
      <c r="AB26">
        <f t="shared" si="9"/>
        <v>111.03043934305893</v>
      </c>
      <c r="AC26">
        <f t="shared" si="10"/>
        <v>104.59573962983902</v>
      </c>
      <c r="AD26" t="s">
        <v>1072</v>
      </c>
      <c r="AE26">
        <f t="shared" si="3"/>
        <v>60.39671126369285</v>
      </c>
      <c r="AF26">
        <f t="shared" si="4"/>
        <v>38.600065967375826</v>
      </c>
      <c r="AG26">
        <f t="shared" si="5"/>
        <v>11.03043934305893</v>
      </c>
      <c r="AH26">
        <f t="shared" si="6"/>
        <v>4.5957396298390165</v>
      </c>
    </row>
    <row r="27" spans="1:35">
      <c r="A27" s="5" t="s">
        <v>1058</v>
      </c>
      <c r="B27" s="10" t="e">
        <f t="shared" ref="B27:Q27" si="17">B6/B$21*$O$21</f>
        <v>#DIV/0!</v>
      </c>
      <c r="C27" s="10" t="e">
        <f t="shared" si="17"/>
        <v>#DIV/0!</v>
      </c>
      <c r="D27" s="10" t="e">
        <f t="shared" si="17"/>
        <v>#DIV/0!</v>
      </c>
      <c r="E27" s="10" t="e">
        <f t="shared" si="17"/>
        <v>#DIV/0!</v>
      </c>
      <c r="F27" s="10" t="e">
        <f t="shared" si="17"/>
        <v>#DIV/0!</v>
      </c>
      <c r="G27" s="10" t="e">
        <f t="shared" si="17"/>
        <v>#DIV/0!</v>
      </c>
      <c r="H27" s="10" t="e">
        <f t="shared" si="17"/>
        <v>#DIV/0!</v>
      </c>
      <c r="I27" s="10" t="e">
        <f t="shared" si="17"/>
        <v>#DIV/0!</v>
      </c>
      <c r="J27" s="10" t="e">
        <f t="shared" si="17"/>
        <v>#DIV/0!</v>
      </c>
      <c r="K27" s="10" t="e">
        <f t="shared" si="17"/>
        <v>#DIV/0!</v>
      </c>
      <c r="L27" s="10" t="e">
        <f t="shared" si="17"/>
        <v>#DIV/0!</v>
      </c>
      <c r="M27" s="10" t="e">
        <f t="shared" si="17"/>
        <v>#DIV/0!</v>
      </c>
      <c r="N27" s="10" t="e">
        <f t="shared" si="17"/>
        <v>#DIV/0!</v>
      </c>
      <c r="O27" s="10" t="e">
        <f t="shared" si="17"/>
        <v>#DIV/0!</v>
      </c>
      <c r="P27" s="10" t="e">
        <f t="shared" si="17"/>
        <v>#DIV/0!</v>
      </c>
      <c r="Q27" s="10" t="e">
        <f t="shared" si="17"/>
        <v>#DIV/0!</v>
      </c>
      <c r="R27" s="87"/>
      <c r="S27" s="307"/>
      <c r="Y27" t="s">
        <v>1073</v>
      </c>
      <c r="Z27">
        <f t="shared" si="7"/>
        <v>165.52940602413102</v>
      </c>
      <c r="AA27">
        <f t="shared" si="8"/>
        <v>141.6492674186581</v>
      </c>
      <c r="AB27">
        <f t="shared" si="9"/>
        <v>111.80765241846034</v>
      </c>
      <c r="AC27">
        <f t="shared" si="10"/>
        <v>104.90952684872852</v>
      </c>
      <c r="AD27" t="s">
        <v>1073</v>
      </c>
      <c r="AE27">
        <f t="shared" si="3"/>
        <v>65.529406024131021</v>
      </c>
      <c r="AF27">
        <f t="shared" si="4"/>
        <v>41.649267418658098</v>
      </c>
      <c r="AG27">
        <f t="shared" si="5"/>
        <v>11.807652418460336</v>
      </c>
      <c r="AH27">
        <f t="shared" si="6"/>
        <v>4.9095268487285182</v>
      </c>
    </row>
    <row r="28" spans="1:35">
      <c r="A28" s="5" t="s">
        <v>1059</v>
      </c>
      <c r="B28" s="10" t="e">
        <f t="shared" ref="B28:Q28" si="18">B7/B$21*$O$21</f>
        <v>#DIV/0!</v>
      </c>
      <c r="C28" s="10" t="e">
        <f t="shared" si="18"/>
        <v>#DIV/0!</v>
      </c>
      <c r="D28" s="10" t="e">
        <f t="shared" si="18"/>
        <v>#DIV/0!</v>
      </c>
      <c r="E28" s="10" t="e">
        <f t="shared" si="18"/>
        <v>#DIV/0!</v>
      </c>
      <c r="F28" s="10" t="e">
        <f t="shared" si="18"/>
        <v>#DIV/0!</v>
      </c>
      <c r="G28" s="10" t="e">
        <f t="shared" si="18"/>
        <v>#DIV/0!</v>
      </c>
      <c r="H28" s="10" t="e">
        <f t="shared" si="18"/>
        <v>#DIV/0!</v>
      </c>
      <c r="I28" s="10" t="e">
        <f t="shared" si="18"/>
        <v>#DIV/0!</v>
      </c>
      <c r="J28" s="10" t="e">
        <f t="shared" si="18"/>
        <v>#DIV/0!</v>
      </c>
      <c r="K28" s="10" t="e">
        <f t="shared" si="18"/>
        <v>#DIV/0!</v>
      </c>
      <c r="L28" s="10" t="e">
        <f t="shared" si="18"/>
        <v>#DIV/0!</v>
      </c>
      <c r="M28" s="10" t="e">
        <f t="shared" si="18"/>
        <v>#DIV/0!</v>
      </c>
      <c r="N28" s="10" t="e">
        <f t="shared" si="18"/>
        <v>#DIV/0!</v>
      </c>
      <c r="O28" s="10" t="e">
        <f t="shared" si="18"/>
        <v>#DIV/0!</v>
      </c>
      <c r="P28" s="10" t="e">
        <f t="shared" si="18"/>
        <v>#DIV/0!</v>
      </c>
      <c r="Q28" s="10" t="e">
        <f t="shared" si="18"/>
        <v>#DIV/0!</v>
      </c>
      <c r="R28" s="313"/>
      <c r="S28" s="307"/>
    </row>
    <row r="29" spans="1:35">
      <c r="A29" s="5"/>
      <c r="B29" s="10"/>
      <c r="C29" s="10"/>
      <c r="D29" s="10"/>
      <c r="E29" s="10"/>
      <c r="F29" s="10"/>
      <c r="G29" s="10"/>
      <c r="H29" s="10"/>
      <c r="I29" s="10"/>
      <c r="J29" s="10"/>
      <c r="K29" s="10"/>
      <c r="L29" s="10"/>
      <c r="M29" s="10"/>
      <c r="N29" s="10"/>
      <c r="O29" s="10"/>
      <c r="P29" s="10"/>
      <c r="Q29" s="10"/>
      <c r="R29" s="89"/>
      <c r="S29" s="307"/>
      <c r="Z29" s="98">
        <v>3.2000000000000001E-2</v>
      </c>
      <c r="AA29" s="98">
        <v>2.1999999999999999E-2</v>
      </c>
      <c r="AB29" s="98">
        <v>7.0000000000000001E-3</v>
      </c>
      <c r="AC29" s="98">
        <v>3.0000000000000001E-3</v>
      </c>
    </row>
    <row r="30" spans="1:35">
      <c r="A30" s="619" t="s">
        <v>1060</v>
      </c>
      <c r="B30" s="10"/>
      <c r="C30" s="10"/>
      <c r="D30" s="10"/>
      <c r="E30" s="10"/>
      <c r="F30" s="10"/>
      <c r="G30" s="10"/>
      <c r="H30" s="10"/>
      <c r="I30" s="10"/>
      <c r="J30" s="10"/>
      <c r="K30" s="10"/>
      <c r="L30" s="10"/>
      <c r="M30" s="10"/>
      <c r="N30" s="10"/>
      <c r="O30" s="10"/>
      <c r="P30" s="10"/>
      <c r="Q30" s="10"/>
      <c r="R30" s="89"/>
      <c r="S30" s="307"/>
    </row>
    <row r="31" spans="1:35">
      <c r="A31" s="5" t="s">
        <v>166</v>
      </c>
      <c r="B31" s="10"/>
      <c r="C31" s="10"/>
      <c r="D31" s="10"/>
      <c r="E31" s="10"/>
      <c r="F31" s="10"/>
      <c r="G31" s="10"/>
      <c r="H31" s="10"/>
      <c r="I31" s="10"/>
      <c r="J31" s="10"/>
      <c r="K31" s="10"/>
      <c r="L31" s="10"/>
      <c r="M31" s="10" t="e">
        <f t="shared" ref="M31:N31" si="19">M10/M$21*$O$21</f>
        <v>#DIV/0!</v>
      </c>
      <c r="N31" s="10" t="e">
        <f t="shared" si="19"/>
        <v>#DIV/0!</v>
      </c>
      <c r="O31" s="10"/>
      <c r="P31" s="10"/>
      <c r="Q31" s="10"/>
      <c r="R31" s="89"/>
      <c r="S31" s="307"/>
    </row>
    <row r="32" spans="1:35">
      <c r="A32" s="5" t="s">
        <v>1064</v>
      </c>
      <c r="B32" s="10"/>
      <c r="C32" s="10"/>
      <c r="D32" s="10"/>
      <c r="E32" s="10"/>
      <c r="F32" s="10"/>
      <c r="G32" s="10"/>
      <c r="H32" s="10"/>
      <c r="I32" s="10"/>
      <c r="J32" s="10"/>
      <c r="K32" s="10"/>
      <c r="L32" s="10"/>
      <c r="M32" s="10" t="e">
        <f t="shared" ref="M32:N32" si="20">M11/M$21*$O$21</f>
        <v>#DIV/0!</v>
      </c>
      <c r="N32" s="10" t="e">
        <f t="shared" si="20"/>
        <v>#DIV/0!</v>
      </c>
      <c r="O32" s="10"/>
      <c r="P32" s="10"/>
      <c r="Q32" s="10"/>
      <c r="R32" s="89"/>
      <c r="S32" s="307"/>
    </row>
    <row r="33" spans="1:19">
      <c r="A33" s="5" t="s">
        <v>1065</v>
      </c>
      <c r="B33" s="10"/>
      <c r="C33" s="10"/>
      <c r="D33" s="10"/>
      <c r="E33" s="10"/>
      <c r="F33" s="10"/>
      <c r="G33" s="10"/>
      <c r="H33" s="10"/>
      <c r="I33" s="10"/>
      <c r="J33" s="10"/>
      <c r="K33" s="10"/>
      <c r="L33" s="10"/>
      <c r="M33" s="10" t="e">
        <f t="shared" ref="M33:N33" si="21">M12/M$21*$O$21</f>
        <v>#DIV/0!</v>
      </c>
      <c r="N33" s="10" t="e">
        <f t="shared" si="21"/>
        <v>#DIV/0!</v>
      </c>
      <c r="O33" s="10"/>
      <c r="P33" s="10"/>
      <c r="Q33" s="10"/>
      <c r="R33" s="89"/>
      <c r="S33" s="307"/>
    </row>
    <row r="34" spans="1:19">
      <c r="B34" s="10"/>
      <c r="C34" s="10"/>
      <c r="D34" s="10"/>
      <c r="E34" s="10"/>
      <c r="F34" s="10"/>
      <c r="G34" s="10"/>
      <c r="H34" s="10"/>
      <c r="I34" s="10"/>
      <c r="J34" s="10"/>
      <c r="K34" s="10"/>
      <c r="L34" s="10"/>
      <c r="M34" s="10"/>
      <c r="N34" s="10"/>
      <c r="O34" s="10"/>
      <c r="P34" s="10"/>
      <c r="Q34" s="10"/>
      <c r="R34" s="89"/>
      <c r="S34" s="307"/>
    </row>
    <row r="35" spans="1:19">
      <c r="A35" s="620" t="s">
        <v>1067</v>
      </c>
      <c r="B35" s="10"/>
      <c r="C35" s="10"/>
      <c r="D35" s="10"/>
      <c r="E35" s="10"/>
      <c r="F35" s="10"/>
      <c r="G35" s="10"/>
      <c r="H35" s="10"/>
      <c r="I35" s="10"/>
      <c r="J35" s="10"/>
      <c r="K35" s="10"/>
      <c r="L35" s="10"/>
      <c r="M35" s="10"/>
      <c r="N35" s="10"/>
      <c r="O35" s="10"/>
      <c r="P35" s="10"/>
      <c r="Q35" s="10"/>
      <c r="R35" s="89"/>
      <c r="S35" s="307"/>
    </row>
    <row r="36" spans="1:19">
      <c r="A36" t="s">
        <v>166</v>
      </c>
      <c r="B36" s="10" t="e">
        <f>B15/B$21*$O$21</f>
        <v>#DIV/0!</v>
      </c>
      <c r="C36" s="10" t="e">
        <f t="shared" ref="C36:Q36" si="22">C15/C$21*$O$21</f>
        <v>#DIV/0!</v>
      </c>
      <c r="D36" s="10" t="e">
        <f t="shared" si="22"/>
        <v>#DIV/0!</v>
      </c>
      <c r="E36" s="10" t="e">
        <f t="shared" si="22"/>
        <v>#DIV/0!</v>
      </c>
      <c r="F36" s="10" t="e">
        <f t="shared" si="22"/>
        <v>#DIV/0!</v>
      </c>
      <c r="G36" s="10" t="e">
        <f t="shared" si="22"/>
        <v>#DIV/0!</v>
      </c>
      <c r="H36" s="10" t="e">
        <f t="shared" si="22"/>
        <v>#DIV/0!</v>
      </c>
      <c r="I36" s="10" t="e">
        <f t="shared" si="22"/>
        <v>#DIV/0!</v>
      </c>
      <c r="J36" s="10" t="e">
        <f t="shared" si="22"/>
        <v>#DIV/0!</v>
      </c>
      <c r="K36" s="10" t="e">
        <f t="shared" si="22"/>
        <v>#DIV/0!</v>
      </c>
      <c r="L36" s="10" t="e">
        <f t="shared" si="22"/>
        <v>#DIV/0!</v>
      </c>
      <c r="M36" s="10" t="e">
        <f t="shared" si="22"/>
        <v>#DIV/0!</v>
      </c>
      <c r="N36" s="10" t="e">
        <f t="shared" si="22"/>
        <v>#DIV/0!</v>
      </c>
      <c r="O36" s="10" t="e">
        <f t="shared" si="22"/>
        <v>#DIV/0!</v>
      </c>
      <c r="P36" s="10" t="e">
        <f t="shared" si="22"/>
        <v>#DIV/0!</v>
      </c>
      <c r="Q36" s="10" t="e">
        <f t="shared" si="22"/>
        <v>#DIV/0!</v>
      </c>
      <c r="R36" s="89"/>
      <c r="S36" s="307"/>
    </row>
    <row r="37" spans="1:19">
      <c r="A37" t="s">
        <v>1064</v>
      </c>
      <c r="B37" s="10" t="e">
        <f t="shared" ref="B37:Q37" si="23">B16/B$21*$O$21</f>
        <v>#DIV/0!</v>
      </c>
      <c r="C37" s="10" t="e">
        <f t="shared" si="23"/>
        <v>#DIV/0!</v>
      </c>
      <c r="D37" s="10" t="e">
        <f t="shared" si="23"/>
        <v>#DIV/0!</v>
      </c>
      <c r="E37" s="10" t="e">
        <f t="shared" si="23"/>
        <v>#DIV/0!</v>
      </c>
      <c r="F37" s="10" t="e">
        <f t="shared" si="23"/>
        <v>#DIV/0!</v>
      </c>
      <c r="G37" s="10" t="e">
        <f t="shared" si="23"/>
        <v>#DIV/0!</v>
      </c>
      <c r="H37" s="10" t="e">
        <f t="shared" si="23"/>
        <v>#DIV/0!</v>
      </c>
      <c r="I37" s="10" t="e">
        <f t="shared" si="23"/>
        <v>#DIV/0!</v>
      </c>
      <c r="J37" s="10" t="e">
        <f t="shared" si="23"/>
        <v>#DIV/0!</v>
      </c>
      <c r="K37" s="10" t="e">
        <f t="shared" si="23"/>
        <v>#DIV/0!</v>
      </c>
      <c r="L37" s="10" t="e">
        <f t="shared" si="23"/>
        <v>#DIV/0!</v>
      </c>
      <c r="M37" s="10" t="e">
        <f t="shared" si="23"/>
        <v>#DIV/0!</v>
      </c>
      <c r="N37" s="10" t="e">
        <f t="shared" si="23"/>
        <v>#DIV/0!</v>
      </c>
      <c r="O37" s="10" t="e">
        <f t="shared" si="23"/>
        <v>#DIV/0!</v>
      </c>
      <c r="P37" s="10" t="e">
        <f t="shared" si="23"/>
        <v>#DIV/0!</v>
      </c>
      <c r="Q37" s="10" t="e">
        <f t="shared" si="23"/>
        <v>#DIV/0!</v>
      </c>
      <c r="R37" s="89"/>
      <c r="S37" s="307"/>
    </row>
    <row r="38" spans="1:19">
      <c r="A38" t="s">
        <v>403</v>
      </c>
      <c r="B38" s="10" t="e">
        <f t="shared" ref="B38:Q38" si="24">B17/B$21*$O$21</f>
        <v>#DIV/0!</v>
      </c>
      <c r="C38" s="10" t="e">
        <f t="shared" si="24"/>
        <v>#DIV/0!</v>
      </c>
      <c r="D38" s="10" t="e">
        <f t="shared" si="24"/>
        <v>#DIV/0!</v>
      </c>
      <c r="E38" s="10" t="e">
        <f t="shared" si="24"/>
        <v>#DIV/0!</v>
      </c>
      <c r="F38" s="10" t="e">
        <f t="shared" si="24"/>
        <v>#DIV/0!</v>
      </c>
      <c r="G38" s="10" t="e">
        <f t="shared" si="24"/>
        <v>#DIV/0!</v>
      </c>
      <c r="H38" s="10" t="e">
        <f t="shared" si="24"/>
        <v>#DIV/0!</v>
      </c>
      <c r="I38" s="10" t="e">
        <f t="shared" si="24"/>
        <v>#DIV/0!</v>
      </c>
      <c r="J38" s="10" t="e">
        <f t="shared" si="24"/>
        <v>#DIV/0!</v>
      </c>
      <c r="K38" s="10" t="e">
        <f t="shared" si="24"/>
        <v>#DIV/0!</v>
      </c>
      <c r="L38" s="10" t="e">
        <f t="shared" si="24"/>
        <v>#DIV/0!</v>
      </c>
      <c r="M38" s="10" t="e">
        <f t="shared" si="24"/>
        <v>#DIV/0!</v>
      </c>
      <c r="N38" s="10" t="e">
        <f t="shared" si="24"/>
        <v>#DIV/0!</v>
      </c>
      <c r="O38" s="10" t="e">
        <f t="shared" si="24"/>
        <v>#DIV/0!</v>
      </c>
      <c r="P38" s="10" t="e">
        <f t="shared" si="24"/>
        <v>#DIV/0!</v>
      </c>
      <c r="Q38" s="10" t="e">
        <f t="shared" si="24"/>
        <v>#DIV/0!</v>
      </c>
      <c r="R38" s="89"/>
      <c r="S38" s="307"/>
    </row>
    <row r="39" spans="1:19">
      <c r="A39" s="616" t="s">
        <v>690</v>
      </c>
      <c r="B39" s="616" t="e">
        <f>B38-SUM(B36:B37)</f>
        <v>#DIV/0!</v>
      </c>
      <c r="C39" s="616" t="e">
        <f t="shared" ref="C39:Q39" si="25">C38-SUM(C36:C37)</f>
        <v>#DIV/0!</v>
      </c>
      <c r="D39" s="616" t="e">
        <f t="shared" si="25"/>
        <v>#DIV/0!</v>
      </c>
      <c r="E39" s="616" t="e">
        <f t="shared" si="25"/>
        <v>#DIV/0!</v>
      </c>
      <c r="F39" s="616" t="e">
        <f t="shared" si="25"/>
        <v>#DIV/0!</v>
      </c>
      <c r="G39" s="616" t="e">
        <f t="shared" si="25"/>
        <v>#DIV/0!</v>
      </c>
      <c r="H39" s="616" t="e">
        <f t="shared" si="25"/>
        <v>#DIV/0!</v>
      </c>
      <c r="I39" s="616" t="e">
        <f t="shared" si="25"/>
        <v>#DIV/0!</v>
      </c>
      <c r="J39" s="616" t="e">
        <f t="shared" si="25"/>
        <v>#DIV/0!</v>
      </c>
      <c r="K39" s="616" t="e">
        <f t="shared" si="25"/>
        <v>#DIV/0!</v>
      </c>
      <c r="L39" s="616" t="e">
        <f t="shared" si="25"/>
        <v>#DIV/0!</v>
      </c>
      <c r="M39" s="616" t="e">
        <f t="shared" si="25"/>
        <v>#DIV/0!</v>
      </c>
      <c r="N39" s="616" t="e">
        <f t="shared" si="25"/>
        <v>#DIV/0!</v>
      </c>
      <c r="O39" s="616" t="e">
        <f t="shared" si="25"/>
        <v>#DIV/0!</v>
      </c>
      <c r="P39" s="616" t="e">
        <f t="shared" si="25"/>
        <v>#DIV/0!</v>
      </c>
      <c r="Q39" s="616" t="e">
        <f t="shared" si="25"/>
        <v>#DIV/0!</v>
      </c>
      <c r="R39" s="87"/>
      <c r="S39" s="307"/>
    </row>
    <row r="40" spans="1:19">
      <c r="A40" s="5"/>
      <c r="B40" s="10"/>
      <c r="C40" s="10"/>
      <c r="D40" s="10"/>
      <c r="E40" s="10"/>
      <c r="F40" s="10"/>
      <c r="G40" s="10"/>
      <c r="H40" s="10"/>
      <c r="I40" s="10"/>
      <c r="J40" s="10"/>
      <c r="K40" s="10"/>
      <c r="L40" s="10"/>
      <c r="M40" s="10"/>
      <c r="N40" s="10"/>
      <c r="O40" s="10"/>
      <c r="P40" s="10"/>
      <c r="Q40" s="10"/>
      <c r="R40" s="87"/>
      <c r="S40" s="307"/>
    </row>
    <row r="41" spans="1:19" ht="15" thickBot="1">
      <c r="A41" s="85"/>
      <c r="B41" s="52"/>
      <c r="C41" s="52"/>
      <c r="D41" s="52"/>
      <c r="E41" s="52"/>
      <c r="F41" s="52"/>
      <c r="G41" s="52"/>
      <c r="H41" s="52"/>
      <c r="I41" s="52"/>
      <c r="J41" s="52"/>
      <c r="K41" s="52"/>
      <c r="L41" s="52"/>
      <c r="M41" s="52"/>
      <c r="N41" s="52"/>
      <c r="O41" s="52"/>
      <c r="P41" s="52"/>
      <c r="Q41" s="53"/>
      <c r="R41" s="93"/>
      <c r="S41" s="309"/>
    </row>
    <row r="42" spans="1:19" ht="15" thickBot="1"/>
    <row r="43" spans="1:19" ht="15" thickBot="1">
      <c r="A43" s="331" t="s">
        <v>735</v>
      </c>
      <c r="B43" s="326" t="s">
        <v>325</v>
      </c>
      <c r="C43" s="326" t="s">
        <v>188</v>
      </c>
      <c r="D43" s="326" t="s">
        <v>189</v>
      </c>
      <c r="E43" s="326" t="s">
        <v>681</v>
      </c>
      <c r="F43" s="326" t="s">
        <v>245</v>
      </c>
      <c r="G43" s="326" t="s">
        <v>192</v>
      </c>
      <c r="H43" s="326" t="s">
        <v>193</v>
      </c>
      <c r="I43" s="326" t="s">
        <v>165</v>
      </c>
      <c r="J43" s="326" t="s">
        <v>167</v>
      </c>
      <c r="K43" s="326" t="s">
        <v>168</v>
      </c>
      <c r="L43" s="326" t="s">
        <v>169</v>
      </c>
      <c r="M43" s="327" t="s">
        <v>170</v>
      </c>
      <c r="N43" s="328" t="s">
        <v>171</v>
      </c>
      <c r="O43" s="328" t="s">
        <v>172</v>
      </c>
      <c r="P43" s="328" t="s">
        <v>173</v>
      </c>
      <c r="Q43" s="332" t="s">
        <v>174</v>
      </c>
    </row>
    <row r="44" spans="1:19">
      <c r="A44" s="49"/>
      <c r="Q44" s="306"/>
    </row>
    <row r="45" spans="1:19">
      <c r="A45" s="611" t="s">
        <v>1070</v>
      </c>
      <c r="H45" s="97"/>
      <c r="I45" s="97"/>
      <c r="J45" s="97"/>
      <c r="K45" s="97"/>
      <c r="L45" s="97"/>
      <c r="M45" s="97"/>
      <c r="Q45" s="306"/>
    </row>
    <row r="46" spans="1:19">
      <c r="A46" s="5" t="s">
        <v>1057</v>
      </c>
      <c r="C46" s="352" t="e">
        <f>C26/B26-1</f>
        <v>#DIV/0!</v>
      </c>
      <c r="D46" s="352" t="e">
        <f t="shared" ref="D46:Q46" si="26">D26/C26-1</f>
        <v>#DIV/0!</v>
      </c>
      <c r="E46" s="352" t="e">
        <f t="shared" si="26"/>
        <v>#DIV/0!</v>
      </c>
      <c r="F46" s="352" t="e">
        <f t="shared" si="26"/>
        <v>#DIV/0!</v>
      </c>
      <c r="G46" s="352" t="e">
        <f t="shared" si="26"/>
        <v>#DIV/0!</v>
      </c>
      <c r="H46" s="352" t="e">
        <f t="shared" si="26"/>
        <v>#DIV/0!</v>
      </c>
      <c r="I46" s="352" t="e">
        <f t="shared" si="26"/>
        <v>#DIV/0!</v>
      </c>
      <c r="J46" s="352" t="e">
        <f t="shared" si="26"/>
        <v>#DIV/0!</v>
      </c>
      <c r="K46" s="352" t="e">
        <f t="shared" si="26"/>
        <v>#DIV/0!</v>
      </c>
      <c r="L46" s="352" t="e">
        <f t="shared" si="26"/>
        <v>#DIV/0!</v>
      </c>
      <c r="M46" s="352" t="e">
        <f t="shared" si="26"/>
        <v>#DIV/0!</v>
      </c>
      <c r="N46" s="352" t="e">
        <f t="shared" si="26"/>
        <v>#DIV/0!</v>
      </c>
      <c r="O46" s="352" t="e">
        <f t="shared" si="26"/>
        <v>#DIV/0!</v>
      </c>
      <c r="P46" s="352" t="e">
        <f t="shared" si="26"/>
        <v>#DIV/0!</v>
      </c>
      <c r="Q46" s="623" t="e">
        <f t="shared" si="26"/>
        <v>#DIV/0!</v>
      </c>
    </row>
    <row r="47" spans="1:19">
      <c r="A47" s="5" t="s">
        <v>1058</v>
      </c>
      <c r="C47" s="352" t="e">
        <f t="shared" ref="C47:Q47" si="27">C27/B27-1</f>
        <v>#DIV/0!</v>
      </c>
      <c r="D47" s="352" t="e">
        <f t="shared" si="27"/>
        <v>#DIV/0!</v>
      </c>
      <c r="E47" s="352" t="e">
        <f t="shared" si="27"/>
        <v>#DIV/0!</v>
      </c>
      <c r="F47" s="352" t="e">
        <f t="shared" si="27"/>
        <v>#DIV/0!</v>
      </c>
      <c r="G47" s="352" t="e">
        <f t="shared" si="27"/>
        <v>#DIV/0!</v>
      </c>
      <c r="H47" s="352" t="e">
        <f t="shared" si="27"/>
        <v>#DIV/0!</v>
      </c>
      <c r="I47" s="352" t="e">
        <f t="shared" si="27"/>
        <v>#DIV/0!</v>
      </c>
      <c r="J47" s="352" t="e">
        <f t="shared" si="27"/>
        <v>#DIV/0!</v>
      </c>
      <c r="K47" s="352" t="e">
        <f t="shared" si="27"/>
        <v>#DIV/0!</v>
      </c>
      <c r="L47" s="352" t="e">
        <f t="shared" si="27"/>
        <v>#DIV/0!</v>
      </c>
      <c r="M47" s="352" t="e">
        <f t="shared" si="27"/>
        <v>#DIV/0!</v>
      </c>
      <c r="N47" s="352" t="e">
        <f t="shared" si="27"/>
        <v>#DIV/0!</v>
      </c>
      <c r="O47" s="352" t="e">
        <f t="shared" si="27"/>
        <v>#DIV/0!</v>
      </c>
      <c r="P47" s="352" t="e">
        <f t="shared" si="27"/>
        <v>#DIV/0!</v>
      </c>
      <c r="Q47" s="623" t="e">
        <f t="shared" si="27"/>
        <v>#DIV/0!</v>
      </c>
    </row>
    <row r="48" spans="1:19">
      <c r="A48" s="5" t="s">
        <v>1059</v>
      </c>
      <c r="C48" s="352" t="e">
        <f t="shared" ref="C48:Q48" si="28">C28/B28-1</f>
        <v>#DIV/0!</v>
      </c>
      <c r="D48" s="352" t="e">
        <f t="shared" si="28"/>
        <v>#DIV/0!</v>
      </c>
      <c r="E48" s="352" t="e">
        <f t="shared" si="28"/>
        <v>#DIV/0!</v>
      </c>
      <c r="F48" s="352" t="e">
        <f t="shared" si="28"/>
        <v>#DIV/0!</v>
      </c>
      <c r="G48" s="352" t="e">
        <f t="shared" si="28"/>
        <v>#DIV/0!</v>
      </c>
      <c r="H48" s="352" t="e">
        <f t="shared" si="28"/>
        <v>#DIV/0!</v>
      </c>
      <c r="I48" s="352" t="e">
        <f t="shared" si="28"/>
        <v>#DIV/0!</v>
      </c>
      <c r="J48" s="352" t="e">
        <f t="shared" si="28"/>
        <v>#DIV/0!</v>
      </c>
      <c r="K48" s="352" t="e">
        <f t="shared" si="28"/>
        <v>#DIV/0!</v>
      </c>
      <c r="L48" s="352" t="e">
        <f t="shared" si="28"/>
        <v>#DIV/0!</v>
      </c>
      <c r="M48" s="352" t="e">
        <f t="shared" si="28"/>
        <v>#DIV/0!</v>
      </c>
      <c r="N48" s="352" t="e">
        <f t="shared" si="28"/>
        <v>#DIV/0!</v>
      </c>
      <c r="O48" s="352" t="e">
        <f t="shared" si="28"/>
        <v>#DIV/0!</v>
      </c>
      <c r="P48" s="352" t="e">
        <f t="shared" si="28"/>
        <v>#DIV/0!</v>
      </c>
      <c r="Q48" s="623" t="e">
        <f t="shared" si="28"/>
        <v>#DIV/0!</v>
      </c>
    </row>
    <row r="49" spans="1:17">
      <c r="A49" s="5"/>
      <c r="C49" s="97"/>
      <c r="D49" s="97"/>
      <c r="E49" s="97"/>
      <c r="F49" s="97"/>
      <c r="G49" s="97"/>
      <c r="H49" s="97"/>
      <c r="I49" s="97"/>
      <c r="J49" s="97"/>
      <c r="K49" s="97"/>
      <c r="L49" s="97"/>
      <c r="M49" s="97"/>
      <c r="N49" s="97"/>
      <c r="Q49" s="623"/>
    </row>
    <row r="50" spans="1:17">
      <c r="A50" s="621" t="s">
        <v>1060</v>
      </c>
      <c r="C50" s="97"/>
      <c r="D50" s="97"/>
      <c r="E50" s="97"/>
      <c r="F50" s="97"/>
      <c r="G50" s="97"/>
      <c r="H50" s="97"/>
      <c r="I50" s="97"/>
      <c r="J50" s="97"/>
      <c r="K50" s="97"/>
      <c r="L50" s="97"/>
      <c r="M50" s="97"/>
      <c r="N50" s="97"/>
      <c r="Q50" s="623"/>
    </row>
    <row r="51" spans="1:17">
      <c r="A51" s="5" t="s">
        <v>166</v>
      </c>
      <c r="C51" s="97"/>
      <c r="D51" s="97"/>
      <c r="E51" s="97"/>
      <c r="F51" s="97"/>
      <c r="G51" s="97"/>
      <c r="H51" s="97"/>
      <c r="I51" s="97"/>
      <c r="J51" s="97"/>
      <c r="K51" s="97"/>
      <c r="L51" s="97"/>
      <c r="M51" s="97"/>
      <c r="N51" s="352" t="e">
        <f>N31/M31-1</f>
        <v>#DIV/0!</v>
      </c>
      <c r="Q51" s="623"/>
    </row>
    <row r="52" spans="1:17">
      <c r="A52" s="5" t="s">
        <v>1064</v>
      </c>
      <c r="C52" s="97"/>
      <c r="D52" s="97"/>
      <c r="E52" s="97"/>
      <c r="F52" s="97"/>
      <c r="G52" s="97"/>
      <c r="H52" s="97"/>
      <c r="I52" s="97"/>
      <c r="J52" s="97"/>
      <c r="K52" s="97"/>
      <c r="L52" s="97"/>
      <c r="M52" s="97"/>
      <c r="N52" s="352" t="e">
        <f t="shared" ref="N52:N53" si="29">N32/M32-1</f>
        <v>#DIV/0!</v>
      </c>
      <c r="Q52" s="623"/>
    </row>
    <row r="53" spans="1:17">
      <c r="A53" s="5" t="s">
        <v>1065</v>
      </c>
      <c r="C53" s="97"/>
      <c r="D53" s="97"/>
      <c r="E53" s="97"/>
      <c r="F53" s="97"/>
      <c r="G53" s="97"/>
      <c r="H53" s="97"/>
      <c r="I53" s="97"/>
      <c r="J53" s="97"/>
      <c r="K53" s="97"/>
      <c r="L53" s="97"/>
      <c r="M53" s="97"/>
      <c r="N53" s="352" t="e">
        <f t="shared" si="29"/>
        <v>#DIV/0!</v>
      </c>
      <c r="Q53" s="623"/>
    </row>
    <row r="54" spans="1:17">
      <c r="C54" s="97"/>
      <c r="D54" s="97"/>
      <c r="E54" s="97"/>
      <c r="F54" s="97"/>
      <c r="G54" s="97"/>
      <c r="H54" s="97"/>
      <c r="I54" s="97"/>
      <c r="J54" s="97"/>
      <c r="K54" s="97"/>
      <c r="L54" s="97"/>
      <c r="M54" s="97"/>
      <c r="N54" s="97"/>
      <c r="Q54" s="623"/>
    </row>
    <row r="55" spans="1:17">
      <c r="A55" s="622" t="s">
        <v>1067</v>
      </c>
      <c r="C55" s="97"/>
      <c r="D55" s="97"/>
      <c r="E55" s="97"/>
      <c r="F55" s="97"/>
      <c r="G55" s="97"/>
      <c r="H55" s="97"/>
      <c r="I55" s="97"/>
      <c r="J55" s="97"/>
      <c r="K55" s="97"/>
      <c r="L55" s="97"/>
      <c r="M55" s="97"/>
      <c r="N55" s="97"/>
      <c r="Q55" s="623"/>
    </row>
    <row r="56" spans="1:17">
      <c r="A56" t="s">
        <v>166</v>
      </c>
      <c r="C56" s="352" t="e">
        <f>C36/B36-1</f>
        <v>#DIV/0!</v>
      </c>
      <c r="D56" s="352" t="e">
        <f t="shared" ref="D56:Q56" si="30">D36/C36-1</f>
        <v>#DIV/0!</v>
      </c>
      <c r="E56" s="352" t="e">
        <f t="shared" si="30"/>
        <v>#DIV/0!</v>
      </c>
      <c r="F56" s="352" t="e">
        <f t="shared" si="30"/>
        <v>#DIV/0!</v>
      </c>
      <c r="G56" s="352" t="e">
        <f t="shared" si="30"/>
        <v>#DIV/0!</v>
      </c>
      <c r="H56" s="352" t="e">
        <f t="shared" si="30"/>
        <v>#DIV/0!</v>
      </c>
      <c r="I56" s="352" t="e">
        <f t="shared" si="30"/>
        <v>#DIV/0!</v>
      </c>
      <c r="J56" s="352" t="e">
        <f t="shared" si="30"/>
        <v>#DIV/0!</v>
      </c>
      <c r="K56" s="352" t="e">
        <f t="shared" si="30"/>
        <v>#DIV/0!</v>
      </c>
      <c r="L56" s="352" t="e">
        <f t="shared" si="30"/>
        <v>#DIV/0!</v>
      </c>
      <c r="M56" s="352" t="e">
        <f t="shared" si="30"/>
        <v>#DIV/0!</v>
      </c>
      <c r="N56" s="352" t="e">
        <f t="shared" si="30"/>
        <v>#DIV/0!</v>
      </c>
      <c r="O56" s="352" t="e">
        <f t="shared" si="30"/>
        <v>#DIV/0!</v>
      </c>
      <c r="P56" s="352" t="e">
        <f t="shared" si="30"/>
        <v>#DIV/0!</v>
      </c>
      <c r="Q56" s="623" t="e">
        <f t="shared" si="30"/>
        <v>#DIV/0!</v>
      </c>
    </row>
    <row r="57" spans="1:17">
      <c r="A57" t="s">
        <v>1064</v>
      </c>
      <c r="C57" s="352" t="e">
        <f t="shared" ref="C57:Q57" si="31">C37/B37-1</f>
        <v>#DIV/0!</v>
      </c>
      <c r="D57" s="352" t="e">
        <f t="shared" si="31"/>
        <v>#DIV/0!</v>
      </c>
      <c r="E57" s="352" t="e">
        <f t="shared" si="31"/>
        <v>#DIV/0!</v>
      </c>
      <c r="F57" s="352" t="e">
        <f t="shared" si="31"/>
        <v>#DIV/0!</v>
      </c>
      <c r="G57" s="352" t="e">
        <f t="shared" si="31"/>
        <v>#DIV/0!</v>
      </c>
      <c r="H57" s="352" t="e">
        <f t="shared" si="31"/>
        <v>#DIV/0!</v>
      </c>
      <c r="I57" s="352" t="e">
        <f t="shared" si="31"/>
        <v>#DIV/0!</v>
      </c>
      <c r="J57" s="352" t="e">
        <f t="shared" si="31"/>
        <v>#DIV/0!</v>
      </c>
      <c r="K57" s="352" t="e">
        <f t="shared" si="31"/>
        <v>#DIV/0!</v>
      </c>
      <c r="L57" s="352" t="e">
        <f t="shared" si="31"/>
        <v>#DIV/0!</v>
      </c>
      <c r="M57" s="352" t="e">
        <f t="shared" si="31"/>
        <v>#DIV/0!</v>
      </c>
      <c r="N57" s="352" t="e">
        <f t="shared" si="31"/>
        <v>#DIV/0!</v>
      </c>
      <c r="O57" s="352" t="e">
        <f t="shared" si="31"/>
        <v>#DIV/0!</v>
      </c>
      <c r="P57" s="352" t="e">
        <f t="shared" si="31"/>
        <v>#DIV/0!</v>
      </c>
      <c r="Q57" s="623" t="e">
        <f t="shared" si="31"/>
        <v>#DIV/0!</v>
      </c>
    </row>
    <row r="58" spans="1:17">
      <c r="A58" t="s">
        <v>403</v>
      </c>
      <c r="C58" s="352" t="e">
        <f t="shared" ref="C58:Q58" si="32">C38/B38-1</f>
        <v>#DIV/0!</v>
      </c>
      <c r="D58" s="352" t="e">
        <f t="shared" si="32"/>
        <v>#DIV/0!</v>
      </c>
      <c r="E58" s="352" t="e">
        <f t="shared" si="32"/>
        <v>#DIV/0!</v>
      </c>
      <c r="F58" s="352" t="e">
        <f t="shared" si="32"/>
        <v>#DIV/0!</v>
      </c>
      <c r="G58" s="352" t="e">
        <f t="shared" si="32"/>
        <v>#DIV/0!</v>
      </c>
      <c r="H58" s="352" t="e">
        <f t="shared" si="32"/>
        <v>#DIV/0!</v>
      </c>
      <c r="I58" s="352" t="e">
        <f t="shared" si="32"/>
        <v>#DIV/0!</v>
      </c>
      <c r="J58" s="352" t="e">
        <f t="shared" si="32"/>
        <v>#DIV/0!</v>
      </c>
      <c r="K58" s="352" t="e">
        <f t="shared" si="32"/>
        <v>#DIV/0!</v>
      </c>
      <c r="L58" s="352" t="e">
        <f t="shared" si="32"/>
        <v>#DIV/0!</v>
      </c>
      <c r="M58" s="352" t="e">
        <f t="shared" si="32"/>
        <v>#DIV/0!</v>
      </c>
      <c r="N58" s="352" t="e">
        <f t="shared" si="32"/>
        <v>#DIV/0!</v>
      </c>
      <c r="O58" s="352" t="e">
        <f t="shared" si="32"/>
        <v>#DIV/0!</v>
      </c>
      <c r="P58" s="352" t="e">
        <f t="shared" si="32"/>
        <v>#DIV/0!</v>
      </c>
      <c r="Q58" s="623" t="e">
        <f t="shared" si="32"/>
        <v>#DIV/0!</v>
      </c>
    </row>
    <row r="59" spans="1:17">
      <c r="A59" s="616" t="s">
        <v>690</v>
      </c>
      <c r="Q59" s="306"/>
    </row>
    <row r="60" spans="1:17">
      <c r="Q60" s="306"/>
    </row>
    <row r="61" spans="1:17" ht="15" thickBot="1">
      <c r="A61" s="85"/>
      <c r="B61" s="52"/>
      <c r="C61" s="52"/>
      <c r="D61" s="52"/>
      <c r="E61" s="52"/>
      <c r="F61" s="52"/>
      <c r="G61" s="52"/>
      <c r="H61" s="52"/>
      <c r="I61" s="52"/>
      <c r="J61" s="52"/>
      <c r="K61" s="52"/>
      <c r="L61" s="52"/>
      <c r="M61" s="52"/>
      <c r="N61" s="52"/>
      <c r="O61" s="52"/>
      <c r="P61" s="52"/>
      <c r="Q61" s="53"/>
    </row>
  </sheetData>
  <phoneticPr fontId="21" type="noConversion"/>
  <hyperlinks>
    <hyperlink ref="R2" r:id="rId1" display="Latest" xr:uid="{163C7E16-3150-429C-B019-4FBB811CF38C}"/>
  </hyperlinks>
  <pageMargins left="0.7" right="0.7" top="0.75" bottom="0.75" header="0.3" footer="0.3"/>
  <pageSetup paperSize="9" orientation="portrait"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4CE6B-8AAB-413F-8C4E-270D75AD786C}">
  <dimension ref="A1:Y118"/>
  <sheetViews>
    <sheetView zoomScale="55" zoomScaleNormal="55" workbookViewId="0">
      <selection activeCell="O5" sqref="O5"/>
    </sheetView>
  </sheetViews>
  <sheetFormatPr defaultRowHeight="14.5"/>
  <cols>
    <col min="1" max="1" width="13" bestFit="1" customWidth="1"/>
    <col min="2" max="2" width="42" bestFit="1" customWidth="1"/>
    <col min="3" max="3" width="10.54296875" bestFit="1" customWidth="1"/>
    <col min="4" max="5" width="10" bestFit="1" customWidth="1"/>
    <col min="6" max="6" width="11.1796875" bestFit="1" customWidth="1"/>
    <col min="7" max="7" width="11.54296875" bestFit="1" customWidth="1"/>
    <col min="8" max="12" width="10.453125" bestFit="1" customWidth="1"/>
    <col min="13" max="13" width="10.54296875" customWidth="1"/>
    <col min="14" max="15" width="10.54296875" bestFit="1" customWidth="1"/>
    <col min="16" max="16" width="10.54296875" customWidth="1"/>
    <col min="17" max="19" width="11.453125" bestFit="1" customWidth="1"/>
    <col min="20" max="20" width="38.1796875" customWidth="1"/>
    <col min="21" max="21" width="34.81640625" customWidth="1"/>
  </cols>
  <sheetData>
    <row r="1" spans="1:25" ht="15" thickBot="1">
      <c r="B1" s="331" t="s">
        <v>653</v>
      </c>
      <c r="C1" s="326" t="s">
        <v>325</v>
      </c>
      <c r="D1" s="326" t="s">
        <v>188</v>
      </c>
      <c r="E1" s="326" t="s">
        <v>189</v>
      </c>
      <c r="F1" s="326" t="s">
        <v>681</v>
      </c>
      <c r="G1" s="326" t="s">
        <v>245</v>
      </c>
      <c r="H1" s="326" t="s">
        <v>192</v>
      </c>
      <c r="I1" s="326" t="s">
        <v>193</v>
      </c>
      <c r="J1" s="326" t="s">
        <v>165</v>
      </c>
      <c r="K1" s="326" t="s">
        <v>167</v>
      </c>
      <c r="L1" s="326" t="s">
        <v>168</v>
      </c>
      <c r="M1" s="326" t="s">
        <v>169</v>
      </c>
      <c r="N1" s="327" t="s">
        <v>170</v>
      </c>
      <c r="O1" s="327" t="s">
        <v>171</v>
      </c>
      <c r="P1" s="328" t="s">
        <v>172</v>
      </c>
      <c r="Q1" s="328" t="s">
        <v>1074</v>
      </c>
      <c r="R1" s="328" t="s">
        <v>1075</v>
      </c>
      <c r="S1" s="328" t="s">
        <v>1076</v>
      </c>
      <c r="T1" s="92" t="s">
        <v>18</v>
      </c>
      <c r="U1" s="92" t="s">
        <v>181</v>
      </c>
    </row>
    <row r="2" spans="1:25">
      <c r="B2" s="45"/>
      <c r="C2" s="2"/>
      <c r="D2" s="2"/>
      <c r="E2" s="2"/>
      <c r="F2" s="2"/>
      <c r="G2" s="2"/>
      <c r="H2" s="892"/>
      <c r="I2" s="893">
        <f>I8/I3</f>
        <v>8.9300080450522928E-2</v>
      </c>
      <c r="J2" s="893">
        <f t="shared" ref="J2:M2" si="0">J8/J3</f>
        <v>8.8906372934697095E-2</v>
      </c>
      <c r="K2" s="893">
        <f t="shared" si="0"/>
        <v>8.890932781482333E-2</v>
      </c>
      <c r="L2" s="893">
        <f t="shared" si="0"/>
        <v>8.6892488954344621E-2</v>
      </c>
      <c r="M2" s="893">
        <f t="shared" si="0"/>
        <v>8.6735045088455975E-2</v>
      </c>
      <c r="N2" s="893">
        <f t="shared" ref="N2" si="1">N8/N3</f>
        <v>7.3374155405405414E-2</v>
      </c>
      <c r="O2" s="893">
        <f t="shared" ref="O2" si="2">O8/O3</f>
        <v>7.6871485322189542E-2</v>
      </c>
      <c r="P2" s="893"/>
      <c r="Q2" s="2"/>
      <c r="R2" s="2"/>
      <c r="S2" s="12"/>
      <c r="T2" s="349" t="s">
        <v>1077</v>
      </c>
      <c r="U2" s="349"/>
    </row>
    <row r="3" spans="1:25" ht="16.5">
      <c r="A3" s="895"/>
      <c r="B3" s="45" t="s">
        <v>1078</v>
      </c>
      <c r="C3" s="10"/>
      <c r="D3" s="10"/>
      <c r="E3" s="10"/>
      <c r="F3" s="10"/>
      <c r="G3" s="10"/>
      <c r="H3" s="12">
        <v>118.8</v>
      </c>
      <c r="I3" s="12">
        <v>124.3</v>
      </c>
      <c r="J3" s="12">
        <v>127.1</v>
      </c>
      <c r="K3" s="12">
        <v>130.47</v>
      </c>
      <c r="L3" s="12">
        <v>135.80000000000001</v>
      </c>
      <c r="M3" s="12">
        <v>145.27000000000001</v>
      </c>
      <c r="N3" s="165">
        <v>189.44</v>
      </c>
      <c r="O3" s="10">
        <v>193.83</v>
      </c>
      <c r="P3" s="10"/>
      <c r="Q3" s="899"/>
      <c r="R3" s="10"/>
      <c r="S3" s="898"/>
      <c r="T3" s="473" t="s">
        <v>1079</v>
      </c>
    </row>
    <row r="4" spans="1:25">
      <c r="A4" s="896"/>
      <c r="B4" s="5" t="s">
        <v>1080</v>
      </c>
      <c r="C4" s="10"/>
      <c r="D4" s="10"/>
      <c r="E4" s="10"/>
      <c r="F4" s="10"/>
      <c r="G4" s="10"/>
      <c r="H4" s="10">
        <v>47.1</v>
      </c>
      <c r="I4" s="10">
        <v>48.7</v>
      </c>
      <c r="J4" s="10">
        <v>50.4</v>
      </c>
      <c r="K4" s="10">
        <v>52</v>
      </c>
      <c r="L4" s="10">
        <v>54.7</v>
      </c>
      <c r="M4" s="10">
        <v>60.6</v>
      </c>
      <c r="N4" s="164">
        <v>67.400000000000006</v>
      </c>
      <c r="O4" s="10">
        <v>71.5</v>
      </c>
      <c r="P4" s="10"/>
      <c r="Q4" s="54">
        <f>M4/M$3</f>
        <v>0.41715426447305015</v>
      </c>
      <c r="R4" s="54">
        <f>N4/N$3</f>
        <v>0.35578547297297303</v>
      </c>
      <c r="S4" s="78">
        <f>O4/O$3</f>
        <v>0.36887994634473503</v>
      </c>
      <c r="T4" s="704" t="s">
        <v>1081</v>
      </c>
      <c r="U4" s="87"/>
    </row>
    <row r="5" spans="1:25">
      <c r="A5" s="172"/>
      <c r="B5" s="5" t="s">
        <v>1082</v>
      </c>
      <c r="C5" s="10"/>
      <c r="D5" s="10"/>
      <c r="E5" s="10"/>
      <c r="F5" s="10"/>
      <c r="G5" s="10"/>
      <c r="H5" s="700"/>
      <c r="I5" s="700"/>
      <c r="J5" s="700"/>
      <c r="K5" s="700"/>
      <c r="L5" s="700"/>
      <c r="M5" s="700"/>
      <c r="N5" s="10">
        <v>4.5999999999999996</v>
      </c>
      <c r="O5">
        <v>5.2</v>
      </c>
      <c r="Q5" s="54">
        <f t="shared" ref="Q5:Q16" si="3">M5/M$3</f>
        <v>0</v>
      </c>
      <c r="R5" s="54">
        <f t="shared" ref="R5:R16" si="4">N5/N$3</f>
        <v>2.4282094594594593E-2</v>
      </c>
      <c r="S5" s="78">
        <f t="shared" ref="S5:S16" si="5">O5/O$3</f>
        <v>2.6827632461435276E-2</v>
      </c>
      <c r="T5" s="87"/>
      <c r="U5" s="87"/>
      <c r="Y5" t="s">
        <v>1083</v>
      </c>
    </row>
    <row r="6" spans="1:25">
      <c r="B6" s="5" t="s">
        <v>1084</v>
      </c>
      <c r="C6" s="10"/>
      <c r="D6" s="10"/>
      <c r="E6" s="10"/>
      <c r="F6" s="10"/>
      <c r="G6" s="10"/>
      <c r="H6" s="10">
        <v>8.1999999999999993</v>
      </c>
      <c r="I6" s="10">
        <v>9.3000000000000007</v>
      </c>
      <c r="J6" s="10">
        <v>9.9</v>
      </c>
      <c r="K6" s="10">
        <v>0</v>
      </c>
      <c r="L6" s="10">
        <v>0</v>
      </c>
      <c r="M6" s="10">
        <v>0</v>
      </c>
      <c r="N6" s="164">
        <v>0</v>
      </c>
      <c r="O6" s="10">
        <v>0</v>
      </c>
      <c r="P6" s="10"/>
      <c r="Q6" s="54">
        <f t="shared" si="3"/>
        <v>0</v>
      </c>
      <c r="R6" s="54">
        <f t="shared" si="4"/>
        <v>0</v>
      </c>
      <c r="S6" s="78">
        <f t="shared" si="5"/>
        <v>0</v>
      </c>
      <c r="T6" s="87"/>
      <c r="U6" s="87"/>
      <c r="X6" t="s">
        <v>1085</v>
      </c>
      <c r="Y6" s="51">
        <f>O4</f>
        <v>71.5</v>
      </c>
    </row>
    <row r="7" spans="1:25" ht="16.5">
      <c r="A7" s="895"/>
      <c r="B7" s="5" t="s">
        <v>1086</v>
      </c>
      <c r="C7" s="10"/>
      <c r="D7" s="10"/>
      <c r="E7" s="10"/>
      <c r="F7" s="10"/>
      <c r="G7" s="10"/>
      <c r="H7" s="10">
        <v>12.1</v>
      </c>
      <c r="I7" s="10">
        <v>12.2</v>
      </c>
      <c r="J7" s="10">
        <v>12.2</v>
      </c>
      <c r="K7" s="10">
        <v>22.4</v>
      </c>
      <c r="L7" s="10">
        <v>23.5</v>
      </c>
      <c r="M7" s="10">
        <v>24.4</v>
      </c>
      <c r="N7" s="164">
        <v>28</v>
      </c>
      <c r="O7" s="10">
        <v>32.1</v>
      </c>
      <c r="P7" s="10"/>
      <c r="Q7" s="54">
        <f t="shared" si="3"/>
        <v>0.1679631031871687</v>
      </c>
      <c r="R7" s="54">
        <f t="shared" si="4"/>
        <v>0.14780405405405406</v>
      </c>
      <c r="S7" s="78">
        <f t="shared" si="5"/>
        <v>0.16560903884847547</v>
      </c>
      <c r="T7" s="87"/>
      <c r="U7" s="87"/>
      <c r="X7" t="s">
        <v>1087</v>
      </c>
      <c r="Y7" s="51">
        <f>O9</f>
        <v>9.1</v>
      </c>
    </row>
    <row r="8" spans="1:25">
      <c r="A8" s="896"/>
      <c r="B8" s="5" t="s">
        <v>1063</v>
      </c>
      <c r="C8" s="10"/>
      <c r="D8" s="10"/>
      <c r="E8" s="10"/>
      <c r="F8" s="10"/>
      <c r="G8" s="10"/>
      <c r="H8" s="10">
        <v>18.600000000000001</v>
      </c>
      <c r="I8" s="10">
        <v>11.1</v>
      </c>
      <c r="J8" s="10">
        <v>11.3</v>
      </c>
      <c r="K8" s="10">
        <v>11.6</v>
      </c>
      <c r="L8" s="10">
        <v>11.8</v>
      </c>
      <c r="M8" s="10">
        <v>12.6</v>
      </c>
      <c r="N8" s="164">
        <v>13.9</v>
      </c>
      <c r="O8" s="10">
        <v>14.9</v>
      </c>
      <c r="P8" s="10">
        <f>O8-L8</f>
        <v>3.0999999999999996</v>
      </c>
      <c r="Q8" s="54">
        <f t="shared" si="3"/>
        <v>8.6735045088455975E-2</v>
      </c>
      <c r="R8" s="54">
        <f t="shared" si="4"/>
        <v>7.3374155405405414E-2</v>
      </c>
      <c r="S8" s="78">
        <f t="shared" si="5"/>
        <v>7.6871485322189542E-2</v>
      </c>
      <c r="T8" s="87"/>
      <c r="U8" s="87"/>
      <c r="X8" t="s">
        <v>1088</v>
      </c>
      <c r="Y8" s="51">
        <f>O13</f>
        <v>2.5</v>
      </c>
    </row>
    <row r="9" spans="1:25">
      <c r="A9" s="592"/>
      <c r="B9" s="5" t="s">
        <v>1089</v>
      </c>
      <c r="C9" s="10"/>
      <c r="D9" s="10"/>
      <c r="E9" s="10"/>
      <c r="F9" s="10"/>
      <c r="G9" s="10"/>
      <c r="H9" s="10">
        <v>8.1999999999999993</v>
      </c>
      <c r="I9" s="10">
        <v>8.5</v>
      </c>
      <c r="J9" s="10">
        <v>8.5</v>
      </c>
      <c r="K9" s="10">
        <v>8.6</v>
      </c>
      <c r="L9" s="10">
        <v>8.1999999999999993</v>
      </c>
      <c r="M9" s="10">
        <v>8.5</v>
      </c>
      <c r="N9" s="164">
        <v>9.3000000000000007</v>
      </c>
      <c r="O9" s="10">
        <v>9.1</v>
      </c>
      <c r="P9" s="10"/>
      <c r="Q9" s="54">
        <f t="shared" si="3"/>
        <v>5.8511736766021887E-2</v>
      </c>
      <c r="R9" s="54">
        <f t="shared" si="4"/>
        <v>4.9092060810810814E-2</v>
      </c>
      <c r="S9" s="78">
        <f t="shared" si="5"/>
        <v>4.6948356807511735E-2</v>
      </c>
      <c r="T9" s="87"/>
      <c r="U9" s="87"/>
      <c r="X9" t="s">
        <v>586</v>
      </c>
      <c r="Y9">
        <v>6.8</v>
      </c>
    </row>
    <row r="10" spans="1:25">
      <c r="B10" s="5" t="s">
        <v>1090</v>
      </c>
      <c r="C10" s="10"/>
      <c r="D10" s="10"/>
      <c r="E10" s="10"/>
      <c r="F10" s="10"/>
      <c r="G10" s="10"/>
      <c r="H10" s="10">
        <v>11.1</v>
      </c>
      <c r="I10" s="10">
        <v>13.1</v>
      </c>
      <c r="J10" s="10">
        <v>13.7</v>
      </c>
      <c r="K10" s="10">
        <v>14.2</v>
      </c>
      <c r="L10" s="10">
        <v>15.1</v>
      </c>
      <c r="M10" s="10">
        <v>15.9</v>
      </c>
      <c r="N10" s="164">
        <v>20.100000000000001</v>
      </c>
      <c r="O10" s="10">
        <v>19.7</v>
      </c>
      <c r="P10" s="10"/>
      <c r="Q10" s="54">
        <f t="shared" si="3"/>
        <v>0.10945136642114682</v>
      </c>
      <c r="R10" s="54">
        <f t="shared" si="4"/>
        <v>0.10610219594594596</v>
      </c>
      <c r="S10" s="78">
        <f t="shared" si="5"/>
        <v>0.10163545374812979</v>
      </c>
      <c r="T10" s="87"/>
      <c r="U10" s="87"/>
    </row>
    <row r="11" spans="1:25">
      <c r="B11" s="5" t="s">
        <v>1091</v>
      </c>
      <c r="C11" s="10"/>
      <c r="D11" s="10"/>
      <c r="E11" s="10"/>
      <c r="F11" s="10"/>
      <c r="G11" s="10"/>
      <c r="H11" s="10">
        <v>1.3</v>
      </c>
      <c r="I11" s="10">
        <v>0.6</v>
      </c>
      <c r="J11" s="10">
        <v>0.7</v>
      </c>
      <c r="K11" s="10">
        <v>0.8</v>
      </c>
      <c r="L11" s="10">
        <v>0.8</v>
      </c>
      <c r="M11" s="10">
        <v>0.9</v>
      </c>
      <c r="N11" s="164">
        <v>1.1000000000000001</v>
      </c>
      <c r="O11" s="10">
        <v>1.1000000000000001</v>
      </c>
      <c r="P11" s="10"/>
      <c r="Q11" s="54">
        <f t="shared" si="3"/>
        <v>6.195360363461141E-3</v>
      </c>
      <c r="R11" s="54">
        <f t="shared" si="4"/>
        <v>5.8065878378378384E-3</v>
      </c>
      <c r="S11" s="78">
        <f t="shared" si="5"/>
        <v>5.675076097611309E-3</v>
      </c>
      <c r="T11" s="87"/>
      <c r="U11" s="87"/>
    </row>
    <row r="12" spans="1:25">
      <c r="B12" s="5" t="s">
        <v>1092</v>
      </c>
      <c r="C12" s="10"/>
      <c r="D12" s="10"/>
      <c r="E12" s="10"/>
      <c r="F12" s="10"/>
      <c r="G12" s="10"/>
      <c r="H12" s="700"/>
      <c r="I12" s="700"/>
      <c r="J12" s="700"/>
      <c r="K12" s="700"/>
      <c r="L12" s="700"/>
      <c r="M12" s="700"/>
      <c r="N12" s="164">
        <v>16.7</v>
      </c>
      <c r="O12" s="10">
        <v>9.3000000000000007</v>
      </c>
      <c r="P12" s="10"/>
      <c r="Q12" s="54">
        <f t="shared" si="3"/>
        <v>0</v>
      </c>
      <c r="R12" s="54">
        <f t="shared" si="4"/>
        <v>8.8154560810810814E-2</v>
      </c>
      <c r="S12" s="78">
        <f t="shared" si="5"/>
        <v>4.798018882525925E-2</v>
      </c>
      <c r="T12" s="87"/>
      <c r="U12" s="87"/>
    </row>
    <row r="13" spans="1:25">
      <c r="B13" s="5" t="s">
        <v>1088</v>
      </c>
      <c r="C13" s="10"/>
      <c r="D13" s="10"/>
      <c r="E13" s="10"/>
      <c r="F13" s="10"/>
      <c r="G13" s="10"/>
      <c r="H13" s="700"/>
      <c r="I13" s="700"/>
      <c r="J13" s="700"/>
      <c r="K13" s="700"/>
      <c r="L13" s="700"/>
      <c r="M13" s="700"/>
      <c r="N13" s="164">
        <v>2.2999999999999998</v>
      </c>
      <c r="O13" s="10">
        <v>2.5</v>
      </c>
      <c r="P13" s="10"/>
      <c r="Q13" s="54">
        <f t="shared" si="3"/>
        <v>0</v>
      </c>
      <c r="R13" s="54">
        <f t="shared" si="4"/>
        <v>1.2141047297297296E-2</v>
      </c>
      <c r="S13" s="78">
        <f t="shared" si="5"/>
        <v>1.2897900221843882E-2</v>
      </c>
      <c r="T13" s="87"/>
      <c r="U13" s="87"/>
    </row>
    <row r="14" spans="1:25">
      <c r="B14" s="5" t="s">
        <v>1093</v>
      </c>
      <c r="C14" s="10"/>
      <c r="D14" s="10"/>
      <c r="E14" s="10"/>
      <c r="F14" s="10"/>
      <c r="G14" s="10"/>
      <c r="H14" s="10">
        <v>2.9</v>
      </c>
      <c r="I14" s="10">
        <v>3.1</v>
      </c>
      <c r="J14" s="10">
        <v>3.4</v>
      </c>
      <c r="K14" s="10">
        <v>3.1</v>
      </c>
      <c r="L14" s="10">
        <v>3.1</v>
      </c>
      <c r="M14" s="10">
        <v>3</v>
      </c>
      <c r="N14" s="164">
        <v>6.4</v>
      </c>
      <c r="O14" s="10">
        <v>5.7</v>
      </c>
      <c r="P14" s="10"/>
      <c r="Q14" s="54">
        <f t="shared" si="3"/>
        <v>2.0651201211537136E-2</v>
      </c>
      <c r="R14" s="54">
        <f t="shared" si="4"/>
        <v>3.3783783783783786E-2</v>
      </c>
      <c r="S14" s="78">
        <f t="shared" si="5"/>
        <v>2.9407212505804053E-2</v>
      </c>
      <c r="T14" s="87"/>
      <c r="U14" s="87"/>
    </row>
    <row r="15" spans="1:25">
      <c r="B15" s="5" t="s">
        <v>779</v>
      </c>
      <c r="C15" s="10"/>
      <c r="D15" s="10"/>
      <c r="E15" s="10"/>
      <c r="F15" s="10"/>
      <c r="G15" s="10"/>
      <c r="H15" s="703"/>
      <c r="I15" s="703"/>
      <c r="J15" s="703"/>
      <c r="K15" s="703"/>
      <c r="L15" s="703"/>
      <c r="M15" s="703"/>
      <c r="N15" s="351">
        <v>3.4</v>
      </c>
      <c r="O15" s="351">
        <v>3.8</v>
      </c>
      <c r="P15" s="351"/>
      <c r="Q15" s="78">
        <f t="shared" si="3"/>
        <v>0</v>
      </c>
      <c r="R15" s="78">
        <f t="shared" si="4"/>
        <v>1.7947635135135136E-2</v>
      </c>
      <c r="S15" s="78">
        <f t="shared" si="5"/>
        <v>1.9604808337202701E-2</v>
      </c>
      <c r="T15" s="87"/>
      <c r="U15" s="87"/>
    </row>
    <row r="16" spans="1:25">
      <c r="B16" s="5" t="s">
        <v>16</v>
      </c>
      <c r="C16" s="10"/>
      <c r="D16" s="10"/>
      <c r="E16" s="10"/>
      <c r="F16" s="10"/>
      <c r="G16" s="10"/>
      <c r="H16" s="351">
        <f t="shared" ref="H16:M16" si="6">H3-(SUM(H4:H14))</f>
        <v>9.2999999999999972</v>
      </c>
      <c r="I16" s="351">
        <f t="shared" si="6"/>
        <v>17.700000000000017</v>
      </c>
      <c r="J16" s="351">
        <f t="shared" si="6"/>
        <v>16.999999999999986</v>
      </c>
      <c r="K16" s="351">
        <f t="shared" si="6"/>
        <v>17.77000000000001</v>
      </c>
      <c r="L16" s="351">
        <f t="shared" si="6"/>
        <v>18.600000000000023</v>
      </c>
      <c r="M16" s="351">
        <f t="shared" si="6"/>
        <v>19.370000000000005</v>
      </c>
      <c r="N16" s="351">
        <f>N3-(SUM(N4:N15))</f>
        <v>16.239999999999981</v>
      </c>
      <c r="O16" s="351">
        <f>O3-(SUM(O4:O15))</f>
        <v>18.930000000000007</v>
      </c>
      <c r="P16" s="351"/>
      <c r="Q16" s="78">
        <f t="shared" si="3"/>
        <v>0.13333792248915813</v>
      </c>
      <c r="R16" s="54">
        <f t="shared" si="4"/>
        <v>8.5726351351351246E-2</v>
      </c>
      <c r="S16" s="78">
        <f t="shared" si="5"/>
        <v>9.7662900479801917E-2</v>
      </c>
      <c r="T16" s="87"/>
      <c r="U16" s="87"/>
    </row>
    <row r="17" spans="2:21">
      <c r="B17" s="5"/>
      <c r="C17" s="10"/>
      <c r="D17" s="10"/>
      <c r="E17" s="10"/>
      <c r="F17" s="10"/>
      <c r="G17" s="10"/>
      <c r="H17" s="351"/>
      <c r="I17" s="351"/>
      <c r="J17" s="351"/>
      <c r="K17" s="351"/>
      <c r="L17" s="351"/>
      <c r="M17" s="351"/>
      <c r="N17" s="351"/>
      <c r="Q17" s="693"/>
      <c r="R17" s="54"/>
      <c r="S17" s="315"/>
      <c r="T17" s="87"/>
      <c r="U17" s="87"/>
    </row>
    <row r="18" spans="2:21">
      <c r="B18" s="45" t="s">
        <v>1094</v>
      </c>
      <c r="C18" s="10"/>
      <c r="D18" s="10"/>
      <c r="E18" s="10"/>
      <c r="F18" s="10"/>
      <c r="G18" s="10"/>
      <c r="H18" s="351">
        <f t="shared" ref="H18:O18" si="7">H3-H15</f>
        <v>118.8</v>
      </c>
      <c r="I18" s="351">
        <f t="shared" si="7"/>
        <v>124.3</v>
      </c>
      <c r="J18" s="351">
        <f t="shared" si="7"/>
        <v>127.1</v>
      </c>
      <c r="K18" s="351">
        <f t="shared" si="7"/>
        <v>130.47</v>
      </c>
      <c r="L18" s="351">
        <f t="shared" si="7"/>
        <v>135.80000000000001</v>
      </c>
      <c r="M18" s="351">
        <f t="shared" si="7"/>
        <v>145.27000000000001</v>
      </c>
      <c r="N18" s="351">
        <f t="shared" si="7"/>
        <v>186.04</v>
      </c>
      <c r="O18" s="351">
        <f t="shared" si="7"/>
        <v>190.03</v>
      </c>
      <c r="P18" s="351"/>
      <c r="Q18" s="693"/>
      <c r="R18" s="54"/>
      <c r="S18" s="315"/>
      <c r="T18" s="87"/>
      <c r="U18" s="87"/>
    </row>
    <row r="19" spans="2:21">
      <c r="B19" s="5" t="s">
        <v>1095</v>
      </c>
      <c r="C19" s="10"/>
      <c r="D19" s="10"/>
      <c r="E19" s="10"/>
      <c r="F19" s="10"/>
      <c r="G19" s="10"/>
      <c r="H19" s="10">
        <v>8.3000000000000007</v>
      </c>
      <c r="I19" s="10">
        <v>9.5</v>
      </c>
      <c r="J19" s="10">
        <v>10.1</v>
      </c>
      <c r="K19" s="10">
        <v>9.82</v>
      </c>
      <c r="L19" s="10">
        <v>10.52</v>
      </c>
      <c r="M19" s="10">
        <v>11.08</v>
      </c>
      <c r="N19" s="164">
        <v>9.24</v>
      </c>
      <c r="O19" s="10">
        <v>10.3</v>
      </c>
      <c r="P19" s="10"/>
      <c r="Q19" s="693"/>
      <c r="R19" s="54"/>
      <c r="S19" s="881" t="e">
        <f>O4/'DHSC NHS Budgets'!#REF!</f>
        <v>#REF!</v>
      </c>
      <c r="T19" s="87"/>
      <c r="U19" s="87"/>
    </row>
    <row r="20" spans="2:21">
      <c r="B20" s="45" t="s">
        <v>1096</v>
      </c>
      <c r="C20" s="10"/>
      <c r="D20" s="10"/>
      <c r="E20" s="10"/>
      <c r="F20" s="10"/>
      <c r="G20" s="10"/>
      <c r="H20" s="351">
        <f t="shared" ref="H20:O20" si="8">H18-H19</f>
        <v>110.5</v>
      </c>
      <c r="I20" s="351">
        <f t="shared" si="8"/>
        <v>114.8</v>
      </c>
      <c r="J20" s="351">
        <f t="shared" si="8"/>
        <v>117</v>
      </c>
      <c r="K20" s="351">
        <f t="shared" si="8"/>
        <v>120.65</v>
      </c>
      <c r="L20" s="351">
        <f t="shared" si="8"/>
        <v>125.28000000000002</v>
      </c>
      <c r="M20" s="351">
        <f t="shared" si="8"/>
        <v>134.19</v>
      </c>
      <c r="N20" s="351">
        <f t="shared" si="8"/>
        <v>176.79999999999998</v>
      </c>
      <c r="O20" s="351">
        <f t="shared" si="8"/>
        <v>179.73</v>
      </c>
      <c r="P20" s="351"/>
      <c r="Q20" s="10"/>
      <c r="R20" s="10"/>
      <c r="S20" s="315"/>
      <c r="T20" s="87"/>
      <c r="U20" s="87"/>
    </row>
    <row r="22" spans="2:21">
      <c r="B22" s="49"/>
      <c r="K22" s="172"/>
      <c r="L22" s="172"/>
      <c r="M22" s="172"/>
      <c r="N22" s="172"/>
      <c r="O22" s="172"/>
      <c r="P22" s="172"/>
      <c r="T22" s="91"/>
      <c r="U22" s="91"/>
    </row>
    <row r="23" spans="2:21">
      <c r="B23" s="49"/>
      <c r="M23" s="51"/>
      <c r="T23" s="349" t="s">
        <v>1077</v>
      </c>
      <c r="U23" s="91"/>
    </row>
    <row r="24" spans="2:21">
      <c r="B24" s="82" t="s">
        <v>1097</v>
      </c>
      <c r="C24" s="1"/>
      <c r="D24" s="1"/>
      <c r="E24" s="1"/>
      <c r="F24" s="1"/>
      <c r="G24" s="1"/>
      <c r="H24" s="1"/>
      <c r="I24" s="97"/>
      <c r="J24" s="97"/>
      <c r="K24" s="97"/>
      <c r="L24" s="97"/>
      <c r="M24" s="897">
        <f>M23-M8</f>
        <v>-12.6</v>
      </c>
      <c r="N24" s="592">
        <f>M23/M8-1</f>
        <v>-1</v>
      </c>
      <c r="O24" s="304"/>
      <c r="P24" s="304"/>
      <c r="Q24" s="304"/>
      <c r="R24" s="1"/>
      <c r="S24" s="10"/>
      <c r="T24" s="95" t="s">
        <v>1079</v>
      </c>
    </row>
    <row r="25" spans="2:21">
      <c r="B25" s="49" t="s">
        <v>1098</v>
      </c>
      <c r="C25" s="14"/>
      <c r="D25" s="14"/>
      <c r="E25" s="14"/>
      <c r="F25" s="14"/>
      <c r="G25" s="14"/>
      <c r="H25" s="10">
        <v>1.885</v>
      </c>
      <c r="I25" s="317">
        <v>1.7</v>
      </c>
      <c r="J25" s="317">
        <v>1.6</v>
      </c>
      <c r="K25" s="317">
        <v>1.6</v>
      </c>
      <c r="L25" s="317">
        <v>2.4</v>
      </c>
      <c r="M25" s="317">
        <v>2.7</v>
      </c>
      <c r="N25" s="51">
        <v>2.7</v>
      </c>
      <c r="O25" s="51">
        <v>2.7</v>
      </c>
      <c r="P25" s="51"/>
      <c r="Q25" s="96"/>
      <c r="R25" s="29">
        <f>O25/9</f>
        <v>0.30000000000000004</v>
      </c>
      <c r="S25" s="14"/>
      <c r="T25" s="91" t="s">
        <v>1099</v>
      </c>
      <c r="U25" s="87" t="s">
        <v>1100</v>
      </c>
    </row>
    <row r="26" spans="2:21">
      <c r="B26" s="49" t="s">
        <v>1101</v>
      </c>
      <c r="C26" s="14"/>
      <c r="D26" s="14"/>
      <c r="E26" s="14"/>
      <c r="F26" s="14"/>
      <c r="G26" s="14"/>
      <c r="H26" s="10">
        <v>0.95199999999999996</v>
      </c>
      <c r="I26" s="317">
        <v>0.8</v>
      </c>
      <c r="J26" s="317">
        <v>0.9</v>
      </c>
      <c r="K26" s="317">
        <v>0.9</v>
      </c>
      <c r="L26" s="317">
        <v>1</v>
      </c>
      <c r="M26" s="317">
        <v>1.3</v>
      </c>
      <c r="N26" s="51">
        <v>2.2000000000000002</v>
      </c>
      <c r="O26" s="51">
        <v>1.8</v>
      </c>
      <c r="P26" s="51"/>
      <c r="Q26" s="96"/>
      <c r="R26" s="14"/>
      <c r="S26" s="14"/>
      <c r="T26" s="90"/>
      <c r="U26" s="90" t="s">
        <v>1102</v>
      </c>
    </row>
    <row r="27" spans="2:21">
      <c r="B27" s="318" t="s">
        <v>1103</v>
      </c>
      <c r="C27" s="14"/>
      <c r="D27" s="14"/>
      <c r="E27" s="14"/>
      <c r="F27" s="14"/>
      <c r="G27" s="14"/>
      <c r="H27" s="10"/>
      <c r="I27" s="317"/>
      <c r="J27" s="317"/>
      <c r="K27" s="317"/>
      <c r="L27" s="317"/>
      <c r="M27" s="317">
        <v>1.2</v>
      </c>
      <c r="N27" s="51">
        <v>1.3</v>
      </c>
      <c r="O27" s="51">
        <v>1.5</v>
      </c>
      <c r="P27" s="51"/>
      <c r="Q27" s="96"/>
      <c r="R27" s="14"/>
      <c r="S27" s="14"/>
      <c r="T27" s="90"/>
      <c r="U27" s="90"/>
    </row>
    <row r="28" spans="2:21">
      <c r="B28" s="49" t="s">
        <v>1104</v>
      </c>
      <c r="C28" s="14"/>
      <c r="D28" s="14"/>
      <c r="E28" s="14"/>
      <c r="F28" s="14"/>
      <c r="G28" s="14"/>
      <c r="H28" s="10">
        <v>0.40600000000000003</v>
      </c>
      <c r="I28" s="317">
        <v>0.4</v>
      </c>
      <c r="J28" s="317">
        <v>0.3</v>
      </c>
      <c r="K28" s="317">
        <v>0.4</v>
      </c>
      <c r="L28" s="317">
        <v>0.7</v>
      </c>
      <c r="M28" s="317">
        <v>0.8</v>
      </c>
      <c r="N28" s="51">
        <v>1.2</v>
      </c>
      <c r="O28" s="51">
        <v>1.2</v>
      </c>
      <c r="P28" s="51"/>
      <c r="Q28" s="96"/>
      <c r="R28" s="14"/>
      <c r="S28" s="14"/>
      <c r="T28" s="90"/>
      <c r="U28" s="90"/>
    </row>
    <row r="29" spans="2:21">
      <c r="B29" s="49" t="s">
        <v>1105</v>
      </c>
      <c r="C29" s="14"/>
      <c r="D29" s="14"/>
      <c r="E29" s="14"/>
      <c r="F29" s="14"/>
      <c r="G29" s="14"/>
      <c r="H29" s="10">
        <v>0.312</v>
      </c>
      <c r="I29" s="317">
        <v>0.6</v>
      </c>
      <c r="J29" s="317">
        <v>0.6</v>
      </c>
      <c r="K29" s="317">
        <v>0.6</v>
      </c>
      <c r="L29" s="317">
        <v>0.6</v>
      </c>
      <c r="M29" s="317">
        <v>0.8</v>
      </c>
      <c r="N29" s="51">
        <v>0.9</v>
      </c>
      <c r="O29" s="51">
        <v>0.8</v>
      </c>
      <c r="P29" s="51"/>
      <c r="Q29" s="96"/>
      <c r="R29" s="14"/>
      <c r="S29" s="14"/>
      <c r="T29" s="90"/>
      <c r="U29" s="90"/>
    </row>
    <row r="30" spans="2:21">
      <c r="B30" s="49" t="s">
        <v>1106</v>
      </c>
      <c r="C30" s="14"/>
      <c r="D30" s="14"/>
      <c r="E30" s="14"/>
      <c r="F30" s="14"/>
      <c r="G30" s="14"/>
      <c r="H30" s="10">
        <v>0.26600000000000001</v>
      </c>
      <c r="I30" s="317">
        <v>0.2</v>
      </c>
      <c r="J30" s="317">
        <v>0.3</v>
      </c>
      <c r="K30" s="317">
        <v>0.3</v>
      </c>
      <c r="L30" s="317">
        <v>0.5</v>
      </c>
      <c r="M30" s="317">
        <v>0.4</v>
      </c>
      <c r="N30" s="51">
        <v>0.6</v>
      </c>
      <c r="O30" s="51">
        <v>0.4</v>
      </c>
      <c r="P30" s="51"/>
      <c r="Q30" s="96"/>
      <c r="R30" s="14"/>
      <c r="S30" s="14"/>
      <c r="T30" s="90"/>
      <c r="U30" s="90"/>
    </row>
    <row r="31" spans="2:21">
      <c r="B31" s="49" t="s">
        <v>16</v>
      </c>
      <c r="C31" s="14"/>
      <c r="D31" s="14"/>
      <c r="E31" s="14"/>
      <c r="F31" s="14"/>
      <c r="G31" s="14"/>
      <c r="H31" s="10">
        <v>0.499</v>
      </c>
      <c r="I31" s="317">
        <v>0.2</v>
      </c>
      <c r="J31" s="319">
        <v>1.5</v>
      </c>
      <c r="K31" s="319">
        <v>1.6</v>
      </c>
      <c r="L31" s="319">
        <v>1.1000000000000001</v>
      </c>
      <c r="M31" s="317">
        <v>0.3</v>
      </c>
      <c r="N31" s="51">
        <v>2.8</v>
      </c>
      <c r="O31" s="51">
        <v>1.5</v>
      </c>
      <c r="P31" s="51"/>
      <c r="Q31" s="96"/>
      <c r="R31" s="14"/>
      <c r="S31" s="14"/>
      <c r="T31" s="90"/>
      <c r="U31" s="90"/>
    </row>
    <row r="32" spans="2:21">
      <c r="B32" s="49" t="s">
        <v>1107</v>
      </c>
      <c r="C32" s="14"/>
      <c r="D32" s="14"/>
      <c r="E32" s="14"/>
      <c r="F32" s="14"/>
      <c r="G32" s="14"/>
      <c r="H32" s="14"/>
      <c r="I32" s="320"/>
      <c r="J32" s="320"/>
      <c r="K32" s="320"/>
      <c r="L32" s="320"/>
      <c r="M32" s="317"/>
      <c r="N32" s="96"/>
      <c r="O32" s="51">
        <v>-1.8</v>
      </c>
      <c r="P32" s="51"/>
      <c r="Q32" s="96"/>
      <c r="R32" s="14"/>
      <c r="S32" s="14"/>
      <c r="T32" s="90"/>
      <c r="U32" s="90"/>
    </row>
    <row r="33" spans="2:21">
      <c r="B33" s="49"/>
      <c r="C33" s="14"/>
      <c r="D33" s="14"/>
      <c r="E33" s="14"/>
      <c r="F33" s="14"/>
      <c r="G33" s="14"/>
      <c r="H33" s="14"/>
      <c r="I33" s="320"/>
      <c r="J33" s="320"/>
      <c r="K33" s="320"/>
      <c r="L33" s="320"/>
      <c r="M33" s="317"/>
      <c r="N33" s="96"/>
      <c r="O33" s="96"/>
      <c r="P33" s="96"/>
      <c r="Q33" s="96"/>
      <c r="R33" s="14"/>
      <c r="S33" s="14"/>
      <c r="T33" s="90"/>
      <c r="U33" s="90"/>
    </row>
    <row r="34" spans="2:21">
      <c r="B34" s="716" t="s">
        <v>1108</v>
      </c>
      <c r="C34" s="717"/>
      <c r="D34" s="717"/>
      <c r="E34" s="717"/>
      <c r="F34" s="717"/>
      <c r="G34" s="717"/>
      <c r="H34" s="717"/>
      <c r="I34" s="717"/>
      <c r="J34" s="717"/>
      <c r="K34" s="717"/>
      <c r="L34" s="717"/>
      <c r="M34" s="717"/>
      <c r="N34" s="717"/>
      <c r="O34" s="891"/>
      <c r="P34" s="891"/>
      <c r="Q34" s="317"/>
      <c r="R34" s="317"/>
      <c r="S34" s="14"/>
      <c r="T34" s="90"/>
      <c r="U34" s="91" t="s">
        <v>1109</v>
      </c>
    </row>
    <row r="35" spans="2:21">
      <c r="B35" s="718" t="s">
        <v>1110</v>
      </c>
      <c r="C35" s="717"/>
      <c r="D35" s="717"/>
      <c r="E35" s="717"/>
      <c r="F35" s="717"/>
      <c r="G35" s="717"/>
      <c r="H35" s="717">
        <v>3.31</v>
      </c>
      <c r="I35" s="717">
        <v>2.94</v>
      </c>
      <c r="J35" s="717">
        <v>2.9</v>
      </c>
      <c r="K35" s="717">
        <v>3</v>
      </c>
      <c r="L35" s="717">
        <v>3.93</v>
      </c>
      <c r="M35" s="717">
        <v>4.5</v>
      </c>
      <c r="N35" s="717"/>
      <c r="O35" s="717"/>
      <c r="P35" s="717"/>
      <c r="Q35" s="317"/>
      <c r="R35" s="317"/>
      <c r="S35" s="14"/>
      <c r="T35" s="90"/>
      <c r="U35" s="90"/>
    </row>
    <row r="36" spans="2:21">
      <c r="B36" s="718" t="s">
        <v>1103</v>
      </c>
      <c r="C36" s="717"/>
      <c r="D36" s="717"/>
      <c r="E36" s="717"/>
      <c r="F36" s="717"/>
      <c r="G36" s="717"/>
      <c r="H36" s="717"/>
      <c r="I36" s="717"/>
      <c r="J36" s="717">
        <v>1.024</v>
      </c>
      <c r="K36" s="717">
        <v>1.1000000000000001</v>
      </c>
      <c r="L36" s="717">
        <v>1.1000000000000001</v>
      </c>
      <c r="M36" s="717">
        <v>1.23</v>
      </c>
      <c r="N36" s="717"/>
      <c r="O36" s="717"/>
      <c r="P36" s="717"/>
      <c r="Q36" s="317"/>
      <c r="R36" s="317"/>
      <c r="S36" s="317"/>
      <c r="T36" s="90"/>
      <c r="U36" s="90"/>
    </row>
    <row r="37" spans="2:21">
      <c r="B37" s="718" t="s">
        <v>1111</v>
      </c>
      <c r="C37" s="717"/>
      <c r="D37" s="717"/>
      <c r="E37" s="717"/>
      <c r="F37" s="717"/>
      <c r="G37" s="717"/>
      <c r="H37" s="717"/>
      <c r="I37" s="717">
        <v>0.44</v>
      </c>
      <c r="J37" s="717">
        <v>0.251</v>
      </c>
      <c r="K37" s="717">
        <v>0.7</v>
      </c>
      <c r="L37" s="717">
        <v>0.68</v>
      </c>
      <c r="M37" s="717">
        <v>1.02</v>
      </c>
      <c r="N37" s="717"/>
      <c r="O37" s="717"/>
      <c r="P37" s="717"/>
      <c r="Q37" s="317"/>
      <c r="R37" s="317"/>
      <c r="S37" s="29"/>
      <c r="T37" s="90"/>
      <c r="U37" s="90"/>
    </row>
    <row r="38" spans="2:21">
      <c r="B38" s="718" t="s">
        <v>707</v>
      </c>
      <c r="C38" s="717"/>
      <c r="D38" s="717"/>
      <c r="E38" s="717"/>
      <c r="F38" s="717"/>
      <c r="G38" s="717">
        <v>0.2</v>
      </c>
      <c r="H38" s="717">
        <v>0.19</v>
      </c>
      <c r="I38" s="717">
        <v>0.18</v>
      </c>
      <c r="J38" s="717">
        <v>0.22700000000000001</v>
      </c>
      <c r="K38" s="717">
        <v>0.2</v>
      </c>
      <c r="L38" s="717">
        <v>0.22</v>
      </c>
      <c r="M38" s="717">
        <v>0.27</v>
      </c>
      <c r="N38" s="717"/>
      <c r="O38" s="717"/>
      <c r="P38" s="717"/>
      <c r="Q38" s="317"/>
      <c r="R38" s="317"/>
      <c r="S38" s="14"/>
      <c r="T38" s="90"/>
      <c r="U38" s="90"/>
    </row>
    <row r="39" spans="2:21">
      <c r="B39" s="718" t="s">
        <v>1112</v>
      </c>
      <c r="C39" s="717"/>
      <c r="D39" s="717"/>
      <c r="E39" s="717"/>
      <c r="F39" s="717"/>
      <c r="G39" s="717"/>
      <c r="H39" s="717">
        <v>0.16</v>
      </c>
      <c r="I39" s="717">
        <v>7.0000000000000007E-2</v>
      </c>
      <c r="J39" s="717">
        <v>0.154</v>
      </c>
      <c r="K39" s="717">
        <v>0.1</v>
      </c>
      <c r="L39" s="717"/>
      <c r="M39" s="717"/>
      <c r="N39" s="717"/>
      <c r="O39" s="717"/>
      <c r="P39" s="717"/>
      <c r="Q39" s="97">
        <f>7/9</f>
        <v>0.77777777777777779</v>
      </c>
      <c r="R39" s="317"/>
      <c r="S39" s="14"/>
      <c r="T39" s="90"/>
      <c r="U39" s="90"/>
    </row>
    <row r="40" spans="2:21">
      <c r="B40" s="718" t="s">
        <v>1113</v>
      </c>
      <c r="C40" s="717"/>
      <c r="D40" s="717"/>
      <c r="E40" s="717"/>
      <c r="F40" s="717"/>
      <c r="G40" s="717">
        <v>0.8</v>
      </c>
      <c r="H40" s="717">
        <v>0.41</v>
      </c>
      <c r="I40" s="717"/>
      <c r="J40" s="717"/>
      <c r="K40" s="717"/>
      <c r="L40" s="717"/>
      <c r="M40" s="717"/>
      <c r="N40" s="717"/>
      <c r="O40" s="717"/>
      <c r="P40" s="717"/>
      <c r="Q40" s="317"/>
      <c r="R40" s="317"/>
      <c r="S40" s="14"/>
      <c r="T40" s="90"/>
      <c r="U40" s="90"/>
    </row>
    <row r="41" spans="2:21">
      <c r="B41" s="718" t="s">
        <v>1114</v>
      </c>
      <c r="C41" s="717"/>
      <c r="D41" s="717"/>
      <c r="E41" s="717"/>
      <c r="F41" s="717">
        <v>0.53700000000000003</v>
      </c>
      <c r="G41" s="717"/>
      <c r="H41" s="717">
        <v>-0.19</v>
      </c>
      <c r="I41" s="717"/>
      <c r="J41" s="717"/>
      <c r="K41" s="717"/>
      <c r="L41" s="717"/>
      <c r="M41" s="717"/>
      <c r="N41" s="717"/>
      <c r="O41" s="717"/>
      <c r="P41" s="717"/>
      <c r="Q41" s="317"/>
      <c r="R41" s="317"/>
      <c r="S41" s="14"/>
      <c r="T41" s="90"/>
      <c r="U41" s="90"/>
    </row>
    <row r="42" spans="2:21">
      <c r="B42" s="718" t="s">
        <v>1115</v>
      </c>
      <c r="C42" s="717"/>
      <c r="D42" s="717"/>
      <c r="E42" s="717"/>
      <c r="F42" s="717">
        <v>8.3000000000000004E-2</v>
      </c>
      <c r="G42" s="717">
        <v>0.1</v>
      </c>
      <c r="H42" s="717">
        <v>0.08</v>
      </c>
      <c r="I42" s="717"/>
      <c r="J42" s="717"/>
      <c r="K42" s="717"/>
      <c r="L42" s="717"/>
      <c r="M42" s="717"/>
      <c r="N42" s="717"/>
      <c r="O42" s="717"/>
      <c r="P42" s="717"/>
      <c r="Q42" s="317"/>
      <c r="R42" s="317"/>
      <c r="S42" s="14"/>
      <c r="T42" s="90"/>
      <c r="U42" s="90"/>
    </row>
    <row r="43" spans="2:21">
      <c r="B43" s="718" t="s">
        <v>1116</v>
      </c>
      <c r="C43" s="717"/>
      <c r="D43" s="717"/>
      <c r="E43" s="717"/>
      <c r="F43" s="717">
        <v>1.518</v>
      </c>
      <c r="G43" s="717">
        <v>1.9</v>
      </c>
      <c r="H43" s="717"/>
      <c r="I43" s="717"/>
      <c r="J43" s="717"/>
      <c r="K43" s="717"/>
      <c r="L43" s="717"/>
      <c r="M43" s="717"/>
      <c r="N43" s="717"/>
      <c r="O43" s="717"/>
      <c r="P43" s="717"/>
      <c r="Q43" s="317"/>
      <c r="R43" s="317"/>
      <c r="S43" s="14"/>
      <c r="T43" s="90"/>
      <c r="U43" s="90"/>
    </row>
    <row r="44" spans="2:21">
      <c r="B44" s="719" t="s">
        <v>1117</v>
      </c>
      <c r="C44" s="720"/>
      <c r="D44" s="720"/>
      <c r="E44" s="720"/>
      <c r="F44" s="720">
        <v>1.1180000000000001</v>
      </c>
      <c r="G44" s="720">
        <v>1.3</v>
      </c>
      <c r="H44" s="720"/>
      <c r="I44" s="720"/>
      <c r="J44" s="720"/>
      <c r="K44" s="721"/>
      <c r="L44" s="721"/>
      <c r="M44" s="721"/>
      <c r="N44" s="720"/>
      <c r="O44" s="720"/>
      <c r="P44" s="720"/>
      <c r="Q44" s="322"/>
      <c r="R44" s="322"/>
      <c r="S44" s="324"/>
      <c r="T44" s="325"/>
      <c r="U44" s="325"/>
    </row>
    <row r="45" spans="2:21" ht="15" thickBot="1"/>
    <row r="46" spans="2:21" ht="15" thickBot="1">
      <c r="B46" s="714" t="s">
        <v>729</v>
      </c>
      <c r="C46" s="715" cm="1">
        <f t="array" ref="C46:R46">TRANSPOSE(Deflator_OBR!R102:R117)</f>
        <v>0</v>
      </c>
      <c r="D46" s="715">
        <v>0</v>
      </c>
      <c r="E46" s="715">
        <v>0</v>
      </c>
      <c r="F46" s="715">
        <v>0</v>
      </c>
      <c r="G46" s="715">
        <v>0</v>
      </c>
      <c r="H46" s="715">
        <v>0</v>
      </c>
      <c r="I46" s="715">
        <v>0</v>
      </c>
      <c r="J46" s="715">
        <v>0</v>
      </c>
      <c r="K46" s="715">
        <v>0</v>
      </c>
      <c r="L46" s="715">
        <v>0</v>
      </c>
      <c r="M46" s="715">
        <v>0</v>
      </c>
      <c r="N46" s="715">
        <v>0</v>
      </c>
      <c r="O46" s="715">
        <v>0</v>
      </c>
      <c r="P46" s="715">
        <v>0</v>
      </c>
      <c r="Q46" s="715">
        <v>0</v>
      </c>
      <c r="R46" s="715">
        <v>0</v>
      </c>
      <c r="S46" s="715"/>
      <c r="T46" s="329" t="s">
        <v>1118</v>
      </c>
      <c r="U46" s="330" t="s">
        <v>1119</v>
      </c>
    </row>
    <row r="47" spans="2:21" ht="15" thickBot="1"/>
    <row r="48" spans="2:21" ht="15" thickBot="1">
      <c r="B48" s="331" t="s">
        <v>730</v>
      </c>
      <c r="C48" s="326" t="s">
        <v>325</v>
      </c>
      <c r="D48" s="326" t="s">
        <v>188</v>
      </c>
      <c r="E48" s="326" t="s">
        <v>189</v>
      </c>
      <c r="F48" s="326" t="s">
        <v>681</v>
      </c>
      <c r="G48" s="326" t="s">
        <v>245</v>
      </c>
      <c r="H48" s="326" t="s">
        <v>192</v>
      </c>
      <c r="I48" s="326" t="s">
        <v>193</v>
      </c>
      <c r="J48" s="326" t="s">
        <v>165</v>
      </c>
      <c r="K48" s="326" t="s">
        <v>167</v>
      </c>
      <c r="L48" s="326" t="s">
        <v>168</v>
      </c>
      <c r="M48" s="326" t="s">
        <v>169</v>
      </c>
      <c r="N48" s="327" t="s">
        <v>170</v>
      </c>
      <c r="O48" s="327" t="s">
        <v>171</v>
      </c>
      <c r="P48" s="327"/>
      <c r="Q48" s="328" t="s">
        <v>172</v>
      </c>
      <c r="R48" s="328" t="s">
        <v>173</v>
      </c>
      <c r="S48" s="332" t="s">
        <v>174</v>
      </c>
    </row>
    <row r="49" spans="2:19">
      <c r="B49" s="49"/>
      <c r="S49" s="306"/>
    </row>
    <row r="50" spans="2:19">
      <c r="B50" s="45" t="s">
        <v>1078</v>
      </c>
      <c r="C50" s="10"/>
      <c r="D50" s="10"/>
      <c r="E50" s="10"/>
      <c r="F50" s="10"/>
      <c r="G50" s="10"/>
      <c r="H50" s="10" t="e">
        <f>(H3/H$46)*$Q$46</f>
        <v>#DIV/0!</v>
      </c>
      <c r="I50" s="10" t="e">
        <f t="shared" ref="H50:N51" si="9">(I3/I$46)*$Q$46</f>
        <v>#DIV/0!</v>
      </c>
      <c r="J50" s="10" t="e">
        <f t="shared" si="9"/>
        <v>#DIV/0!</v>
      </c>
      <c r="K50" s="10" t="e">
        <f t="shared" si="9"/>
        <v>#DIV/0!</v>
      </c>
      <c r="L50" s="10" t="e">
        <f t="shared" si="9"/>
        <v>#DIV/0!</v>
      </c>
      <c r="M50" s="10" t="e">
        <f t="shared" si="9"/>
        <v>#DIV/0!</v>
      </c>
      <c r="N50" s="10" t="e">
        <f t="shared" si="9"/>
        <v>#DIV/0!</v>
      </c>
      <c r="O50" s="10" t="e">
        <f t="shared" ref="O50" si="10">(O3/O$46)*$Q$46</f>
        <v>#DIV/0!</v>
      </c>
      <c r="S50" s="306"/>
    </row>
    <row r="51" spans="2:19">
      <c r="B51" s="5" t="s">
        <v>1080</v>
      </c>
      <c r="C51" s="10"/>
      <c r="D51" s="10"/>
      <c r="E51" s="10"/>
      <c r="F51" s="10"/>
      <c r="G51" s="10"/>
      <c r="H51" s="10" t="e">
        <f t="shared" si="9"/>
        <v>#DIV/0!</v>
      </c>
      <c r="I51" s="10" t="e">
        <f t="shared" si="9"/>
        <v>#DIV/0!</v>
      </c>
      <c r="J51" s="10" t="e">
        <f t="shared" si="9"/>
        <v>#DIV/0!</v>
      </c>
      <c r="K51" s="10" t="e">
        <f t="shared" si="9"/>
        <v>#DIV/0!</v>
      </c>
      <c r="L51" s="10" t="e">
        <f t="shared" si="9"/>
        <v>#DIV/0!</v>
      </c>
      <c r="M51" s="10" t="e">
        <f t="shared" si="9"/>
        <v>#DIV/0!</v>
      </c>
      <c r="N51" s="10" t="e">
        <f t="shared" si="9"/>
        <v>#DIV/0!</v>
      </c>
      <c r="O51" s="10" t="e">
        <f t="shared" ref="O51" si="11">(O4/O$46)*$Q$46</f>
        <v>#DIV/0!</v>
      </c>
      <c r="S51" s="306"/>
    </row>
    <row r="52" spans="2:19">
      <c r="B52" s="5" t="s">
        <v>1084</v>
      </c>
      <c r="C52" s="10"/>
      <c r="D52" s="10"/>
      <c r="E52" s="10"/>
      <c r="F52" s="10"/>
      <c r="G52" s="10"/>
      <c r="H52" s="10" t="e">
        <f t="shared" ref="H52:N57" si="12">(H6/H$46)*$Q$46</f>
        <v>#DIV/0!</v>
      </c>
      <c r="I52" s="10" t="e">
        <f t="shared" si="12"/>
        <v>#DIV/0!</v>
      </c>
      <c r="J52" s="10" t="e">
        <f t="shared" si="12"/>
        <v>#DIV/0!</v>
      </c>
      <c r="K52" s="10" t="e">
        <f t="shared" si="12"/>
        <v>#DIV/0!</v>
      </c>
      <c r="L52" s="10" t="e">
        <f t="shared" si="12"/>
        <v>#DIV/0!</v>
      </c>
      <c r="M52" s="10" t="e">
        <f t="shared" si="12"/>
        <v>#DIV/0!</v>
      </c>
      <c r="N52" s="10" t="e">
        <f t="shared" si="12"/>
        <v>#DIV/0!</v>
      </c>
      <c r="O52" s="10" t="e">
        <f t="shared" ref="O52" si="13">(O6/O$46)*$Q$46</f>
        <v>#DIV/0!</v>
      </c>
      <c r="S52" s="306"/>
    </row>
    <row r="53" spans="2:19">
      <c r="B53" s="5" t="s">
        <v>1086</v>
      </c>
      <c r="C53" s="10"/>
      <c r="D53" s="10"/>
      <c r="E53" s="10"/>
      <c r="F53" s="10"/>
      <c r="G53" s="10"/>
      <c r="H53" s="10" t="e">
        <f t="shared" si="12"/>
        <v>#DIV/0!</v>
      </c>
      <c r="I53" s="10" t="e">
        <f t="shared" si="12"/>
        <v>#DIV/0!</v>
      </c>
      <c r="J53" s="10" t="e">
        <f t="shared" si="12"/>
        <v>#DIV/0!</v>
      </c>
      <c r="K53" s="10" t="e">
        <f t="shared" si="12"/>
        <v>#DIV/0!</v>
      </c>
      <c r="L53" s="10" t="e">
        <f t="shared" si="12"/>
        <v>#DIV/0!</v>
      </c>
      <c r="M53" s="10" t="e">
        <f t="shared" si="12"/>
        <v>#DIV/0!</v>
      </c>
      <c r="N53" s="10" t="e">
        <f t="shared" si="12"/>
        <v>#DIV/0!</v>
      </c>
      <c r="O53" s="10" t="e">
        <f t="shared" ref="O53" si="14">(O7/O$46)*$Q$46</f>
        <v>#DIV/0!</v>
      </c>
      <c r="S53" s="306"/>
    </row>
    <row r="54" spans="2:19">
      <c r="B54" s="5" t="s">
        <v>1063</v>
      </c>
      <c r="C54" s="10"/>
      <c r="D54" s="10"/>
      <c r="E54" s="10"/>
      <c r="F54" s="10"/>
      <c r="G54" s="10"/>
      <c r="H54" s="10" t="e">
        <f t="shared" si="12"/>
        <v>#DIV/0!</v>
      </c>
      <c r="I54" s="10" t="e">
        <f t="shared" si="12"/>
        <v>#DIV/0!</v>
      </c>
      <c r="J54" s="10" t="e">
        <f t="shared" si="12"/>
        <v>#DIV/0!</v>
      </c>
      <c r="K54" s="10" t="e">
        <f t="shared" si="12"/>
        <v>#DIV/0!</v>
      </c>
      <c r="L54" s="10" t="e">
        <f t="shared" si="12"/>
        <v>#DIV/0!</v>
      </c>
      <c r="M54" s="10" t="e">
        <f t="shared" si="12"/>
        <v>#DIV/0!</v>
      </c>
      <c r="N54" s="10" t="e">
        <f t="shared" si="12"/>
        <v>#DIV/0!</v>
      </c>
      <c r="O54" s="10" t="e">
        <f t="shared" ref="O54" si="15">(O8/O$46)*$Q$46</f>
        <v>#DIV/0!</v>
      </c>
      <c r="P54" s="10" t="e">
        <f>O54-L54</f>
        <v>#DIV/0!</v>
      </c>
      <c r="S54" s="306"/>
    </row>
    <row r="55" spans="2:19">
      <c r="B55" s="5" t="s">
        <v>1089</v>
      </c>
      <c r="C55" s="10"/>
      <c r="D55" s="10"/>
      <c r="E55" s="10"/>
      <c r="F55" s="10"/>
      <c r="G55" s="10"/>
      <c r="H55" s="10" t="e">
        <f t="shared" si="12"/>
        <v>#DIV/0!</v>
      </c>
      <c r="I55" s="10" t="e">
        <f t="shared" si="12"/>
        <v>#DIV/0!</v>
      </c>
      <c r="J55" s="10" t="e">
        <f t="shared" si="12"/>
        <v>#DIV/0!</v>
      </c>
      <c r="K55" s="10" t="e">
        <f t="shared" si="12"/>
        <v>#DIV/0!</v>
      </c>
      <c r="L55" s="10" t="e">
        <f t="shared" si="12"/>
        <v>#DIV/0!</v>
      </c>
      <c r="M55" s="10" t="e">
        <f t="shared" si="12"/>
        <v>#DIV/0!</v>
      </c>
      <c r="N55" s="10" t="e">
        <f t="shared" si="12"/>
        <v>#DIV/0!</v>
      </c>
      <c r="O55" s="10" t="e">
        <f t="shared" ref="O55" si="16">(O9/O$46)*$Q$46</f>
        <v>#DIV/0!</v>
      </c>
      <c r="S55" s="306"/>
    </row>
    <row r="56" spans="2:19">
      <c r="B56" s="5" t="s">
        <v>1120</v>
      </c>
      <c r="C56" s="10"/>
      <c r="D56" s="10"/>
      <c r="E56" s="10"/>
      <c r="F56" s="10"/>
      <c r="G56" s="10"/>
      <c r="H56" s="10" t="e">
        <f t="shared" si="12"/>
        <v>#DIV/0!</v>
      </c>
      <c r="I56" s="10" t="e">
        <f t="shared" si="12"/>
        <v>#DIV/0!</v>
      </c>
      <c r="J56" s="10" t="e">
        <f t="shared" si="12"/>
        <v>#DIV/0!</v>
      </c>
      <c r="K56" s="10" t="e">
        <f t="shared" si="12"/>
        <v>#DIV/0!</v>
      </c>
      <c r="L56" s="10" t="e">
        <f t="shared" si="12"/>
        <v>#DIV/0!</v>
      </c>
      <c r="M56" s="10" t="e">
        <f t="shared" si="12"/>
        <v>#DIV/0!</v>
      </c>
      <c r="N56" s="10" t="e">
        <f t="shared" si="12"/>
        <v>#DIV/0!</v>
      </c>
      <c r="O56" s="10" t="e">
        <f t="shared" ref="O56" si="17">(O10/O$46)*$Q$46</f>
        <v>#DIV/0!</v>
      </c>
      <c r="S56" s="306"/>
    </row>
    <row r="57" spans="2:19">
      <c r="B57" s="5" t="s">
        <v>1121</v>
      </c>
      <c r="C57" s="10"/>
      <c r="D57" s="10"/>
      <c r="E57" s="10"/>
      <c r="F57" s="10"/>
      <c r="G57" s="10"/>
      <c r="H57" s="10" t="e">
        <f t="shared" si="12"/>
        <v>#DIV/0!</v>
      </c>
      <c r="I57" s="10" t="e">
        <f t="shared" si="12"/>
        <v>#DIV/0!</v>
      </c>
      <c r="J57" s="10" t="e">
        <f t="shared" si="12"/>
        <v>#DIV/0!</v>
      </c>
      <c r="K57" s="10" t="e">
        <f t="shared" si="12"/>
        <v>#DIV/0!</v>
      </c>
      <c r="L57" s="10" t="e">
        <f t="shared" si="12"/>
        <v>#DIV/0!</v>
      </c>
      <c r="M57" s="10" t="e">
        <f t="shared" si="12"/>
        <v>#DIV/0!</v>
      </c>
      <c r="N57" s="10" t="e">
        <f t="shared" si="12"/>
        <v>#DIV/0!</v>
      </c>
      <c r="O57" s="10" t="e">
        <f t="shared" ref="O57" si="18">(O11/O$46)*$Q$46</f>
        <v>#DIV/0!</v>
      </c>
      <c r="S57" s="306"/>
    </row>
    <row r="58" spans="2:19">
      <c r="B58" s="5" t="s">
        <v>1093</v>
      </c>
      <c r="C58" s="10"/>
      <c r="D58" s="10"/>
      <c r="E58" s="10"/>
      <c r="F58" s="10"/>
      <c r="G58" s="10"/>
      <c r="H58" s="10" t="e">
        <f t="shared" ref="H58:N58" si="19">(H14/H$46)*$Q$46</f>
        <v>#DIV/0!</v>
      </c>
      <c r="I58" s="10" t="e">
        <f t="shared" si="19"/>
        <v>#DIV/0!</v>
      </c>
      <c r="J58" s="10" t="e">
        <f t="shared" si="19"/>
        <v>#DIV/0!</v>
      </c>
      <c r="K58" s="10" t="e">
        <f t="shared" si="19"/>
        <v>#DIV/0!</v>
      </c>
      <c r="L58" s="10" t="e">
        <f t="shared" si="19"/>
        <v>#DIV/0!</v>
      </c>
      <c r="M58" s="10" t="e">
        <f t="shared" si="19"/>
        <v>#DIV/0!</v>
      </c>
      <c r="N58" s="10" t="e">
        <f t="shared" si="19"/>
        <v>#DIV/0!</v>
      </c>
      <c r="O58" s="10" t="e">
        <f t="shared" ref="O58" si="20">(O14/O$46)*$Q$46</f>
        <v>#DIV/0!</v>
      </c>
      <c r="S58" s="306"/>
    </row>
    <row r="59" spans="2:19">
      <c r="B59" s="5" t="s">
        <v>16</v>
      </c>
      <c r="C59" s="10"/>
      <c r="D59" s="10"/>
      <c r="E59" s="10"/>
      <c r="F59" s="10"/>
      <c r="G59" s="10"/>
      <c r="H59" s="10" t="e">
        <f t="shared" ref="H59:N59" si="21">(H16/H$46)*$Q$46</f>
        <v>#DIV/0!</v>
      </c>
      <c r="I59" s="10" t="e">
        <f t="shared" si="21"/>
        <v>#DIV/0!</v>
      </c>
      <c r="J59" s="10" t="e">
        <f t="shared" si="21"/>
        <v>#DIV/0!</v>
      </c>
      <c r="K59" s="10" t="e">
        <f t="shared" si="21"/>
        <v>#DIV/0!</v>
      </c>
      <c r="L59" s="10" t="e">
        <f t="shared" si="21"/>
        <v>#DIV/0!</v>
      </c>
      <c r="M59" s="10" t="e">
        <f t="shared" si="21"/>
        <v>#DIV/0!</v>
      </c>
      <c r="N59" s="10" t="e">
        <f t="shared" si="21"/>
        <v>#DIV/0!</v>
      </c>
      <c r="O59" s="10" t="e">
        <f t="shared" ref="O59" si="22">(O16/O$46)*$Q$46</f>
        <v>#DIV/0!</v>
      </c>
      <c r="S59" s="306"/>
    </row>
    <row r="60" spans="2:19">
      <c r="B60" s="5" t="s">
        <v>1095</v>
      </c>
      <c r="C60" s="10"/>
      <c r="D60" s="10"/>
      <c r="E60" s="10"/>
      <c r="F60" s="10"/>
      <c r="G60" s="10"/>
      <c r="H60" s="10" t="e">
        <f t="shared" ref="H60:N61" si="23">(H19/H$46)*$Q$46</f>
        <v>#DIV/0!</v>
      </c>
      <c r="I60" s="10" t="e">
        <f t="shared" si="23"/>
        <v>#DIV/0!</v>
      </c>
      <c r="J60" s="10" t="e">
        <f t="shared" si="23"/>
        <v>#DIV/0!</v>
      </c>
      <c r="K60" s="10" t="e">
        <f t="shared" si="23"/>
        <v>#DIV/0!</v>
      </c>
      <c r="L60" s="10" t="e">
        <f t="shared" si="23"/>
        <v>#DIV/0!</v>
      </c>
      <c r="M60" s="10" t="e">
        <f t="shared" si="23"/>
        <v>#DIV/0!</v>
      </c>
      <c r="N60" s="10" t="e">
        <f t="shared" si="23"/>
        <v>#DIV/0!</v>
      </c>
      <c r="O60" s="10" t="e">
        <f t="shared" ref="O60" si="24">(O19/O$46)*$Q$46</f>
        <v>#DIV/0!</v>
      </c>
      <c r="S60" s="306"/>
    </row>
    <row r="61" spans="2:19">
      <c r="B61" s="5" t="s">
        <v>1122</v>
      </c>
      <c r="C61" s="10"/>
      <c r="D61" s="10"/>
      <c r="E61" s="10"/>
      <c r="F61" s="10"/>
      <c r="G61" s="10"/>
      <c r="H61" s="10" t="e">
        <f t="shared" si="23"/>
        <v>#DIV/0!</v>
      </c>
      <c r="I61" s="10" t="e">
        <f t="shared" si="23"/>
        <v>#DIV/0!</v>
      </c>
      <c r="J61" s="10" t="e">
        <f t="shared" si="23"/>
        <v>#DIV/0!</v>
      </c>
      <c r="K61" s="10" t="e">
        <f t="shared" si="23"/>
        <v>#DIV/0!</v>
      </c>
      <c r="L61" s="10" t="e">
        <f t="shared" si="23"/>
        <v>#DIV/0!</v>
      </c>
      <c r="M61" s="10" t="e">
        <f t="shared" si="23"/>
        <v>#DIV/0!</v>
      </c>
      <c r="N61" s="10" t="e">
        <f t="shared" si="23"/>
        <v>#DIV/0!</v>
      </c>
      <c r="O61" s="10" t="e">
        <f t="shared" ref="O61" si="25">(O20/O$46)*$Q$46</f>
        <v>#DIV/0!</v>
      </c>
      <c r="S61" s="306"/>
    </row>
    <row r="62" spans="2:19">
      <c r="B62" s="5"/>
      <c r="C62" s="10"/>
      <c r="D62" s="10"/>
      <c r="E62" s="10"/>
      <c r="F62" s="10"/>
      <c r="G62" s="10"/>
      <c r="H62" s="10"/>
      <c r="I62" s="10"/>
      <c r="J62" s="10"/>
      <c r="K62" s="10"/>
      <c r="L62" s="10"/>
      <c r="M62" s="10"/>
      <c r="N62" s="10"/>
      <c r="S62" s="306"/>
    </row>
    <row r="63" spans="2:19">
      <c r="B63" s="82" t="s">
        <v>1097</v>
      </c>
      <c r="C63" s="10"/>
      <c r="D63" s="10"/>
      <c r="E63" s="10"/>
      <c r="F63" s="10"/>
      <c r="G63" s="10"/>
      <c r="H63" s="10"/>
      <c r="I63" s="10"/>
      <c r="J63" s="10"/>
      <c r="K63" s="10"/>
      <c r="L63" s="10"/>
      <c r="M63" s="10"/>
      <c r="N63" s="10"/>
      <c r="S63" s="306"/>
    </row>
    <row r="64" spans="2:19">
      <c r="B64" s="49" t="s">
        <v>1098</v>
      </c>
      <c r="C64" s="10"/>
      <c r="D64" s="10"/>
      <c r="E64" s="10"/>
      <c r="F64" s="10"/>
      <c r="G64" s="10"/>
      <c r="H64" s="10" t="e">
        <f t="shared" ref="H64:N65" si="26">(H25/H$46)*$Q$46</f>
        <v>#DIV/0!</v>
      </c>
      <c r="I64" s="10" t="e">
        <f t="shared" si="26"/>
        <v>#DIV/0!</v>
      </c>
      <c r="J64" s="10" t="e">
        <f t="shared" si="26"/>
        <v>#DIV/0!</v>
      </c>
      <c r="K64" s="10" t="e">
        <f t="shared" si="26"/>
        <v>#DIV/0!</v>
      </c>
      <c r="L64" s="10" t="e">
        <f t="shared" si="26"/>
        <v>#DIV/0!</v>
      </c>
      <c r="M64" s="10" t="e">
        <f t="shared" si="26"/>
        <v>#DIV/0!</v>
      </c>
      <c r="N64" s="10" t="e">
        <f t="shared" si="26"/>
        <v>#DIV/0!</v>
      </c>
      <c r="S64" s="306"/>
    </row>
    <row r="65" spans="2:19">
      <c r="B65" s="49" t="s">
        <v>1101</v>
      </c>
      <c r="C65" s="10"/>
      <c r="D65" s="10"/>
      <c r="E65" s="10"/>
      <c r="F65" s="10"/>
      <c r="G65" s="10"/>
      <c r="H65" s="10" t="e">
        <f t="shared" si="26"/>
        <v>#DIV/0!</v>
      </c>
      <c r="I65" s="10" t="e">
        <f t="shared" si="26"/>
        <v>#DIV/0!</v>
      </c>
      <c r="J65" s="10" t="e">
        <f t="shared" si="26"/>
        <v>#DIV/0!</v>
      </c>
      <c r="K65" s="10" t="e">
        <f t="shared" si="26"/>
        <v>#DIV/0!</v>
      </c>
      <c r="L65" s="10" t="e">
        <f t="shared" si="26"/>
        <v>#DIV/0!</v>
      </c>
      <c r="M65" s="10" t="e">
        <f t="shared" si="26"/>
        <v>#DIV/0!</v>
      </c>
      <c r="N65" s="10" t="e">
        <f t="shared" si="26"/>
        <v>#DIV/0!</v>
      </c>
      <c r="S65" s="306"/>
    </row>
    <row r="66" spans="2:19">
      <c r="B66" s="318" t="s">
        <v>1103</v>
      </c>
      <c r="C66" s="10"/>
      <c r="D66" s="10"/>
      <c r="E66" s="10"/>
      <c r="F66" s="10"/>
      <c r="G66" s="10"/>
      <c r="H66" s="10"/>
      <c r="I66" s="10"/>
      <c r="J66" s="10"/>
      <c r="K66" s="10"/>
      <c r="L66" s="10"/>
      <c r="M66" s="10" t="e">
        <f t="shared" ref="M66:N70" si="27">(M27/M$46)*$Q$46</f>
        <v>#DIV/0!</v>
      </c>
      <c r="N66" s="10" t="e">
        <f t="shared" si="27"/>
        <v>#DIV/0!</v>
      </c>
      <c r="S66" s="306"/>
    </row>
    <row r="67" spans="2:19">
      <c r="B67" s="49" t="s">
        <v>1104</v>
      </c>
      <c r="C67" s="10"/>
      <c r="D67" s="10"/>
      <c r="E67" s="10"/>
      <c r="F67" s="10"/>
      <c r="G67" s="10"/>
      <c r="H67" s="10" t="e">
        <f t="shared" ref="H67:L70" si="28">(H28/H$46)*$Q$46</f>
        <v>#DIV/0!</v>
      </c>
      <c r="I67" s="10" t="e">
        <f t="shared" si="28"/>
        <v>#DIV/0!</v>
      </c>
      <c r="J67" s="10" t="e">
        <f t="shared" si="28"/>
        <v>#DIV/0!</v>
      </c>
      <c r="K67" s="10" t="e">
        <f t="shared" si="28"/>
        <v>#DIV/0!</v>
      </c>
      <c r="L67" s="10" t="e">
        <f t="shared" si="28"/>
        <v>#DIV/0!</v>
      </c>
      <c r="M67" s="10" t="e">
        <f t="shared" si="27"/>
        <v>#DIV/0!</v>
      </c>
      <c r="N67" s="10" t="e">
        <f t="shared" si="27"/>
        <v>#DIV/0!</v>
      </c>
      <c r="S67" s="306"/>
    </row>
    <row r="68" spans="2:19">
      <c r="B68" s="49" t="s">
        <v>1105</v>
      </c>
      <c r="C68" s="10"/>
      <c r="D68" s="10"/>
      <c r="E68" s="10"/>
      <c r="F68" s="10"/>
      <c r="G68" s="10"/>
      <c r="H68" s="10" t="e">
        <f t="shared" si="28"/>
        <v>#DIV/0!</v>
      </c>
      <c r="I68" s="10" t="e">
        <f t="shared" si="28"/>
        <v>#DIV/0!</v>
      </c>
      <c r="J68" s="10" t="e">
        <f t="shared" si="28"/>
        <v>#DIV/0!</v>
      </c>
      <c r="K68" s="10" t="e">
        <f t="shared" si="28"/>
        <v>#DIV/0!</v>
      </c>
      <c r="L68" s="10" t="e">
        <f t="shared" si="28"/>
        <v>#DIV/0!</v>
      </c>
      <c r="M68" s="10" t="e">
        <f t="shared" si="27"/>
        <v>#DIV/0!</v>
      </c>
      <c r="N68" s="10" t="e">
        <f t="shared" si="27"/>
        <v>#DIV/0!</v>
      </c>
      <c r="S68" s="306"/>
    </row>
    <row r="69" spans="2:19">
      <c r="B69" s="49" t="s">
        <v>1106</v>
      </c>
      <c r="C69" s="10"/>
      <c r="D69" s="10"/>
      <c r="E69" s="10"/>
      <c r="F69" s="10"/>
      <c r="G69" s="10"/>
      <c r="H69" s="10" t="e">
        <f t="shared" si="28"/>
        <v>#DIV/0!</v>
      </c>
      <c r="I69" s="10" t="e">
        <f t="shared" si="28"/>
        <v>#DIV/0!</v>
      </c>
      <c r="J69" s="10" t="e">
        <f t="shared" si="28"/>
        <v>#DIV/0!</v>
      </c>
      <c r="K69" s="10" t="e">
        <f t="shared" si="28"/>
        <v>#DIV/0!</v>
      </c>
      <c r="L69" s="10" t="e">
        <f t="shared" si="28"/>
        <v>#DIV/0!</v>
      </c>
      <c r="M69" s="10" t="e">
        <f t="shared" si="27"/>
        <v>#DIV/0!</v>
      </c>
      <c r="N69" s="10" t="e">
        <f t="shared" si="27"/>
        <v>#DIV/0!</v>
      </c>
      <c r="S69" s="306"/>
    </row>
    <row r="70" spans="2:19">
      <c r="B70" s="49" t="s">
        <v>16</v>
      </c>
      <c r="C70" s="10"/>
      <c r="D70" s="10"/>
      <c r="E70" s="10"/>
      <c r="F70" s="10"/>
      <c r="G70" s="10"/>
      <c r="H70" s="10" t="e">
        <f t="shared" si="28"/>
        <v>#DIV/0!</v>
      </c>
      <c r="I70" s="10" t="e">
        <f t="shared" si="28"/>
        <v>#DIV/0!</v>
      </c>
      <c r="J70" s="10" t="e">
        <f t="shared" si="28"/>
        <v>#DIV/0!</v>
      </c>
      <c r="K70" s="10" t="e">
        <f t="shared" si="28"/>
        <v>#DIV/0!</v>
      </c>
      <c r="L70" s="10" t="e">
        <f t="shared" si="28"/>
        <v>#DIV/0!</v>
      </c>
      <c r="M70" s="10" t="e">
        <f t="shared" si="27"/>
        <v>#DIV/0!</v>
      </c>
      <c r="N70" s="10" t="e">
        <f t="shared" si="27"/>
        <v>#DIV/0!</v>
      </c>
      <c r="S70" s="306"/>
    </row>
    <row r="71" spans="2:19">
      <c r="B71" s="5"/>
      <c r="C71" s="10"/>
      <c r="D71" s="10"/>
      <c r="E71" s="10"/>
      <c r="F71" s="10"/>
      <c r="G71" s="10"/>
      <c r="H71" s="10"/>
      <c r="I71" s="10"/>
      <c r="J71" s="10"/>
      <c r="K71" s="10"/>
      <c r="L71" s="10"/>
      <c r="M71" s="10"/>
      <c r="N71" s="10"/>
      <c r="S71" s="306"/>
    </row>
    <row r="72" spans="2:19">
      <c r="B72" s="82" t="s">
        <v>1123</v>
      </c>
      <c r="C72" s="10"/>
      <c r="D72" s="10"/>
      <c r="E72" s="10"/>
      <c r="F72" s="10"/>
      <c r="G72" s="10"/>
      <c r="H72" s="10"/>
      <c r="I72" s="10"/>
      <c r="J72" s="10"/>
      <c r="K72" s="10"/>
      <c r="L72" s="10"/>
      <c r="M72" s="10"/>
      <c r="N72" s="10"/>
      <c r="S72" s="306"/>
    </row>
    <row r="73" spans="2:19">
      <c r="B73" s="49" t="s">
        <v>1110</v>
      </c>
      <c r="C73" s="10"/>
      <c r="D73" s="10"/>
      <c r="E73" s="10"/>
      <c r="F73" s="10"/>
      <c r="G73" s="10"/>
      <c r="H73" s="10" t="e">
        <f t="shared" ref="H73:M73" si="29">(H35/H$46)*$Q$46</f>
        <v>#DIV/0!</v>
      </c>
      <c r="I73" s="10" t="e">
        <f t="shared" si="29"/>
        <v>#DIV/0!</v>
      </c>
      <c r="J73" s="10" t="e">
        <f t="shared" si="29"/>
        <v>#DIV/0!</v>
      </c>
      <c r="K73" s="10" t="e">
        <f t="shared" si="29"/>
        <v>#DIV/0!</v>
      </c>
      <c r="L73" s="10" t="e">
        <f t="shared" si="29"/>
        <v>#DIV/0!</v>
      </c>
      <c r="M73" s="10" t="e">
        <f t="shared" si="29"/>
        <v>#DIV/0!</v>
      </c>
      <c r="N73" s="10"/>
      <c r="S73" s="306"/>
    </row>
    <row r="74" spans="2:19">
      <c r="B74" s="49" t="s">
        <v>1103</v>
      </c>
      <c r="C74" s="10"/>
      <c r="D74" s="10"/>
      <c r="E74" s="10"/>
      <c r="F74" s="10"/>
      <c r="G74" s="10"/>
      <c r="H74" s="10"/>
      <c r="I74" s="10" t="e">
        <f t="shared" ref="I74:M76" si="30">(I36/I$46)*$Q$46</f>
        <v>#DIV/0!</v>
      </c>
      <c r="J74" s="10" t="e">
        <f t="shared" si="30"/>
        <v>#DIV/0!</v>
      </c>
      <c r="K74" s="10" t="e">
        <f t="shared" si="30"/>
        <v>#DIV/0!</v>
      </c>
      <c r="L74" s="10" t="e">
        <f t="shared" si="30"/>
        <v>#DIV/0!</v>
      </c>
      <c r="M74" s="10" t="e">
        <f t="shared" si="30"/>
        <v>#DIV/0!</v>
      </c>
      <c r="N74" s="10"/>
      <c r="S74" s="306"/>
    </row>
    <row r="75" spans="2:19">
      <c r="B75" s="49" t="s">
        <v>1111</v>
      </c>
      <c r="C75" s="10"/>
      <c r="D75" s="10"/>
      <c r="E75" s="10"/>
      <c r="F75" s="10"/>
      <c r="G75" s="10"/>
      <c r="H75" s="10"/>
      <c r="I75" s="10" t="e">
        <f t="shared" si="30"/>
        <v>#DIV/0!</v>
      </c>
      <c r="J75" s="10" t="e">
        <f t="shared" si="30"/>
        <v>#DIV/0!</v>
      </c>
      <c r="K75" s="10" t="e">
        <f t="shared" si="30"/>
        <v>#DIV/0!</v>
      </c>
      <c r="L75" s="10" t="e">
        <f t="shared" si="30"/>
        <v>#DIV/0!</v>
      </c>
      <c r="M75" s="10" t="e">
        <f t="shared" si="30"/>
        <v>#DIV/0!</v>
      </c>
      <c r="N75" s="10"/>
      <c r="S75" s="306"/>
    </row>
    <row r="76" spans="2:19">
      <c r="B76" s="49" t="s">
        <v>707</v>
      </c>
      <c r="C76" s="10"/>
      <c r="D76" s="10"/>
      <c r="E76" s="10"/>
      <c r="F76" s="10"/>
      <c r="G76" s="10" t="e">
        <f t="shared" ref="G76" si="31">(G38/G$46)*$Q$46</f>
        <v>#DIV/0!</v>
      </c>
      <c r="H76" s="10" t="e">
        <f>(H38/H$46)*$Q$46</f>
        <v>#DIV/0!</v>
      </c>
      <c r="I76" s="10" t="e">
        <f t="shared" si="30"/>
        <v>#DIV/0!</v>
      </c>
      <c r="J76" s="10" t="e">
        <f t="shared" si="30"/>
        <v>#DIV/0!</v>
      </c>
      <c r="K76" s="10" t="e">
        <f t="shared" si="30"/>
        <v>#DIV/0!</v>
      </c>
      <c r="L76" s="10" t="e">
        <f t="shared" si="30"/>
        <v>#DIV/0!</v>
      </c>
      <c r="M76" s="10" t="e">
        <f t="shared" si="30"/>
        <v>#DIV/0!</v>
      </c>
      <c r="N76" s="10"/>
      <c r="S76" s="306"/>
    </row>
    <row r="77" spans="2:19">
      <c r="B77" s="318" t="s">
        <v>1112</v>
      </c>
      <c r="C77" s="10"/>
      <c r="D77" s="10"/>
      <c r="E77" s="10"/>
      <c r="F77" s="10"/>
      <c r="G77" s="10"/>
      <c r="H77" s="10" t="e">
        <f>(H39/H$46)*$Q$46</f>
        <v>#DIV/0!</v>
      </c>
      <c r="I77" s="10" t="e">
        <f>(I39/I$46)*$Q$46</f>
        <v>#DIV/0!</v>
      </c>
      <c r="J77" s="10" t="e">
        <f>(J39/J$46)*$Q$46</f>
        <v>#DIV/0!</v>
      </c>
      <c r="K77" s="10" t="e">
        <f>(K39/K$46)*$Q$46</f>
        <v>#DIV/0!</v>
      </c>
      <c r="L77" s="10"/>
      <c r="M77" s="10"/>
      <c r="N77" s="10"/>
      <c r="S77" s="306"/>
    </row>
    <row r="78" spans="2:19">
      <c r="B78" s="318" t="s">
        <v>1113</v>
      </c>
      <c r="C78" s="10"/>
      <c r="D78" s="10"/>
      <c r="E78" s="10"/>
      <c r="F78" s="10"/>
      <c r="G78" s="10" t="e">
        <f t="shared" ref="G78" si="32">(G40/G$46)*$Q$46</f>
        <v>#DIV/0!</v>
      </c>
      <c r="H78" s="10" t="e">
        <f t="shared" ref="H78" si="33">(H40/H$46)*$Q$46</f>
        <v>#DIV/0!</v>
      </c>
      <c r="I78" s="10"/>
      <c r="J78" s="10"/>
      <c r="K78" s="10"/>
      <c r="L78" s="10"/>
      <c r="M78" s="10"/>
      <c r="N78" s="10"/>
      <c r="S78" s="306"/>
    </row>
    <row r="79" spans="2:19">
      <c r="B79" s="318" t="s">
        <v>1114</v>
      </c>
      <c r="C79" s="10"/>
      <c r="D79" s="10"/>
      <c r="E79" s="10"/>
      <c r="F79" s="10" t="e">
        <f t="shared" ref="F79" si="34">(F41/F$46)*$Q$46</f>
        <v>#DIV/0!</v>
      </c>
      <c r="G79" s="10"/>
      <c r="H79" s="10" t="e">
        <f t="shared" ref="H79" si="35">(H41/H$46)*$Q$46</f>
        <v>#DIV/0!</v>
      </c>
      <c r="I79" s="10"/>
      <c r="J79" s="10"/>
      <c r="K79" s="10"/>
      <c r="L79" s="10"/>
      <c r="M79" s="10"/>
      <c r="N79" s="10"/>
      <c r="S79" s="306"/>
    </row>
    <row r="80" spans="2:19">
      <c r="B80" s="318" t="s">
        <v>1115</v>
      </c>
      <c r="C80" s="10"/>
      <c r="D80" s="10"/>
      <c r="E80" s="10"/>
      <c r="F80" s="10" t="e">
        <f t="shared" ref="F80:G82" si="36">(F42/F$46)*$Q$46</f>
        <v>#DIV/0!</v>
      </c>
      <c r="G80" s="10" t="e">
        <f t="shared" si="36"/>
        <v>#DIV/0!</v>
      </c>
      <c r="H80" s="10" t="e">
        <f t="shared" ref="H80" si="37">(H42/H$46)*$Q$46</f>
        <v>#DIV/0!</v>
      </c>
      <c r="I80" s="10"/>
      <c r="J80" s="10"/>
      <c r="K80" s="10"/>
      <c r="L80" s="10"/>
      <c r="M80" s="10"/>
      <c r="N80" s="10"/>
      <c r="S80" s="306"/>
    </row>
    <row r="81" spans="2:19">
      <c r="B81" s="318" t="s">
        <v>1116</v>
      </c>
      <c r="C81" s="10"/>
      <c r="D81" s="10"/>
      <c r="E81" s="10"/>
      <c r="F81" s="10" t="e">
        <f t="shared" si="36"/>
        <v>#DIV/0!</v>
      </c>
      <c r="G81" s="10" t="e">
        <f t="shared" si="36"/>
        <v>#DIV/0!</v>
      </c>
      <c r="H81" s="10"/>
      <c r="I81" s="10"/>
      <c r="J81" s="10"/>
      <c r="K81" s="10"/>
      <c r="L81" s="10"/>
      <c r="M81" s="10"/>
      <c r="N81" s="10"/>
      <c r="S81" s="306"/>
    </row>
    <row r="82" spans="2:19" ht="15" thickBot="1">
      <c r="B82" s="321" t="s">
        <v>1117</v>
      </c>
      <c r="C82" s="52"/>
      <c r="D82" s="52"/>
      <c r="E82" s="52"/>
      <c r="F82" s="52" t="e">
        <f t="shared" si="36"/>
        <v>#DIV/0!</v>
      </c>
      <c r="G82" s="52" t="e">
        <f t="shared" si="36"/>
        <v>#DIV/0!</v>
      </c>
      <c r="H82" s="52"/>
      <c r="I82" s="52"/>
      <c r="J82" s="52"/>
      <c r="K82" s="52"/>
      <c r="L82" s="52"/>
      <c r="M82" s="52"/>
      <c r="N82" s="52"/>
      <c r="O82" s="311"/>
      <c r="P82" s="311"/>
      <c r="Q82" s="311"/>
      <c r="R82" s="311"/>
      <c r="S82" s="312"/>
    </row>
    <row r="83" spans="2:19" ht="15" thickBot="1">
      <c r="B83" s="1"/>
      <c r="C83" s="10"/>
      <c r="D83" s="10"/>
      <c r="E83" s="10"/>
      <c r="F83" s="10"/>
      <c r="G83" s="10"/>
      <c r="H83" s="10"/>
      <c r="I83" s="10"/>
      <c r="J83" s="10"/>
      <c r="K83" s="10"/>
      <c r="L83" s="10"/>
      <c r="M83" s="10"/>
      <c r="N83" s="10"/>
    </row>
    <row r="84" spans="2:19" ht="15" thickBot="1">
      <c r="B84" s="331" t="s">
        <v>735</v>
      </c>
      <c r="C84" s="326" t="s">
        <v>325</v>
      </c>
      <c r="D84" s="326" t="s">
        <v>188</v>
      </c>
      <c r="E84" s="326" t="s">
        <v>189</v>
      </c>
      <c r="F84" s="326" t="s">
        <v>681</v>
      </c>
      <c r="G84" s="326" t="s">
        <v>245</v>
      </c>
      <c r="H84" s="326" t="s">
        <v>192</v>
      </c>
      <c r="I84" s="326" t="s">
        <v>193</v>
      </c>
      <c r="J84" s="326" t="s">
        <v>165</v>
      </c>
      <c r="K84" s="326" t="s">
        <v>167</v>
      </c>
      <c r="L84" s="326" t="s">
        <v>168</v>
      </c>
      <c r="M84" s="326" t="s">
        <v>169</v>
      </c>
      <c r="N84" s="327" t="s">
        <v>170</v>
      </c>
      <c r="O84" s="328" t="s">
        <v>171</v>
      </c>
      <c r="P84" s="328"/>
      <c r="Q84" s="328" t="s">
        <v>172</v>
      </c>
      <c r="R84" s="328" t="s">
        <v>173</v>
      </c>
      <c r="S84" s="332" t="s">
        <v>174</v>
      </c>
    </row>
    <row r="85" spans="2:19">
      <c r="B85" s="49"/>
      <c r="S85" s="306"/>
    </row>
    <row r="86" spans="2:19">
      <c r="B86" s="45" t="s">
        <v>1078</v>
      </c>
      <c r="I86" s="97" t="e">
        <f t="shared" ref="I86:N87" si="38">I50/H50-1</f>
        <v>#DIV/0!</v>
      </c>
      <c r="J86" s="97" t="e">
        <f t="shared" si="38"/>
        <v>#DIV/0!</v>
      </c>
      <c r="K86" s="97" t="e">
        <f t="shared" si="38"/>
        <v>#DIV/0!</v>
      </c>
      <c r="L86" s="97" t="e">
        <f t="shared" si="38"/>
        <v>#DIV/0!</v>
      </c>
      <c r="M86" s="97" t="e">
        <f t="shared" si="38"/>
        <v>#DIV/0!</v>
      </c>
      <c r="N86" s="97" t="e">
        <f t="shared" si="38"/>
        <v>#DIV/0!</v>
      </c>
      <c r="S86" s="306"/>
    </row>
    <row r="87" spans="2:19">
      <c r="B87" s="5" t="s">
        <v>1080</v>
      </c>
      <c r="I87" s="97" t="e">
        <f t="shared" si="38"/>
        <v>#DIV/0!</v>
      </c>
      <c r="J87" s="97" t="e">
        <f t="shared" si="38"/>
        <v>#DIV/0!</v>
      </c>
      <c r="K87" s="97" t="e">
        <f t="shared" si="38"/>
        <v>#DIV/0!</v>
      </c>
      <c r="L87" s="97" t="e">
        <f t="shared" si="38"/>
        <v>#DIV/0!</v>
      </c>
      <c r="M87" s="97" t="e">
        <f t="shared" si="38"/>
        <v>#DIV/0!</v>
      </c>
      <c r="N87" s="97" t="e">
        <f t="shared" si="38"/>
        <v>#DIV/0!</v>
      </c>
      <c r="S87" s="306"/>
    </row>
    <row r="88" spans="2:19">
      <c r="B88" s="5" t="s">
        <v>1084</v>
      </c>
      <c r="I88" s="97" t="e">
        <f t="shared" ref="I88:J97" si="39">I52/H52-1</f>
        <v>#DIV/0!</v>
      </c>
      <c r="J88" s="97" t="e">
        <f t="shared" si="39"/>
        <v>#DIV/0!</v>
      </c>
      <c r="K88" s="97"/>
      <c r="L88" s="97"/>
      <c r="M88" s="97"/>
      <c r="N88" s="97"/>
      <c r="S88" s="306"/>
    </row>
    <row r="89" spans="2:19">
      <c r="B89" s="5" t="s">
        <v>1086</v>
      </c>
      <c r="I89" s="97" t="e">
        <f t="shared" si="39"/>
        <v>#DIV/0!</v>
      </c>
      <c r="J89" s="97" t="e">
        <f t="shared" si="39"/>
        <v>#DIV/0!</v>
      </c>
      <c r="K89" s="97" t="e">
        <f t="shared" ref="K89:N97" si="40">K53/J53-1</f>
        <v>#DIV/0!</v>
      </c>
      <c r="L89" s="97" t="e">
        <f t="shared" si="40"/>
        <v>#DIV/0!</v>
      </c>
      <c r="M89" s="97" t="e">
        <f t="shared" si="40"/>
        <v>#DIV/0!</v>
      </c>
      <c r="N89" s="97" t="e">
        <f t="shared" si="40"/>
        <v>#DIV/0!</v>
      </c>
      <c r="S89" s="306"/>
    </row>
    <row r="90" spans="2:19">
      <c r="B90" s="5" t="s">
        <v>1063</v>
      </c>
      <c r="I90" s="97" t="e">
        <f t="shared" si="39"/>
        <v>#DIV/0!</v>
      </c>
      <c r="J90" s="97" t="e">
        <f t="shared" si="39"/>
        <v>#DIV/0!</v>
      </c>
      <c r="K90" s="97" t="e">
        <f t="shared" si="40"/>
        <v>#DIV/0!</v>
      </c>
      <c r="L90" s="97" t="e">
        <f t="shared" si="40"/>
        <v>#DIV/0!</v>
      </c>
      <c r="M90" s="97" t="e">
        <f t="shared" si="40"/>
        <v>#DIV/0!</v>
      </c>
      <c r="N90" s="97" t="e">
        <f t="shared" si="40"/>
        <v>#DIV/0!</v>
      </c>
      <c r="S90" s="306"/>
    </row>
    <row r="91" spans="2:19">
      <c r="B91" s="5" t="s">
        <v>1089</v>
      </c>
      <c r="I91" s="97" t="e">
        <f t="shared" si="39"/>
        <v>#DIV/0!</v>
      </c>
      <c r="J91" s="97" t="e">
        <f t="shared" si="39"/>
        <v>#DIV/0!</v>
      </c>
      <c r="K91" s="97" t="e">
        <f t="shared" si="40"/>
        <v>#DIV/0!</v>
      </c>
      <c r="L91" s="97" t="e">
        <f t="shared" si="40"/>
        <v>#DIV/0!</v>
      </c>
      <c r="M91" s="97" t="e">
        <f t="shared" si="40"/>
        <v>#DIV/0!</v>
      </c>
      <c r="N91" s="97" t="e">
        <f t="shared" si="40"/>
        <v>#DIV/0!</v>
      </c>
      <c r="S91" s="306"/>
    </row>
    <row r="92" spans="2:19">
      <c r="B92" s="5" t="s">
        <v>1120</v>
      </c>
      <c r="I92" s="97" t="e">
        <f t="shared" si="39"/>
        <v>#DIV/0!</v>
      </c>
      <c r="J92" s="97" t="e">
        <f t="shared" si="39"/>
        <v>#DIV/0!</v>
      </c>
      <c r="K92" s="97" t="e">
        <f t="shared" si="40"/>
        <v>#DIV/0!</v>
      </c>
      <c r="L92" s="97" t="e">
        <f t="shared" si="40"/>
        <v>#DIV/0!</v>
      </c>
      <c r="M92" s="97" t="e">
        <f t="shared" si="40"/>
        <v>#DIV/0!</v>
      </c>
      <c r="N92" s="97" t="e">
        <f t="shared" si="40"/>
        <v>#DIV/0!</v>
      </c>
      <c r="S92" s="306"/>
    </row>
    <row r="93" spans="2:19">
      <c r="B93" s="5" t="s">
        <v>1121</v>
      </c>
      <c r="I93" s="97" t="e">
        <f t="shared" si="39"/>
        <v>#DIV/0!</v>
      </c>
      <c r="J93" s="97" t="e">
        <f t="shared" si="39"/>
        <v>#DIV/0!</v>
      </c>
      <c r="K93" s="97" t="e">
        <f t="shared" si="40"/>
        <v>#DIV/0!</v>
      </c>
      <c r="L93" s="97" t="e">
        <f t="shared" si="40"/>
        <v>#DIV/0!</v>
      </c>
      <c r="M93" s="97" t="e">
        <f t="shared" si="40"/>
        <v>#DIV/0!</v>
      </c>
      <c r="N93" s="97" t="e">
        <f t="shared" si="40"/>
        <v>#DIV/0!</v>
      </c>
      <c r="S93" s="306"/>
    </row>
    <row r="94" spans="2:19">
      <c r="B94" s="5" t="s">
        <v>1093</v>
      </c>
      <c r="I94" s="97" t="e">
        <f t="shared" si="39"/>
        <v>#DIV/0!</v>
      </c>
      <c r="J94" s="97" t="e">
        <f t="shared" si="39"/>
        <v>#DIV/0!</v>
      </c>
      <c r="K94" s="97" t="e">
        <f t="shared" si="40"/>
        <v>#DIV/0!</v>
      </c>
      <c r="L94" s="97" t="e">
        <f t="shared" si="40"/>
        <v>#DIV/0!</v>
      </c>
      <c r="M94" s="97" t="e">
        <f t="shared" si="40"/>
        <v>#DIV/0!</v>
      </c>
      <c r="N94" s="97" t="e">
        <f t="shared" si="40"/>
        <v>#DIV/0!</v>
      </c>
      <c r="S94" s="306"/>
    </row>
    <row r="95" spans="2:19">
      <c r="B95" s="5" t="s">
        <v>16</v>
      </c>
      <c r="I95" s="97" t="e">
        <f t="shared" si="39"/>
        <v>#DIV/0!</v>
      </c>
      <c r="J95" s="97" t="e">
        <f t="shared" si="39"/>
        <v>#DIV/0!</v>
      </c>
      <c r="K95" s="97" t="e">
        <f t="shared" si="40"/>
        <v>#DIV/0!</v>
      </c>
      <c r="L95" s="97" t="e">
        <f t="shared" si="40"/>
        <v>#DIV/0!</v>
      </c>
      <c r="M95" s="97" t="e">
        <f t="shared" si="40"/>
        <v>#DIV/0!</v>
      </c>
      <c r="N95" s="97" t="e">
        <f t="shared" si="40"/>
        <v>#DIV/0!</v>
      </c>
      <c r="S95" s="306"/>
    </row>
    <row r="96" spans="2:19">
      <c r="B96" s="5" t="s">
        <v>1095</v>
      </c>
      <c r="I96" s="97" t="e">
        <f t="shared" si="39"/>
        <v>#DIV/0!</v>
      </c>
      <c r="J96" s="97" t="e">
        <f t="shared" si="39"/>
        <v>#DIV/0!</v>
      </c>
      <c r="K96" s="97" t="e">
        <f t="shared" si="40"/>
        <v>#DIV/0!</v>
      </c>
      <c r="L96" s="97" t="e">
        <f t="shared" si="40"/>
        <v>#DIV/0!</v>
      </c>
      <c r="M96" s="97" t="e">
        <f t="shared" si="40"/>
        <v>#DIV/0!</v>
      </c>
      <c r="N96" s="97" t="e">
        <f t="shared" si="40"/>
        <v>#DIV/0!</v>
      </c>
      <c r="S96" s="306"/>
    </row>
    <row r="97" spans="2:19">
      <c r="B97" s="5" t="s">
        <v>1122</v>
      </c>
      <c r="I97" s="97" t="e">
        <f t="shared" si="39"/>
        <v>#DIV/0!</v>
      </c>
      <c r="J97" s="97" t="e">
        <f t="shared" si="39"/>
        <v>#DIV/0!</v>
      </c>
      <c r="K97" s="97" t="e">
        <f t="shared" si="40"/>
        <v>#DIV/0!</v>
      </c>
      <c r="L97" s="97" t="e">
        <f t="shared" si="40"/>
        <v>#DIV/0!</v>
      </c>
      <c r="M97" s="97" t="e">
        <f t="shared" si="40"/>
        <v>#DIV/0!</v>
      </c>
      <c r="N97" s="97" t="e">
        <f t="shared" si="40"/>
        <v>#DIV/0!</v>
      </c>
      <c r="S97" s="306"/>
    </row>
    <row r="98" spans="2:19">
      <c r="B98" s="49"/>
      <c r="S98" s="306"/>
    </row>
    <row r="99" spans="2:19">
      <c r="B99" s="82" t="s">
        <v>1097</v>
      </c>
      <c r="S99" s="306"/>
    </row>
    <row r="100" spans="2:19">
      <c r="B100" s="49" t="s">
        <v>1098</v>
      </c>
      <c r="I100" s="97" t="e">
        <f>I64/H64-1</f>
        <v>#DIV/0!</v>
      </c>
      <c r="J100" s="97" t="e">
        <f t="shared" ref="J100:N100" si="41">J64/I64-1</f>
        <v>#DIV/0!</v>
      </c>
      <c r="K100" s="97" t="e">
        <f t="shared" si="41"/>
        <v>#DIV/0!</v>
      </c>
      <c r="L100" s="97" t="e">
        <f t="shared" si="41"/>
        <v>#DIV/0!</v>
      </c>
      <c r="M100" s="97" t="e">
        <f t="shared" si="41"/>
        <v>#DIV/0!</v>
      </c>
      <c r="N100" s="97" t="e">
        <f t="shared" si="41"/>
        <v>#DIV/0!</v>
      </c>
      <c r="S100" s="306"/>
    </row>
    <row r="101" spans="2:19">
      <c r="B101" s="49" t="s">
        <v>1101</v>
      </c>
      <c r="I101" s="97" t="e">
        <f t="shared" ref="I101:N101" si="42">I65/H65-1</f>
        <v>#DIV/0!</v>
      </c>
      <c r="J101" s="97" t="e">
        <f t="shared" si="42"/>
        <v>#DIV/0!</v>
      </c>
      <c r="K101" s="97" t="e">
        <f t="shared" si="42"/>
        <v>#DIV/0!</v>
      </c>
      <c r="L101" s="97" t="e">
        <f t="shared" si="42"/>
        <v>#DIV/0!</v>
      </c>
      <c r="M101" s="97" t="e">
        <f t="shared" si="42"/>
        <v>#DIV/0!</v>
      </c>
      <c r="N101" s="97" t="e">
        <f t="shared" si="42"/>
        <v>#DIV/0!</v>
      </c>
      <c r="S101" s="306"/>
    </row>
    <row r="102" spans="2:19">
      <c r="B102" s="318" t="s">
        <v>1103</v>
      </c>
      <c r="I102" s="97"/>
      <c r="J102" s="97"/>
      <c r="K102" s="97"/>
      <c r="L102" s="97"/>
      <c r="M102" s="97"/>
      <c r="N102" s="97" t="e">
        <f t="shared" ref="N102" si="43">N66/M66-1</f>
        <v>#DIV/0!</v>
      </c>
      <c r="S102" s="306"/>
    </row>
    <row r="103" spans="2:19">
      <c r="B103" s="49" t="s">
        <v>1104</v>
      </c>
      <c r="I103" s="97" t="e">
        <f t="shared" ref="I103:N103" si="44">I67/H67-1</f>
        <v>#DIV/0!</v>
      </c>
      <c r="J103" s="97" t="e">
        <f t="shared" si="44"/>
        <v>#DIV/0!</v>
      </c>
      <c r="K103" s="97" t="e">
        <f t="shared" si="44"/>
        <v>#DIV/0!</v>
      </c>
      <c r="L103" s="97" t="e">
        <f t="shared" si="44"/>
        <v>#DIV/0!</v>
      </c>
      <c r="M103" s="97" t="e">
        <f t="shared" si="44"/>
        <v>#DIV/0!</v>
      </c>
      <c r="N103" s="97" t="e">
        <f t="shared" si="44"/>
        <v>#DIV/0!</v>
      </c>
      <c r="S103" s="306"/>
    </row>
    <row r="104" spans="2:19">
      <c r="B104" s="49" t="s">
        <v>1105</v>
      </c>
      <c r="I104" s="97" t="e">
        <f t="shared" ref="I104:N104" si="45">I68/H68-1</f>
        <v>#DIV/0!</v>
      </c>
      <c r="J104" s="97" t="e">
        <f t="shared" si="45"/>
        <v>#DIV/0!</v>
      </c>
      <c r="K104" s="97" t="e">
        <f t="shared" si="45"/>
        <v>#DIV/0!</v>
      </c>
      <c r="L104" s="97" t="e">
        <f t="shared" si="45"/>
        <v>#DIV/0!</v>
      </c>
      <c r="M104" s="97" t="e">
        <f t="shared" si="45"/>
        <v>#DIV/0!</v>
      </c>
      <c r="N104" s="97" t="e">
        <f t="shared" si="45"/>
        <v>#DIV/0!</v>
      </c>
      <c r="S104" s="306"/>
    </row>
    <row r="105" spans="2:19">
      <c r="B105" s="49" t="s">
        <v>1106</v>
      </c>
      <c r="I105" s="97" t="e">
        <f t="shared" ref="I105:N105" si="46">I69/H69-1</f>
        <v>#DIV/0!</v>
      </c>
      <c r="J105" s="97" t="e">
        <f t="shared" si="46"/>
        <v>#DIV/0!</v>
      </c>
      <c r="K105" s="97" t="e">
        <f t="shared" si="46"/>
        <v>#DIV/0!</v>
      </c>
      <c r="L105" s="97" t="e">
        <f t="shared" si="46"/>
        <v>#DIV/0!</v>
      </c>
      <c r="M105" s="97" t="e">
        <f t="shared" si="46"/>
        <v>#DIV/0!</v>
      </c>
      <c r="N105" s="97" t="e">
        <f t="shared" si="46"/>
        <v>#DIV/0!</v>
      </c>
      <c r="S105" s="306"/>
    </row>
    <row r="106" spans="2:19">
      <c r="B106" s="49" t="s">
        <v>16</v>
      </c>
      <c r="I106" s="97" t="e">
        <f t="shared" ref="I106:N106" si="47">I70/H70-1</f>
        <v>#DIV/0!</v>
      </c>
      <c r="J106" s="97" t="e">
        <f t="shared" si="47"/>
        <v>#DIV/0!</v>
      </c>
      <c r="K106" s="97" t="e">
        <f t="shared" si="47"/>
        <v>#DIV/0!</v>
      </c>
      <c r="L106" s="97" t="e">
        <f t="shared" si="47"/>
        <v>#DIV/0!</v>
      </c>
      <c r="M106" s="97" t="e">
        <f t="shared" si="47"/>
        <v>#DIV/0!</v>
      </c>
      <c r="N106" s="97" t="e">
        <f t="shared" si="47"/>
        <v>#DIV/0!</v>
      </c>
      <c r="S106" s="306"/>
    </row>
    <row r="107" spans="2:19">
      <c r="B107" s="49"/>
      <c r="S107" s="306"/>
    </row>
    <row r="108" spans="2:19">
      <c r="B108" s="82" t="s">
        <v>1123</v>
      </c>
      <c r="S108" s="306"/>
    </row>
    <row r="109" spans="2:19">
      <c r="B109" s="49" t="s">
        <v>1110</v>
      </c>
      <c r="F109" s="97"/>
      <c r="G109" s="97"/>
      <c r="H109" s="97"/>
      <c r="I109" s="97" t="e">
        <f>I73/H73-1</f>
        <v>#DIV/0!</v>
      </c>
      <c r="J109" s="97" t="e">
        <f t="shared" ref="J109:M109" si="48">J73/I73-1</f>
        <v>#DIV/0!</v>
      </c>
      <c r="K109" s="97" t="e">
        <f t="shared" si="48"/>
        <v>#DIV/0!</v>
      </c>
      <c r="L109" s="97" t="e">
        <f t="shared" si="48"/>
        <v>#DIV/0!</v>
      </c>
      <c r="M109" s="97" t="e">
        <f t="shared" si="48"/>
        <v>#DIV/0!</v>
      </c>
      <c r="S109" s="306"/>
    </row>
    <row r="110" spans="2:19">
      <c r="B110" s="49" t="s">
        <v>1103</v>
      </c>
      <c r="F110" s="97"/>
      <c r="G110" s="97"/>
      <c r="H110" s="97"/>
      <c r="I110" s="97"/>
      <c r="J110" s="97"/>
      <c r="K110" s="97" t="e">
        <f t="shared" ref="K110:M110" si="49">K74/J74-1</f>
        <v>#DIV/0!</v>
      </c>
      <c r="L110" s="97" t="e">
        <f t="shared" si="49"/>
        <v>#DIV/0!</v>
      </c>
      <c r="M110" s="97" t="e">
        <f t="shared" si="49"/>
        <v>#DIV/0!</v>
      </c>
      <c r="S110" s="306"/>
    </row>
    <row r="111" spans="2:19">
      <c r="B111" s="49" t="s">
        <v>1111</v>
      </c>
      <c r="F111" s="97"/>
      <c r="G111" s="97"/>
      <c r="H111" s="97"/>
      <c r="I111" s="97"/>
      <c r="J111" s="97" t="e">
        <f t="shared" ref="J111:M111" si="50">J75/I75-1</f>
        <v>#DIV/0!</v>
      </c>
      <c r="K111" s="97" t="e">
        <f t="shared" si="50"/>
        <v>#DIV/0!</v>
      </c>
      <c r="L111" s="97" t="e">
        <f t="shared" si="50"/>
        <v>#DIV/0!</v>
      </c>
      <c r="M111" s="97" t="e">
        <f t="shared" si="50"/>
        <v>#DIV/0!</v>
      </c>
      <c r="S111" s="306"/>
    </row>
    <row r="112" spans="2:19">
      <c r="B112" s="49" t="s">
        <v>707</v>
      </c>
      <c r="F112" s="97"/>
      <c r="G112" s="97"/>
      <c r="H112" s="97" t="e">
        <f t="shared" ref="H112" si="51">H76/G76-1</f>
        <v>#DIV/0!</v>
      </c>
      <c r="I112" s="97" t="e">
        <f t="shared" ref="I112:M112" si="52">I76/H76-1</f>
        <v>#DIV/0!</v>
      </c>
      <c r="J112" s="97" t="e">
        <f t="shared" si="52"/>
        <v>#DIV/0!</v>
      </c>
      <c r="K112" s="97" t="e">
        <f t="shared" si="52"/>
        <v>#DIV/0!</v>
      </c>
      <c r="L112" s="97" t="e">
        <f t="shared" si="52"/>
        <v>#DIV/0!</v>
      </c>
      <c r="M112" s="97" t="e">
        <f t="shared" si="52"/>
        <v>#DIV/0!</v>
      </c>
      <c r="S112" s="306"/>
    </row>
    <row r="113" spans="2:19">
      <c r="B113" s="318" t="s">
        <v>1112</v>
      </c>
      <c r="F113" s="97"/>
      <c r="G113" s="97"/>
      <c r="H113" s="97"/>
      <c r="I113" s="97" t="e">
        <f t="shared" ref="I113:K113" si="53">I77/H77-1</f>
        <v>#DIV/0!</v>
      </c>
      <c r="J113" s="97" t="e">
        <f t="shared" si="53"/>
        <v>#DIV/0!</v>
      </c>
      <c r="K113" s="97" t="e">
        <f t="shared" si="53"/>
        <v>#DIV/0!</v>
      </c>
      <c r="L113" s="97"/>
      <c r="M113" s="97"/>
      <c r="S113" s="306"/>
    </row>
    <row r="114" spans="2:19">
      <c r="B114" s="318" t="s">
        <v>1113</v>
      </c>
      <c r="F114" s="97"/>
      <c r="G114" s="97"/>
      <c r="H114" s="97" t="e">
        <f t="shared" ref="H114" si="54">H78/G78-1</f>
        <v>#DIV/0!</v>
      </c>
      <c r="I114" s="97"/>
      <c r="J114" s="97"/>
      <c r="K114" s="97"/>
      <c r="L114" s="97"/>
      <c r="M114" s="97"/>
      <c r="S114" s="306"/>
    </row>
    <row r="115" spans="2:19">
      <c r="B115" s="318" t="s">
        <v>1114</v>
      </c>
      <c r="F115" s="97"/>
      <c r="G115" s="97"/>
      <c r="H115" s="97"/>
      <c r="I115" s="97"/>
      <c r="J115" s="97"/>
      <c r="K115" s="97"/>
      <c r="L115" s="97"/>
      <c r="M115" s="97"/>
      <c r="S115" s="306"/>
    </row>
    <row r="116" spans="2:19">
      <c r="B116" s="318" t="s">
        <v>1115</v>
      </c>
      <c r="F116" s="97"/>
      <c r="G116" s="97" t="e">
        <f t="shared" ref="G116:H116" si="55">G80/F80-1</f>
        <v>#DIV/0!</v>
      </c>
      <c r="H116" s="97" t="e">
        <f t="shared" si="55"/>
        <v>#DIV/0!</v>
      </c>
      <c r="I116" s="97"/>
      <c r="J116" s="97"/>
      <c r="K116" s="97"/>
      <c r="L116" s="97"/>
      <c r="M116" s="97"/>
      <c r="S116" s="306"/>
    </row>
    <row r="117" spans="2:19">
      <c r="B117" s="318" t="s">
        <v>1116</v>
      </c>
      <c r="F117" s="97"/>
      <c r="G117" s="97" t="e">
        <f t="shared" ref="G117" si="56">G81/F81-1</f>
        <v>#DIV/0!</v>
      </c>
      <c r="H117" s="97"/>
      <c r="I117" s="97"/>
      <c r="J117" s="97"/>
      <c r="K117" s="97"/>
      <c r="L117" s="97"/>
      <c r="M117" s="97"/>
      <c r="S117" s="306"/>
    </row>
    <row r="118" spans="2:19" ht="15" thickBot="1">
      <c r="B118" s="321" t="s">
        <v>1117</v>
      </c>
      <c r="C118" s="311"/>
      <c r="D118" s="311"/>
      <c r="E118" s="311"/>
      <c r="F118" s="323"/>
      <c r="G118" s="323" t="e">
        <f t="shared" ref="G118" si="57">G82/F82-1</f>
        <v>#DIV/0!</v>
      </c>
      <c r="H118" s="323"/>
      <c r="I118" s="323"/>
      <c r="J118" s="323"/>
      <c r="K118" s="323"/>
      <c r="L118" s="323"/>
      <c r="M118" s="323"/>
      <c r="N118" s="311"/>
      <c r="O118" s="311"/>
      <c r="P118" s="311"/>
      <c r="Q118" s="311"/>
      <c r="R118" s="311"/>
      <c r="S118" s="312"/>
    </row>
  </sheetData>
  <hyperlinks>
    <hyperlink ref="T3" r:id="rId1" xr:uid="{F0386C7A-00ED-4AD6-B400-FEA6220BCC50}"/>
    <hyperlink ref="T24" r:id="rId2" xr:uid="{E2113DE8-B981-4992-A3E9-F82FDA612972}"/>
  </hyperlinks>
  <pageMargins left="0.7" right="0.7" top="0.75" bottom="0.75" header="0.3" footer="0.3"/>
  <pageSetup paperSize="9" orientation="portrait" horizontalDpi="4294967293" r:id="rId3"/>
  <drawing r:id="rId4"/>
  <legacyDrawing r:id="rId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E04F7-68EB-42FB-8FAE-418B3B416CF6}">
  <dimension ref="A3:BU154"/>
  <sheetViews>
    <sheetView topLeftCell="A3" zoomScale="55" zoomScaleNormal="55" workbookViewId="0">
      <selection activeCell="B3" sqref="B3:G50"/>
    </sheetView>
  </sheetViews>
  <sheetFormatPr defaultRowHeight="14.5"/>
  <cols>
    <col min="1" max="1" width="14.54296875" customWidth="1"/>
    <col min="2" max="2" width="33.1796875" customWidth="1"/>
    <col min="3" max="3" width="15.453125" customWidth="1"/>
    <col min="4" max="4" width="16.1796875" customWidth="1"/>
    <col min="5" max="5" width="12.54296875" bestFit="1" customWidth="1"/>
    <col min="6" max="7" width="12" bestFit="1" customWidth="1"/>
    <col min="8" max="12" width="12" customWidth="1"/>
    <col min="13" max="13" width="1.81640625" style="549" customWidth="1"/>
    <col min="14" max="14" width="12" bestFit="1" customWidth="1"/>
    <col min="15" max="15" width="12.54296875" bestFit="1" customWidth="1"/>
  </cols>
  <sheetData>
    <row r="3" spans="2:73">
      <c r="B3" s="548" t="s">
        <v>1124</v>
      </c>
      <c r="O3" s="550" t="s">
        <v>1125</v>
      </c>
      <c r="Y3" s="551" t="s">
        <v>1125</v>
      </c>
      <c r="AN3" s="550" t="s">
        <v>1126</v>
      </c>
    </row>
    <row r="4" spans="2:73" ht="15" thickBot="1">
      <c r="B4" s="552"/>
      <c r="C4" s="553" t="s">
        <v>170</v>
      </c>
      <c r="D4" s="553" t="s">
        <v>171</v>
      </c>
      <c r="E4" s="553" t="s">
        <v>172</v>
      </c>
      <c r="F4" s="553" t="s">
        <v>173</v>
      </c>
      <c r="G4" s="553" t="s">
        <v>174</v>
      </c>
      <c r="L4" s="554"/>
      <c r="O4" t="s">
        <v>1127</v>
      </c>
      <c r="Y4" t="s">
        <v>1128</v>
      </c>
      <c r="AD4" t="s">
        <v>1129</v>
      </c>
      <c r="AN4" t="s">
        <v>1130</v>
      </c>
    </row>
    <row r="5" spans="2:73" ht="15" thickTop="1">
      <c r="B5" s="555" t="s">
        <v>1131</v>
      </c>
      <c r="C5" s="556">
        <v>127.00700000000001</v>
      </c>
      <c r="D5" s="556">
        <v>133.28299999999999</v>
      </c>
      <c r="E5" s="556">
        <v>139.99</v>
      </c>
      <c r="F5" s="556">
        <v>148.46700000000001</v>
      </c>
      <c r="G5" s="557">
        <v>155.06574403270344</v>
      </c>
      <c r="I5" s="76"/>
      <c r="L5" s="558"/>
      <c r="M5" s="559"/>
      <c r="BU5" t="s">
        <v>1132</v>
      </c>
    </row>
    <row r="6" spans="2:73">
      <c r="B6" s="560" t="s">
        <v>1133</v>
      </c>
      <c r="C6" s="561">
        <v>2.851</v>
      </c>
      <c r="D6" s="561">
        <v>2.851</v>
      </c>
      <c r="E6" s="561">
        <v>2.851</v>
      </c>
      <c r="F6" s="561">
        <v>2.851</v>
      </c>
      <c r="G6" s="561">
        <v>2.851</v>
      </c>
      <c r="J6" s="483"/>
      <c r="K6" s="483"/>
      <c r="L6" s="562"/>
      <c r="BU6" t="s">
        <v>1134</v>
      </c>
    </row>
    <row r="7" spans="2:73">
      <c r="B7" s="555" t="s">
        <v>1135</v>
      </c>
      <c r="C7" s="556">
        <f>SUM(C5:C6)</f>
        <v>129.858</v>
      </c>
      <c r="D7" s="556">
        <v>136.13399999999999</v>
      </c>
      <c r="E7" s="556">
        <v>142.84100000000001</v>
      </c>
      <c r="F7" s="556">
        <v>151.31800000000001</v>
      </c>
      <c r="G7" s="556">
        <v>157.91674403270343</v>
      </c>
      <c r="J7" s="483"/>
      <c r="K7" s="483"/>
      <c r="L7" s="563"/>
      <c r="M7" s="559"/>
      <c r="BU7" t="s">
        <v>1136</v>
      </c>
    </row>
    <row r="8" spans="2:73">
      <c r="B8" s="560" t="s">
        <v>1137</v>
      </c>
      <c r="C8" s="561">
        <f>C11-C7</f>
        <v>19.988</v>
      </c>
      <c r="D8" s="561">
        <f>D11-D7</f>
        <v>16.295000000000016</v>
      </c>
      <c r="E8" s="561">
        <f>E11-E7</f>
        <v>8.9590000000000032</v>
      </c>
      <c r="F8" s="561">
        <f>F11-F7</f>
        <v>6.0819999999999936</v>
      </c>
      <c r="G8" s="561">
        <f>G11-G7</f>
        <v>4.6832559672965601</v>
      </c>
      <c r="J8" s="483"/>
      <c r="K8" s="483"/>
      <c r="BU8" t="s">
        <v>1138</v>
      </c>
    </row>
    <row r="9" spans="2:73">
      <c r="B9" s="564" t="s">
        <v>1139</v>
      </c>
      <c r="C9" s="561">
        <f>C8</f>
        <v>19.988</v>
      </c>
      <c r="D9" s="561">
        <f>D8-D10</f>
        <v>14.295000000000016</v>
      </c>
      <c r="E9" s="561">
        <f>E8-E10</f>
        <v>6.6410000000000036</v>
      </c>
      <c r="F9" s="561">
        <f>F8-F10</f>
        <v>3.0609999999999937</v>
      </c>
      <c r="G9" s="561">
        <f>G8-G10</f>
        <v>1.5612559672965602</v>
      </c>
      <c r="J9" s="483"/>
      <c r="K9" s="483"/>
      <c r="L9" s="562"/>
      <c r="M9" s="565"/>
      <c r="BU9" s="566" t="s">
        <v>1140</v>
      </c>
    </row>
    <row r="10" spans="2:73">
      <c r="B10" s="564" t="s">
        <v>1141</v>
      </c>
      <c r="C10" s="561"/>
      <c r="D10" s="561">
        <v>2</v>
      </c>
      <c r="E10" s="561">
        <v>2.3180000000000001</v>
      </c>
      <c r="F10" s="561">
        <v>3.0209999999999999</v>
      </c>
      <c r="G10" s="561">
        <v>3.1219999999999999</v>
      </c>
      <c r="J10" s="483"/>
      <c r="K10" s="483"/>
      <c r="L10" s="562"/>
      <c r="BU10" t="s">
        <v>1142</v>
      </c>
    </row>
    <row r="11" spans="2:73">
      <c r="B11" s="567" t="s">
        <v>1143</v>
      </c>
      <c r="C11" s="568">
        <f>-C12+C15</f>
        <v>149.846</v>
      </c>
      <c r="D11" s="568">
        <v>152.429</v>
      </c>
      <c r="E11" s="569">
        <v>151.80000000000001</v>
      </c>
      <c r="F11" s="569">
        <v>157.4</v>
      </c>
      <c r="G11" s="569">
        <v>162.6</v>
      </c>
      <c r="M11" s="570"/>
      <c r="BU11" s="481" t="s">
        <v>1144</v>
      </c>
    </row>
    <row r="12" spans="2:73">
      <c r="B12" s="560" t="s">
        <v>1145</v>
      </c>
      <c r="C12" s="561">
        <v>-0.373</v>
      </c>
      <c r="D12" s="561">
        <v>-1.8149999999999999</v>
      </c>
      <c r="E12" s="561">
        <v>0.54800000000000004</v>
      </c>
      <c r="F12" s="561"/>
      <c r="G12" s="561"/>
      <c r="I12" s="76"/>
      <c r="L12" s="562"/>
      <c r="BU12" t="s">
        <v>1146</v>
      </c>
    </row>
    <row r="13" spans="2:73">
      <c r="B13" s="560" t="s">
        <v>1147</v>
      </c>
      <c r="C13" s="561"/>
      <c r="D13" s="561"/>
      <c r="E13" s="561">
        <f>E16-E12-E14</f>
        <v>2.9999999999995419E-2</v>
      </c>
      <c r="F13" s="561"/>
      <c r="G13" s="561"/>
      <c r="J13" s="483"/>
      <c r="K13" s="483"/>
      <c r="L13" s="571"/>
    </row>
    <row r="14" spans="2:73">
      <c r="B14" s="560" t="s">
        <v>1148</v>
      </c>
      <c r="C14" s="561"/>
      <c r="D14" s="561"/>
      <c r="E14" s="561">
        <v>0.17699999999999999</v>
      </c>
      <c r="F14" s="561"/>
      <c r="G14" s="561"/>
      <c r="J14" s="483"/>
      <c r="K14" s="483"/>
      <c r="L14" s="571"/>
    </row>
    <row r="15" spans="2:73" ht="15" thickBot="1">
      <c r="B15" s="572" t="s">
        <v>1149</v>
      </c>
      <c r="C15" s="573">
        <v>149.47300000000001</v>
      </c>
      <c r="D15" s="573">
        <v>150.614</v>
      </c>
      <c r="E15" s="573">
        <v>152.55500000000001</v>
      </c>
      <c r="F15" s="573">
        <v>157.40299999999999</v>
      </c>
      <c r="G15" s="573">
        <v>162.64099999999999</v>
      </c>
      <c r="J15" s="483"/>
      <c r="K15" s="483"/>
      <c r="L15" s="571"/>
      <c r="BU15" t="s">
        <v>1150</v>
      </c>
    </row>
    <row r="16" spans="2:73" ht="15" thickTop="1">
      <c r="B16" s="574" t="s">
        <v>1151</v>
      </c>
      <c r="C16" s="575">
        <f>C15-C11</f>
        <v>-0.37299999999999045</v>
      </c>
      <c r="D16" s="575">
        <f>D15-D11</f>
        <v>-1.8149999999999977</v>
      </c>
      <c r="E16" s="575">
        <f>E15-E11</f>
        <v>0.75499999999999545</v>
      </c>
      <c r="F16" s="575">
        <f>F15-F11</f>
        <v>2.9999999999859028E-3</v>
      </c>
      <c r="G16" s="575">
        <f>G15-G11</f>
        <v>4.0999999999996817E-2</v>
      </c>
      <c r="J16" s="483"/>
      <c r="K16" s="483"/>
      <c r="L16" s="571"/>
    </row>
    <row r="17" spans="1:18">
      <c r="C17" s="562"/>
      <c r="D17" s="562"/>
      <c r="E17" s="562"/>
      <c r="F17" s="562"/>
      <c r="G17" s="562"/>
      <c r="J17" s="483"/>
      <c r="K17" s="483"/>
      <c r="L17" s="571"/>
      <c r="M17" s="559"/>
    </row>
    <row r="18" spans="1:18">
      <c r="B18" s="136" t="s">
        <v>1152</v>
      </c>
      <c r="C18" s="576">
        <f>SUM(C11:C14)-C15</f>
        <v>0</v>
      </c>
      <c r="D18" s="576">
        <f>SUM(D11:D14)-D15</f>
        <v>0</v>
      </c>
      <c r="E18" s="576">
        <f>SUM(E11:E14)-E15</f>
        <v>0</v>
      </c>
      <c r="F18" s="576">
        <f>SUM(F11:F14)-F15</f>
        <v>-2.9999999999859028E-3</v>
      </c>
      <c r="G18" s="576">
        <f>SUM(G11:G14)-G15</f>
        <v>-4.0999999999996817E-2</v>
      </c>
    </row>
    <row r="19" spans="1:18">
      <c r="C19" s="562"/>
      <c r="D19" s="562"/>
      <c r="E19" s="562"/>
      <c r="F19" s="562"/>
      <c r="G19" s="562"/>
      <c r="I19" s="76"/>
      <c r="L19" s="562"/>
    </row>
    <row r="20" spans="1:18">
      <c r="J20" s="483"/>
      <c r="K20" s="483"/>
      <c r="L20" s="571"/>
    </row>
    <row r="21" spans="1:18" ht="15" thickBot="1">
      <c r="B21" s="548" t="s">
        <v>1153</v>
      </c>
      <c r="C21" s="553" t="s">
        <v>170</v>
      </c>
      <c r="D21" s="553" t="s">
        <v>171</v>
      </c>
      <c r="E21" s="553" t="s">
        <v>172</v>
      </c>
      <c r="F21" s="553" t="s">
        <v>173</v>
      </c>
      <c r="G21" s="553" t="s">
        <v>174</v>
      </c>
      <c r="J21" s="483"/>
      <c r="K21" s="483"/>
      <c r="L21" s="571"/>
    </row>
    <row r="22" spans="1:18" ht="15" thickTop="1">
      <c r="B22" s="1728" t="s">
        <v>1154</v>
      </c>
      <c r="C22" s="1729">
        <v>149.47300000000001</v>
      </c>
      <c r="D22" s="1729">
        <v>150.614</v>
      </c>
      <c r="E22" s="1730">
        <v>152.595</v>
      </c>
      <c r="F22" s="1729">
        <v>157.40299999999999</v>
      </c>
      <c r="G22" s="1729">
        <v>162.64099999999999</v>
      </c>
      <c r="J22" s="483"/>
      <c r="K22" s="483"/>
      <c r="L22" s="571"/>
    </row>
    <row r="23" spans="1:18">
      <c r="B23" s="560" t="s">
        <v>1155</v>
      </c>
      <c r="C23" s="561">
        <f>C24-C22</f>
        <v>-1.5100000000000193</v>
      </c>
      <c r="D23" s="561">
        <f t="shared" ref="D23:F23" si="0">D24-D22</f>
        <v>-2.9639999999999986</v>
      </c>
      <c r="E23" s="561">
        <f t="shared" si="0"/>
        <v>-1.0949999999999989</v>
      </c>
      <c r="F23" s="561">
        <f t="shared" si="0"/>
        <v>0</v>
      </c>
      <c r="G23" s="561">
        <f>G24-G22</f>
        <v>0</v>
      </c>
      <c r="J23" s="483"/>
      <c r="K23" s="483"/>
      <c r="L23" s="571"/>
    </row>
    <row r="24" spans="1:18" ht="15" thickBot="1">
      <c r="B24" s="577" t="s">
        <v>1156</v>
      </c>
      <c r="C24" s="578">
        <v>147.96299999999999</v>
      </c>
      <c r="D24" s="578">
        <v>147.65</v>
      </c>
      <c r="E24" s="578">
        <v>151.5</v>
      </c>
      <c r="F24" s="578">
        <v>157.40299999999999</v>
      </c>
      <c r="G24" s="578">
        <v>162.64099999999999</v>
      </c>
      <c r="J24" s="483"/>
      <c r="K24" s="483"/>
      <c r="L24" s="571"/>
    </row>
    <row r="25" spans="1:18" ht="15" thickTop="1">
      <c r="B25" s="136" t="s">
        <v>1157</v>
      </c>
      <c r="C25" s="76"/>
      <c r="D25" s="579">
        <f>D144</f>
        <v>0</v>
      </c>
      <c r="E25" s="579">
        <f>E144</f>
        <v>0</v>
      </c>
      <c r="F25" s="579">
        <f>F144</f>
        <v>0</v>
      </c>
      <c r="G25" s="579">
        <f>G144</f>
        <v>0</v>
      </c>
      <c r="H25" s="579"/>
    </row>
    <row r="26" spans="1:18" ht="18.649999999999999" customHeight="1">
      <c r="B26" s="1805" t="s">
        <v>1158</v>
      </c>
      <c r="C26" s="1805"/>
      <c r="D26" s="1805"/>
      <c r="E26" s="1805"/>
      <c r="F26" s="1805"/>
      <c r="G26" s="1805"/>
      <c r="H26" s="580"/>
      <c r="I26" s="76"/>
      <c r="L26" s="563"/>
      <c r="M26" s="559"/>
      <c r="O26" s="581" t="s">
        <v>1159</v>
      </c>
    </row>
    <row r="27" spans="1:18">
      <c r="B27" s="1805"/>
      <c r="C27" s="1805"/>
      <c r="D27" s="1805"/>
      <c r="E27" s="1805"/>
      <c r="F27" s="1805"/>
      <c r="G27" s="1805"/>
      <c r="H27" s="580"/>
      <c r="J27" s="96"/>
      <c r="K27" s="96"/>
      <c r="L27" s="571"/>
      <c r="M27" s="559"/>
      <c r="O27" s="582" t="s">
        <v>1160</v>
      </c>
    </row>
    <row r="28" spans="1:18">
      <c r="C28" s="562"/>
      <c r="D28" s="583"/>
      <c r="E28" s="562"/>
      <c r="F28" s="562"/>
      <c r="G28" s="562"/>
      <c r="H28" s="562"/>
      <c r="J28" s="96"/>
      <c r="K28" s="96"/>
      <c r="L28" s="571"/>
      <c r="M28" s="559"/>
      <c r="O28" s="582" t="s">
        <v>1161</v>
      </c>
      <c r="R28" s="483"/>
    </row>
    <row r="29" spans="1:18" ht="15.65" customHeight="1">
      <c r="J29" s="96"/>
      <c r="K29" s="96"/>
      <c r="L29" s="571"/>
      <c r="O29" s="581"/>
    </row>
    <row r="30" spans="1:18" ht="14.9" customHeight="1" thickBot="1">
      <c r="A30" s="622" t="s">
        <v>1162</v>
      </c>
      <c r="B30" s="548" t="s">
        <v>1163</v>
      </c>
      <c r="C30" s="553" t="s">
        <v>170</v>
      </c>
      <c r="D30" s="553" t="s">
        <v>171</v>
      </c>
      <c r="E30" s="553" t="s">
        <v>172</v>
      </c>
      <c r="F30" s="553" t="s">
        <v>173</v>
      </c>
      <c r="G30" s="553" t="s">
        <v>174</v>
      </c>
      <c r="J30" s="96"/>
      <c r="K30" s="584"/>
      <c r="L30" s="571"/>
      <c r="O30" s="582" t="s">
        <v>1164</v>
      </c>
    </row>
    <row r="31" spans="1:18" ht="15" thickTop="1">
      <c r="B31" s="555" t="s">
        <v>1165</v>
      </c>
      <c r="C31" s="560"/>
      <c r="D31" s="626">
        <f>D22</f>
        <v>150.614</v>
      </c>
      <c r="E31" s="626">
        <f>E22</f>
        <v>152.595</v>
      </c>
      <c r="F31" s="626">
        <f>F22</f>
        <v>157.40299999999999</v>
      </c>
      <c r="G31" s="626">
        <f>G22</f>
        <v>162.64099999999999</v>
      </c>
      <c r="J31" s="96"/>
      <c r="K31" s="96"/>
      <c r="L31" s="571"/>
    </row>
    <row r="32" spans="1:18">
      <c r="B32" s="560" t="s">
        <v>1166</v>
      </c>
      <c r="C32" s="560"/>
      <c r="D32" s="560"/>
      <c r="E32" s="560"/>
      <c r="F32" s="560">
        <v>-0.57999999999999996</v>
      </c>
      <c r="G32" s="560">
        <v>-0.59</v>
      </c>
      <c r="J32" s="172"/>
      <c r="K32" s="172"/>
      <c r="L32" s="172"/>
    </row>
    <row r="33" spans="2:25">
      <c r="B33" s="560" t="s">
        <v>1167</v>
      </c>
      <c r="C33" s="560"/>
      <c r="D33" s="560"/>
      <c r="E33" s="560"/>
      <c r="F33" s="560">
        <v>3.3</v>
      </c>
      <c r="G33" s="560">
        <v>3.3</v>
      </c>
      <c r="J33" s="172"/>
      <c r="K33" s="172"/>
      <c r="L33" s="172"/>
      <c r="O33" s="551" t="s">
        <v>1168</v>
      </c>
    </row>
    <row r="34" spans="2:25">
      <c r="B34" s="560" t="s">
        <v>1169</v>
      </c>
      <c r="C34" s="560"/>
      <c r="D34" s="560"/>
      <c r="E34" s="560"/>
      <c r="F34" s="560">
        <v>0.3</v>
      </c>
      <c r="G34" s="560">
        <v>0.5</v>
      </c>
      <c r="J34" s="172"/>
      <c r="K34" s="172"/>
      <c r="L34" s="172"/>
      <c r="O34" t="s">
        <v>1170</v>
      </c>
      <c r="Y34" t="s">
        <v>1171</v>
      </c>
    </row>
    <row r="35" spans="2:25" ht="18.25" customHeight="1">
      <c r="B35" s="555" t="s">
        <v>1172</v>
      </c>
      <c r="C35" s="555"/>
      <c r="D35" s="626">
        <f>SUM(D31:D34)</f>
        <v>150.614</v>
      </c>
      <c r="E35" s="626">
        <f t="shared" ref="E35:G35" si="1">SUM(E31:E34)</f>
        <v>152.595</v>
      </c>
      <c r="F35" s="626">
        <f t="shared" si="1"/>
        <v>160.423</v>
      </c>
      <c r="G35" s="626">
        <f t="shared" si="1"/>
        <v>165.851</v>
      </c>
      <c r="J35" s="172"/>
      <c r="K35" s="172"/>
      <c r="L35" s="172"/>
    </row>
    <row r="36" spans="2:25" ht="15" thickBot="1">
      <c r="B36" s="624" t="s">
        <v>690</v>
      </c>
      <c r="C36" s="624"/>
      <c r="D36" s="624"/>
      <c r="E36" s="625">
        <f>E35-'Comparison across fiscal events'!G12</f>
        <v>-4.9999999999954525E-3</v>
      </c>
      <c r="F36" s="625">
        <f>F35-'Comparison across fiscal events'!H12</f>
        <v>2.2999999999996135E-2</v>
      </c>
      <c r="G36" s="625">
        <f>G35-'Comparison across fiscal events'!I12</f>
        <v>-4.9000000000006594E-2</v>
      </c>
      <c r="J36" s="172"/>
      <c r="K36" s="172"/>
      <c r="L36" s="172"/>
    </row>
    <row r="37" spans="2:25" ht="15" thickTop="1">
      <c r="J37" s="172"/>
      <c r="K37" s="172"/>
      <c r="L37" s="172"/>
    </row>
    <row r="38" spans="2:25">
      <c r="B38" s="627" t="s">
        <v>1173</v>
      </c>
      <c r="C38" s="627"/>
      <c r="D38" s="628">
        <v>-2.964</v>
      </c>
      <c r="E38" s="628">
        <v>-1.095</v>
      </c>
      <c r="F38" s="627"/>
      <c r="G38" s="627"/>
      <c r="M38" s="585"/>
    </row>
    <row r="39" spans="2:25">
      <c r="B39" s="629" t="s">
        <v>1174</v>
      </c>
      <c r="C39" s="629"/>
      <c r="D39" s="630">
        <f>D35+D38</f>
        <v>147.65</v>
      </c>
      <c r="E39" s="630">
        <f t="shared" ref="E39:G39" si="2">E35+E38</f>
        <v>151.5</v>
      </c>
      <c r="F39" s="630">
        <f t="shared" si="2"/>
        <v>160.423</v>
      </c>
      <c r="G39" s="630">
        <f t="shared" si="2"/>
        <v>165.851</v>
      </c>
      <c r="L39" s="562"/>
    </row>
    <row r="40" spans="2:25">
      <c r="B40" s="627" t="s">
        <v>1175</v>
      </c>
      <c r="C40" s="627"/>
      <c r="D40" s="631">
        <f>D39/'DHSC NHS Budgets'!N52*'DHSC NHS Budgets'!$O$52</f>
        <v>157.49333333333334</v>
      </c>
      <c r="E40" s="631">
        <f>E39/'DHSC NHS Budgets'!O52*'DHSC NHS Budgets'!$O$52</f>
        <v>151.5</v>
      </c>
      <c r="F40" s="631">
        <f>F39/'DHSC NHS Budgets'!P52*'DHSC NHS Budgets'!$O$52</f>
        <v>151.20170987596276</v>
      </c>
      <c r="G40" s="631">
        <f>G39/'DHSC NHS Budgets'!Q52*'DHSC NHS Budgets'!$O$52</f>
        <v>153.73916752456665</v>
      </c>
      <c r="L40" s="563"/>
    </row>
    <row r="41" spans="2:25" ht="15" thickBot="1">
      <c r="B41" s="632" t="s">
        <v>1176</v>
      </c>
      <c r="C41" s="632"/>
      <c r="D41" s="632"/>
      <c r="E41" s="633">
        <f>E40/D40-1</f>
        <v>-3.805452082627836E-2</v>
      </c>
      <c r="F41" s="633">
        <f t="shared" ref="F41:G41" si="3">F40/E40-1</f>
        <v>-1.968911709816723E-3</v>
      </c>
      <c r="G41" s="633">
        <f t="shared" si="3"/>
        <v>1.6781937523626445E-2</v>
      </c>
      <c r="L41" s="562"/>
    </row>
    <row r="42" spans="2:25" ht="15" thickTop="1"/>
    <row r="43" spans="2:25">
      <c r="D43" s="481" t="s">
        <v>1177</v>
      </c>
    </row>
    <row r="45" spans="2:25">
      <c r="Y45" t="s">
        <v>1178</v>
      </c>
    </row>
    <row r="47" spans="2:25">
      <c r="L47" s="172"/>
    </row>
    <row r="48" spans="2:25">
      <c r="B48" s="586" t="s">
        <v>1179</v>
      </c>
      <c r="C48" s="562"/>
      <c r="D48" s="562" t="s">
        <v>171</v>
      </c>
      <c r="E48" s="562" t="s">
        <v>172</v>
      </c>
      <c r="F48" s="562" t="s">
        <v>173</v>
      </c>
      <c r="G48" s="562" t="s">
        <v>174</v>
      </c>
      <c r="H48" s="562"/>
      <c r="I48" s="562"/>
      <c r="J48" s="562"/>
      <c r="K48" s="562"/>
    </row>
    <row r="49" spans="2:25">
      <c r="B49" s="1728" t="s">
        <v>655</v>
      </c>
      <c r="C49" s="1729">
        <v>143.36699999999999</v>
      </c>
      <c r="D49" s="1729">
        <v>149.40299999999999</v>
      </c>
      <c r="E49" s="1729">
        <v>152.595</v>
      </c>
      <c r="F49" s="1729">
        <v>157.40299999999999</v>
      </c>
      <c r="G49" s="1729">
        <v>162.64099999999999</v>
      </c>
      <c r="H49" s="556"/>
      <c r="I49" s="556"/>
      <c r="J49" s="556"/>
      <c r="K49" s="556"/>
      <c r="L49" s="172"/>
    </row>
    <row r="50" spans="2:25" ht="15" thickBot="1">
      <c r="B50" s="587" t="s">
        <v>1180</v>
      </c>
      <c r="C50" s="588">
        <f>C49-C15</f>
        <v>-6.106000000000023</v>
      </c>
      <c r="D50" s="588">
        <f>D49-D15</f>
        <v>-1.2110000000000127</v>
      </c>
      <c r="E50" s="588">
        <f>E49-E15</f>
        <v>3.9999999999992042E-2</v>
      </c>
      <c r="F50" s="588">
        <f>F49-F15</f>
        <v>0</v>
      </c>
      <c r="G50" s="588">
        <f>G49-G15</f>
        <v>0</v>
      </c>
      <c r="H50" s="561"/>
      <c r="I50" s="561"/>
      <c r="J50" s="561"/>
      <c r="K50" s="561"/>
    </row>
    <row r="51" spans="2:25" ht="15" thickTop="1"/>
    <row r="55" spans="2:25">
      <c r="L55" s="172"/>
    </row>
    <row r="56" spans="2:25">
      <c r="Y56" t="s">
        <v>1181</v>
      </c>
    </row>
    <row r="57" spans="2:25">
      <c r="L57" s="172"/>
    </row>
    <row r="63" spans="2:25">
      <c r="L63" s="172"/>
      <c r="M63" s="585"/>
    </row>
    <row r="64" spans="2:25">
      <c r="M64" s="585"/>
    </row>
    <row r="65" spans="12:15">
      <c r="L65" s="172"/>
      <c r="M65" s="585"/>
    </row>
    <row r="66" spans="12:15">
      <c r="L66" s="76"/>
      <c r="M66" s="585"/>
    </row>
    <row r="67" spans="12:15">
      <c r="L67" s="76"/>
      <c r="M67" s="585"/>
      <c r="O67" t="s">
        <v>1182</v>
      </c>
    </row>
    <row r="68" spans="12:15">
      <c r="L68" s="76"/>
      <c r="M68" s="585"/>
    </row>
    <row r="69" spans="12:15">
      <c r="L69" s="76"/>
      <c r="M69" s="585"/>
    </row>
    <row r="70" spans="12:15">
      <c r="L70" s="76"/>
      <c r="M70" s="585"/>
    </row>
    <row r="71" spans="12:15">
      <c r="L71" s="76"/>
      <c r="M71" s="585"/>
    </row>
    <row r="72" spans="12:15">
      <c r="L72" s="76"/>
      <c r="M72" s="585"/>
    </row>
    <row r="73" spans="12:15">
      <c r="L73" s="76"/>
      <c r="M73" s="585"/>
    </row>
    <row r="74" spans="12:15">
      <c r="L74" s="76"/>
      <c r="M74" s="585"/>
    </row>
    <row r="75" spans="12:15">
      <c r="L75" s="76"/>
      <c r="M75" s="585"/>
    </row>
    <row r="76" spans="12:15">
      <c r="L76" s="76"/>
      <c r="M76" s="585"/>
    </row>
    <row r="77" spans="12:15">
      <c r="L77" s="76"/>
      <c r="M77" s="585"/>
    </row>
    <row r="78" spans="12:15">
      <c r="L78" s="76"/>
      <c r="M78" s="585"/>
    </row>
    <row r="79" spans="12:15">
      <c r="L79" s="76"/>
      <c r="M79" s="585"/>
    </row>
    <row r="80" spans="12:15">
      <c r="M80" s="585"/>
    </row>
    <row r="81" spans="12:22">
      <c r="L81" s="172"/>
      <c r="M81" s="585"/>
    </row>
    <row r="82" spans="12:22">
      <c r="M82" s="585"/>
    </row>
    <row r="83" spans="12:22">
      <c r="L83" s="172"/>
      <c r="M83" s="585"/>
    </row>
    <row r="84" spans="12:22">
      <c r="L84" s="76"/>
      <c r="M84" s="585"/>
      <c r="O84" s="76" t="s">
        <v>1183</v>
      </c>
      <c r="P84" s="76"/>
      <c r="Q84" s="76"/>
      <c r="R84" s="76"/>
      <c r="S84" s="76"/>
    </row>
    <row r="85" spans="12:22">
      <c r="L85" s="590"/>
      <c r="M85" s="585"/>
    </row>
    <row r="86" spans="12:22">
      <c r="L86" s="589"/>
      <c r="M86" s="585"/>
    </row>
    <row r="87" spans="12:22">
      <c r="M87" s="585"/>
    </row>
    <row r="88" spans="12:22">
      <c r="M88" s="585"/>
    </row>
    <row r="89" spans="12:22">
      <c r="M89" s="559"/>
    </row>
    <row r="90" spans="12:22">
      <c r="L90" s="172"/>
      <c r="M90" s="591"/>
    </row>
    <row r="91" spans="12:22">
      <c r="M91" s="591"/>
      <c r="T91" s="592"/>
      <c r="U91" s="592"/>
    </row>
    <row r="92" spans="12:22">
      <c r="M92" s="593"/>
      <c r="O92" s="98"/>
      <c r="U92" s="173"/>
    </row>
    <row r="93" spans="12:22">
      <c r="M93" s="559"/>
      <c r="U93" s="594"/>
    </row>
    <row r="94" spans="12:22">
      <c r="M94" s="559"/>
      <c r="U94" s="592"/>
    </row>
    <row r="95" spans="12:22">
      <c r="L95" s="76"/>
      <c r="V95" s="592"/>
    </row>
    <row r="96" spans="12:22">
      <c r="L96" s="172"/>
    </row>
    <row r="98" spans="12:13">
      <c r="L98" s="595"/>
    </row>
    <row r="99" spans="12:13">
      <c r="L99" s="595"/>
    </row>
    <row r="100" spans="12:13">
      <c r="L100" s="596"/>
    </row>
    <row r="103" spans="12:13">
      <c r="L103" s="173"/>
      <c r="M103" s="597"/>
    </row>
    <row r="104" spans="12:13">
      <c r="L104" s="483"/>
    </row>
    <row r="105" spans="12:13">
      <c r="M105" s="597"/>
    </row>
    <row r="108" spans="12:13">
      <c r="L108" s="428"/>
    </row>
    <row r="109" spans="12:13">
      <c r="M109" s="597"/>
    </row>
    <row r="110" spans="12:13">
      <c r="L110" s="428"/>
    </row>
    <row r="114" spans="12:15">
      <c r="L114" s="428"/>
    </row>
    <row r="117" spans="12:15">
      <c r="L117" s="428"/>
    </row>
    <row r="125" spans="12:15">
      <c r="L125" s="96"/>
    </row>
    <row r="126" spans="12:15">
      <c r="O126" s="155" t="s">
        <v>1184</v>
      </c>
    </row>
    <row r="127" spans="12:15">
      <c r="O127" t="s">
        <v>1185</v>
      </c>
    </row>
    <row r="128" spans="12:15">
      <c r="M128" s="598"/>
      <c r="O128" t="s">
        <v>1186</v>
      </c>
    </row>
    <row r="129" spans="12:15">
      <c r="M129" s="597"/>
    </row>
    <row r="130" spans="12:15">
      <c r="N130" t="s">
        <v>1187</v>
      </c>
      <c r="O130">
        <v>1.629</v>
      </c>
    </row>
    <row r="131" spans="12:15">
      <c r="N131" t="s">
        <v>1188</v>
      </c>
      <c r="O131">
        <v>1.3360000000000001</v>
      </c>
    </row>
    <row r="132" spans="12:15">
      <c r="N132" t="s">
        <v>1189</v>
      </c>
      <c r="O132">
        <f>SUM(O130:O131)</f>
        <v>2.9649999999999999</v>
      </c>
    </row>
    <row r="134" spans="12:15">
      <c r="O134" t="s">
        <v>1190</v>
      </c>
    </row>
    <row r="136" spans="12:15">
      <c r="L136" s="51"/>
    </row>
    <row r="137" spans="12:15">
      <c r="L137" s="428"/>
    </row>
    <row r="153" spans="2:3">
      <c r="B153" t="s">
        <v>1191</v>
      </c>
      <c r="C153">
        <v>8.8000000000000007</v>
      </c>
    </row>
    <row r="154" spans="2:3">
      <c r="B154" t="s">
        <v>1192</v>
      </c>
      <c r="C154">
        <v>19.899999999999999</v>
      </c>
    </row>
  </sheetData>
  <mergeCells count="1">
    <mergeCell ref="B26:G27"/>
  </mergeCell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08DA2-6B93-4963-B8FC-32EB84444F38}">
  <dimension ref="A2:V20"/>
  <sheetViews>
    <sheetView workbookViewId="0">
      <selection activeCell="N11" sqref="N11"/>
    </sheetView>
  </sheetViews>
  <sheetFormatPr defaultRowHeight="14.5"/>
  <cols>
    <col min="14" max="14" width="11.453125" bestFit="1" customWidth="1"/>
    <col min="15" max="15" width="11.453125" customWidth="1"/>
  </cols>
  <sheetData>
    <row r="2" spans="1:22">
      <c r="N2" s="155" t="s">
        <v>1193</v>
      </c>
      <c r="O2" s="155"/>
      <c r="P2" s="155"/>
      <c r="Q2" s="155"/>
    </row>
    <row r="3" spans="1:22">
      <c r="A3" t="s">
        <v>1194</v>
      </c>
      <c r="N3" s="155"/>
      <c r="O3" s="155"/>
      <c r="P3" s="155"/>
      <c r="Q3" s="155"/>
    </row>
    <row r="4" spans="1:22" s="1" customFormat="1">
      <c r="A4" s="56" t="s">
        <v>1195</v>
      </c>
      <c r="B4" s="9"/>
      <c r="C4" s="9"/>
      <c r="D4" s="9"/>
      <c r="E4" s="9"/>
      <c r="F4" s="9"/>
      <c r="G4" s="9"/>
      <c r="H4" s="9"/>
      <c r="I4" s="9"/>
      <c r="J4" s="9"/>
      <c r="K4" s="9"/>
      <c r="L4" s="9"/>
      <c r="M4" s="9"/>
      <c r="N4" s="880" t="s">
        <v>1196</v>
      </c>
      <c r="O4" s="880" t="s">
        <v>1197</v>
      </c>
      <c r="P4" s="880" t="s">
        <v>1198</v>
      </c>
      <c r="Q4" s="880" t="s">
        <v>1199</v>
      </c>
      <c r="S4"/>
      <c r="T4"/>
      <c r="U4"/>
      <c r="V4" s="3"/>
    </row>
    <row r="5" spans="1:22" s="1" customFormat="1">
      <c r="A5" s="57" t="s">
        <v>1200</v>
      </c>
      <c r="B5" s="9"/>
      <c r="C5" s="9"/>
      <c r="D5" s="9"/>
      <c r="E5" s="9"/>
      <c r="F5" s="9"/>
      <c r="G5" s="9"/>
      <c r="H5" s="9"/>
      <c r="I5" s="9"/>
      <c r="J5" s="9"/>
      <c r="K5" s="9"/>
      <c r="L5" s="9"/>
      <c r="M5" s="9"/>
      <c r="N5" s="708">
        <v>0.6</v>
      </c>
      <c r="O5" s="708">
        <v>0.6</v>
      </c>
      <c r="P5" s="708">
        <v>0.9</v>
      </c>
      <c r="Q5" s="708">
        <v>1.7</v>
      </c>
      <c r="S5"/>
      <c r="T5" t="s">
        <v>1201</v>
      </c>
      <c r="U5"/>
      <c r="V5" s="3"/>
    </row>
    <row r="6" spans="1:22" s="1" customFormat="1">
      <c r="A6" s="57" t="s">
        <v>1202</v>
      </c>
      <c r="B6" s="9"/>
      <c r="C6" s="9"/>
      <c r="D6" s="9"/>
      <c r="E6" s="9"/>
      <c r="F6" s="9"/>
      <c r="G6" s="9"/>
      <c r="H6" s="9"/>
      <c r="I6" s="9"/>
      <c r="J6" s="9"/>
      <c r="K6" s="9"/>
      <c r="L6" s="9"/>
      <c r="M6" s="9"/>
      <c r="N6" s="708">
        <v>0.7</v>
      </c>
      <c r="O6" s="708">
        <v>0.5</v>
      </c>
      <c r="P6" s="708">
        <v>0.3</v>
      </c>
      <c r="Q6" s="708">
        <v>0.2</v>
      </c>
      <c r="S6"/>
      <c r="T6" s="127" t="s">
        <v>1079</v>
      </c>
      <c r="U6"/>
      <c r="V6" s="3"/>
    </row>
    <row r="7" spans="1:22" s="1" customFormat="1">
      <c r="A7" s="57" t="s">
        <v>403</v>
      </c>
      <c r="B7" s="9"/>
      <c r="C7" s="9"/>
      <c r="D7" s="9"/>
      <c r="E7" s="9"/>
      <c r="F7" s="9"/>
      <c r="G7" s="9"/>
      <c r="H7" s="9"/>
      <c r="I7" s="9"/>
      <c r="J7" s="9"/>
      <c r="K7" s="9"/>
      <c r="L7" s="9"/>
      <c r="M7" s="9"/>
      <c r="N7" s="708">
        <f>SUM(N5:N6)</f>
        <v>1.2999999999999998</v>
      </c>
      <c r="O7" s="708">
        <f>SUM(O5:O6)</f>
        <v>1.1000000000000001</v>
      </c>
      <c r="P7" s="708">
        <f>SUM(P5:P6)</f>
        <v>1.2</v>
      </c>
      <c r="Q7" s="708">
        <f>SUM(Q5:Q6)</f>
        <v>1.9</v>
      </c>
      <c r="S7"/>
      <c r="T7"/>
      <c r="U7"/>
      <c r="V7" s="3"/>
    </row>
    <row r="10" spans="1:22" s="1" customFormat="1">
      <c r="A10" s="56" t="s">
        <v>1195</v>
      </c>
      <c r="B10" s="10"/>
      <c r="C10" s="75">
        <f>('DHSC NHS Budgets'!L87/'DHSC NHS Budgets'!C87)^(1/COUNT('DHSC NHS Budgets'!D87:L87))-1</f>
        <v>1.9475435958113074E-2</v>
      </c>
      <c r="D10" s="10"/>
      <c r="E10" s="75">
        <f>('DHSC NHS Budgets'!Q87/'DHSC NHS Budgets'!L87)^(1/COUNT('DHSC NHS Budgets'!M87:Q87))-1</f>
        <v>8.4005183235347447E-2</v>
      </c>
      <c r="F10" s="10"/>
      <c r="G10" s="10"/>
      <c r="H10" s="10"/>
      <c r="I10" s="10"/>
      <c r="J10" s="10"/>
      <c r="K10" s="10"/>
      <c r="L10" s="10"/>
      <c r="M10" s="10"/>
      <c r="N10" s="10"/>
      <c r="O10" s="10"/>
      <c r="P10" s="10"/>
      <c r="Q10" s="10" t="s">
        <v>785</v>
      </c>
      <c r="S10"/>
      <c r="T10"/>
      <c r="U10"/>
    </row>
    <row r="11" spans="1:22" s="1" customFormat="1">
      <c r="A11" s="57" t="s">
        <v>1200</v>
      </c>
      <c r="B11" s="10"/>
      <c r="C11" s="75">
        <f>(8.6/'DHSC NHS Budgets'!C87)^(1/COUNT('DHSC NHS Budgets'!D87:M87))-1</f>
        <v>2.1062368264850084E-2</v>
      </c>
      <c r="D11" s="10"/>
      <c r="E11" s="10"/>
      <c r="F11" s="10"/>
      <c r="G11" s="10"/>
      <c r="H11" s="10"/>
      <c r="I11" s="10"/>
      <c r="J11" s="10"/>
      <c r="K11" s="10"/>
      <c r="L11" s="10"/>
      <c r="M11" s="10"/>
      <c r="N11" s="10">
        <f>('Hospital programmes'!N5/'DHSC NHS Budgets'!N$52)*'DHSC NHS Budgets'!$N$52</f>
        <v>0.6</v>
      </c>
      <c r="O11" s="10">
        <f>('Hospital programmes'!O5/'DHSC NHS Budgets'!O$52)*'DHSC NHS Budgets'!$N$52</f>
        <v>0.56249999999999989</v>
      </c>
      <c r="P11" s="10">
        <f>('Hospital programmes'!P5/'DHSC NHS Budgets'!P$52)*'DHSC NHS Budgets'!$N$52</f>
        <v>0.79525032388026395</v>
      </c>
      <c r="Q11" s="10">
        <f>('Hospital programmes'!Q5/'DHSC NHS Budgets'!Q$52)*'DHSC NHS Budgets'!$N$52</f>
        <v>1.4773609941590833</v>
      </c>
      <c r="S11"/>
      <c r="T11"/>
      <c r="U11"/>
    </row>
    <row r="12" spans="1:22" s="4" customFormat="1" ht="13.5" customHeight="1">
      <c r="A12" s="57" t="s">
        <v>1202</v>
      </c>
      <c r="B12" s="10"/>
      <c r="C12" s="10"/>
      <c r="D12" s="10"/>
      <c r="E12" s="10"/>
      <c r="F12" s="10"/>
      <c r="G12" s="10"/>
      <c r="H12" s="10"/>
      <c r="I12" s="10"/>
      <c r="J12" s="10"/>
      <c r="K12" s="10"/>
      <c r="L12" s="10"/>
      <c r="M12" s="10"/>
      <c r="N12" s="10">
        <f>('Hospital programmes'!N6/'DHSC NHS Budgets'!N$52)*'DHSC NHS Budgets'!$N$52</f>
        <v>0.7</v>
      </c>
      <c r="O12" s="10">
        <f>('Hospital programmes'!O6/'DHSC NHS Budgets'!O$52)*'DHSC NHS Budgets'!$N$52</f>
        <v>0.46874999999999994</v>
      </c>
      <c r="P12" s="10">
        <f>('Hospital programmes'!P6/'DHSC NHS Budgets'!P$52)*'DHSC NHS Budgets'!$N$52</f>
        <v>0.26508344129342126</v>
      </c>
      <c r="Q12" s="10">
        <f>('Hospital programmes'!Q6/'DHSC NHS Budgets'!Q$52)*'DHSC NHS Budgets'!$N$52</f>
        <v>0.17380717578342156</v>
      </c>
      <c r="R12" s="1"/>
      <c r="S12"/>
      <c r="T12"/>
      <c r="U12"/>
    </row>
    <row r="13" spans="1:22" s="1" customFormat="1">
      <c r="A13" s="57" t="s">
        <v>403</v>
      </c>
      <c r="B13" s="10"/>
      <c r="C13" s="10"/>
      <c r="D13" s="10"/>
      <c r="E13" s="10"/>
      <c r="F13" s="10"/>
      <c r="G13" s="10"/>
      <c r="H13" s="10"/>
      <c r="I13" s="10"/>
      <c r="J13" s="10"/>
      <c r="K13" s="10"/>
      <c r="L13" s="10"/>
      <c r="M13" s="10"/>
      <c r="N13" s="10">
        <f>('Hospital programmes'!N7/'DHSC NHS Budgets'!N$52)*'DHSC NHS Budgets'!$N$52</f>
        <v>1.2999999999999998</v>
      </c>
      <c r="O13" s="10">
        <f>('Hospital programmes'!O7/'DHSC NHS Budgets'!O$52)*'DHSC NHS Budgets'!$N$52</f>
        <v>1.03125</v>
      </c>
      <c r="P13" s="10">
        <f>('Hospital programmes'!P7/'DHSC NHS Budgets'!P$52)*'DHSC NHS Budgets'!$N$52</f>
        <v>1.060333765173685</v>
      </c>
      <c r="Q13" s="10">
        <f>('Hospital programmes'!Q7/'DHSC NHS Budgets'!Q$52)*'DHSC NHS Budgets'!$N$52</f>
        <v>1.6511681699425049</v>
      </c>
      <c r="S13"/>
      <c r="T13"/>
      <c r="U13"/>
      <c r="V13" s="11"/>
    </row>
    <row r="17" spans="1:21" s="1" customFormat="1">
      <c r="A17" s="521" t="s">
        <v>1195</v>
      </c>
      <c r="C17" s="48"/>
      <c r="D17" s="48"/>
      <c r="E17" s="48"/>
      <c r="F17" s="48"/>
      <c r="G17" s="48"/>
      <c r="H17" s="48"/>
      <c r="I17" s="48"/>
      <c r="J17" s="48"/>
      <c r="K17" s="48"/>
      <c r="L17" s="48"/>
      <c r="M17" s="48"/>
      <c r="N17" s="48"/>
      <c r="O17" s="48"/>
      <c r="P17" s="48"/>
      <c r="S17"/>
      <c r="T17"/>
      <c r="U17"/>
    </row>
    <row r="18" spans="1:21" s="1" customFormat="1">
      <c r="A18" s="522" t="s">
        <v>1200</v>
      </c>
      <c r="C18" s="48"/>
      <c r="D18" s="48"/>
      <c r="E18" s="48"/>
      <c r="F18" s="48"/>
      <c r="G18" s="48"/>
      <c r="H18" s="48"/>
      <c r="I18" s="48"/>
      <c r="J18" s="48"/>
      <c r="K18" s="48"/>
      <c r="L18" s="48"/>
      <c r="M18" s="48"/>
      <c r="N18" s="48"/>
      <c r="O18" s="48">
        <f>'Hospital programmes'!O11/'Hospital programmes'!N11-1</f>
        <v>-6.2500000000000111E-2</v>
      </c>
      <c r="P18" s="48">
        <f>'Hospital programmes'!P11/'Hospital programmes'!O11-1</f>
        <v>0.41377835356491399</v>
      </c>
      <c r="Q18" s="48">
        <f>'Hospital programmes'!Q11/'Hospital programmes'!P11-1</f>
        <v>0.85773076702515194</v>
      </c>
      <c r="S18"/>
      <c r="T18"/>
      <c r="U18"/>
    </row>
    <row r="19" spans="1:21" s="1" customFormat="1">
      <c r="A19" s="522" t="s">
        <v>1202</v>
      </c>
      <c r="C19" s="48"/>
      <c r="D19" s="48"/>
      <c r="E19" s="48"/>
      <c r="F19" s="48"/>
      <c r="G19" s="48"/>
      <c r="H19" s="48"/>
      <c r="I19" s="48"/>
      <c r="J19" s="48"/>
      <c r="K19" s="48"/>
      <c r="L19" s="48"/>
      <c r="M19" s="48"/>
      <c r="N19" s="48"/>
      <c r="O19" s="48">
        <f>'Hospital programmes'!O12/'Hospital programmes'!N12-1</f>
        <v>-0.3303571428571429</v>
      </c>
      <c r="P19" s="48">
        <f>'Hospital programmes'!P12/'Hospital programmes'!O12-1</f>
        <v>-0.43448865857403463</v>
      </c>
      <c r="Q19" s="48">
        <f>'Hospital programmes'!Q12/'Hospital programmes'!P12-1</f>
        <v>-0.34433031752053445</v>
      </c>
      <c r="S19"/>
      <c r="T19"/>
      <c r="U19"/>
    </row>
    <row r="20" spans="1:21" s="1" customFormat="1">
      <c r="A20" s="522" t="s">
        <v>403</v>
      </c>
      <c r="C20" s="48"/>
      <c r="D20" s="48"/>
      <c r="E20" s="48"/>
      <c r="F20" s="48"/>
      <c r="G20" s="48"/>
      <c r="H20" s="48"/>
      <c r="I20" s="48"/>
      <c r="J20" s="48"/>
      <c r="K20" s="48"/>
      <c r="L20" s="48"/>
      <c r="M20" s="48"/>
      <c r="N20" s="48"/>
      <c r="O20" s="48">
        <f>'Hospital programmes'!O13/'Hospital programmes'!N13-1</f>
        <v>-0.20673076923076916</v>
      </c>
      <c r="P20" s="48">
        <f>'Hospital programmes'!P13/'Hospital programmes'!O13-1</f>
        <v>2.8202438956300702E-2</v>
      </c>
      <c r="Q20" s="48">
        <f>'Hospital programmes'!Q13/'Hospital programmes'!P13-1</f>
        <v>0.55721549588873076</v>
      </c>
      <c r="S20"/>
      <c r="T20"/>
      <c r="U20"/>
    </row>
  </sheetData>
  <hyperlinks>
    <hyperlink ref="T6" r:id="rId1" xr:uid="{EB401C9F-257C-4EF8-8F95-A68A9FF6557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0620-1AF5-4FC1-90FA-C3F3FA25711F}">
  <dimension ref="B1:T40"/>
  <sheetViews>
    <sheetView zoomScale="85" zoomScaleNormal="85" workbookViewId="0">
      <selection activeCell="J19" sqref="J19"/>
    </sheetView>
  </sheetViews>
  <sheetFormatPr defaultRowHeight="14.5"/>
  <cols>
    <col min="2" max="2" width="47.54296875" bestFit="1" customWidth="1"/>
    <col min="3" max="5" width="7.54296875" bestFit="1" customWidth="1"/>
    <col min="6" max="6" width="8.1796875" bestFit="1" customWidth="1"/>
    <col min="7" max="7" width="8.54296875" bestFit="1" customWidth="1"/>
    <col min="8" max="10" width="8.453125" bestFit="1" customWidth="1"/>
    <col min="11" max="11" width="7.54296875" bestFit="1" customWidth="1"/>
    <col min="12" max="13" width="7.81640625" bestFit="1" customWidth="1"/>
    <col min="14" max="18" width="7.54296875" bestFit="1" customWidth="1"/>
  </cols>
  <sheetData>
    <row r="1" spans="2:20" ht="15" thickBot="1"/>
    <row r="2" spans="2:20" ht="15" thickBot="1">
      <c r="B2" s="331" t="s">
        <v>653</v>
      </c>
      <c r="C2" s="326" t="s">
        <v>325</v>
      </c>
      <c r="D2" s="326" t="s">
        <v>188</v>
      </c>
      <c r="E2" s="326" t="s">
        <v>189</v>
      </c>
      <c r="F2" s="326" t="s">
        <v>681</v>
      </c>
      <c r="G2" s="326" t="s">
        <v>245</v>
      </c>
      <c r="H2" s="326" t="s">
        <v>192</v>
      </c>
      <c r="I2" s="326" t="s">
        <v>193</v>
      </c>
      <c r="J2" s="326" t="s">
        <v>165</v>
      </c>
      <c r="K2" s="326" t="s">
        <v>167</v>
      </c>
      <c r="L2" s="326" t="s">
        <v>168</v>
      </c>
      <c r="M2" s="326" t="s">
        <v>169</v>
      </c>
      <c r="N2" s="327" t="s">
        <v>170</v>
      </c>
      <c r="O2" s="327" t="s">
        <v>171</v>
      </c>
      <c r="P2" s="328" t="s">
        <v>172</v>
      </c>
      <c r="Q2" s="328" t="s">
        <v>173</v>
      </c>
      <c r="R2" s="332" t="s">
        <v>174</v>
      </c>
      <c r="S2" s="92" t="s">
        <v>18</v>
      </c>
      <c r="T2" s="92" t="s">
        <v>181</v>
      </c>
    </row>
    <row r="3" spans="2:20">
      <c r="B3" s="49"/>
      <c r="R3" s="306"/>
      <c r="S3" s="91"/>
      <c r="T3" s="306"/>
    </row>
    <row r="4" spans="2:20">
      <c r="B4" s="82" t="s">
        <v>1203</v>
      </c>
      <c r="C4" s="10"/>
      <c r="D4" s="10"/>
      <c r="E4" s="10"/>
      <c r="F4" s="10"/>
      <c r="G4" s="54"/>
      <c r="H4" s="54"/>
      <c r="I4" s="54"/>
      <c r="J4" s="54"/>
      <c r="K4" s="54"/>
      <c r="L4" s="54"/>
      <c r="M4" s="77"/>
      <c r="N4" s="304"/>
      <c r="O4" s="304"/>
      <c r="P4" s="304"/>
      <c r="Q4" s="1"/>
      <c r="R4" s="50"/>
      <c r="S4" s="95" t="s">
        <v>1079</v>
      </c>
      <c r="T4" s="306" t="s">
        <v>1204</v>
      </c>
    </row>
    <row r="5" spans="2:20">
      <c r="B5" s="49" t="s">
        <v>1205</v>
      </c>
      <c r="C5" s="10"/>
      <c r="D5" s="10"/>
      <c r="E5" s="10"/>
      <c r="F5" s="10"/>
      <c r="G5" s="303">
        <v>64</v>
      </c>
      <c r="H5" s="303">
        <v>117</v>
      </c>
      <c r="I5" s="77">
        <v>160</v>
      </c>
      <c r="J5" s="77">
        <v>105</v>
      </c>
      <c r="K5" s="77">
        <v>101</v>
      </c>
      <c r="L5" s="77">
        <v>107</v>
      </c>
      <c r="M5" s="1">
        <v>53</v>
      </c>
      <c r="N5" s="77">
        <v>42</v>
      </c>
      <c r="O5" s="77">
        <v>24</v>
      </c>
      <c r="P5" s="304"/>
      <c r="Q5" s="1"/>
      <c r="R5" s="50"/>
      <c r="S5" s="91"/>
      <c r="T5" s="306"/>
    </row>
    <row r="6" spans="2:20">
      <c r="B6" s="83" t="s">
        <v>1206</v>
      </c>
      <c r="C6" s="334"/>
      <c r="D6" s="334"/>
      <c r="E6" s="334"/>
      <c r="F6" s="334"/>
      <c r="G6" s="335">
        <f>-(0.435+0.307)</f>
        <v>-0.74199999999999999</v>
      </c>
      <c r="H6" s="335">
        <v>-1.262</v>
      </c>
      <c r="I6" s="336">
        <v>-3.052</v>
      </c>
      <c r="J6" s="335">
        <v>-1.8240000000000001</v>
      </c>
      <c r="K6" s="335">
        <v>-2.4329999999999998</v>
      </c>
      <c r="L6" s="336">
        <v>-2.7549999999999999</v>
      </c>
      <c r="M6" s="335">
        <v>-1.56</v>
      </c>
      <c r="N6" s="335">
        <v>-0.158</v>
      </c>
      <c r="O6" s="336">
        <v>-0.126</v>
      </c>
      <c r="P6" s="335"/>
      <c r="Q6" s="337"/>
      <c r="R6" s="50"/>
      <c r="S6" s="91"/>
      <c r="T6" s="306"/>
    </row>
    <row r="7" spans="2:20">
      <c r="B7" s="49" t="s">
        <v>1207</v>
      </c>
      <c r="C7" s="10"/>
      <c r="D7" s="10"/>
      <c r="E7" s="10"/>
      <c r="F7" s="10"/>
      <c r="G7" s="303">
        <v>184</v>
      </c>
      <c r="H7" s="303">
        <v>129</v>
      </c>
      <c r="I7" s="77">
        <v>83</v>
      </c>
      <c r="J7" s="77">
        <v>133</v>
      </c>
      <c r="K7" s="1">
        <v>133</v>
      </c>
      <c r="L7" s="77">
        <v>123</v>
      </c>
      <c r="M7" s="77">
        <v>173</v>
      </c>
      <c r="N7" s="77">
        <v>177</v>
      </c>
      <c r="O7" s="77">
        <v>191</v>
      </c>
      <c r="P7" s="77"/>
      <c r="Q7" s="1"/>
      <c r="R7" s="50"/>
      <c r="S7" s="91"/>
      <c r="T7" s="306"/>
    </row>
    <row r="8" spans="2:20">
      <c r="B8" s="84" t="s">
        <v>1208</v>
      </c>
      <c r="C8" s="338"/>
      <c r="D8" s="338"/>
      <c r="E8" s="338"/>
      <c r="F8" s="338"/>
      <c r="G8" s="339">
        <v>0.66</v>
      </c>
      <c r="H8" s="340">
        <v>0.42</v>
      </c>
      <c r="I8" s="340">
        <v>0.27300000000000002</v>
      </c>
      <c r="J8" s="340">
        <v>0.91400000000000003</v>
      </c>
      <c r="K8" s="340">
        <v>1.337</v>
      </c>
      <c r="L8" s="340">
        <v>1.889</v>
      </c>
      <c r="M8" s="340">
        <v>0.56699999999999995</v>
      </c>
      <c r="N8" s="340">
        <v>0.36299999999999999</v>
      </c>
      <c r="O8" s="340">
        <v>0.442</v>
      </c>
      <c r="P8" s="340"/>
      <c r="Q8" s="340"/>
      <c r="R8" s="50"/>
      <c r="S8" s="91"/>
      <c r="T8" s="306"/>
    </row>
    <row r="9" spans="2:20">
      <c r="B9" s="49" t="s">
        <v>1209</v>
      </c>
      <c r="C9" s="338"/>
      <c r="D9" s="303"/>
      <c r="E9" s="303"/>
      <c r="F9" s="303"/>
      <c r="G9" s="303">
        <v>249</v>
      </c>
      <c r="H9" s="303">
        <v>246</v>
      </c>
      <c r="I9" s="303">
        <v>243</v>
      </c>
      <c r="J9" s="303">
        <v>238</v>
      </c>
      <c r="K9" s="303">
        <v>234</v>
      </c>
      <c r="L9" s="303">
        <v>230</v>
      </c>
      <c r="M9" s="303">
        <v>226</v>
      </c>
      <c r="N9" s="303">
        <v>219</v>
      </c>
      <c r="O9" s="303">
        <v>215</v>
      </c>
      <c r="P9" s="340"/>
      <c r="Q9" s="340"/>
      <c r="R9" s="50"/>
      <c r="S9" s="91"/>
      <c r="T9" s="306"/>
    </row>
    <row r="10" spans="2:20">
      <c r="B10" s="49" t="s">
        <v>1210</v>
      </c>
      <c r="C10" s="338"/>
      <c r="D10" s="303"/>
      <c r="E10" s="303"/>
      <c r="F10" s="303"/>
      <c r="G10" s="54">
        <f>G5/G9</f>
        <v>0.25702811244979917</v>
      </c>
      <c r="H10" s="54">
        <f t="shared" ref="H10:L10" si="0">H5/H9</f>
        <v>0.47560975609756095</v>
      </c>
      <c r="I10" s="54">
        <f t="shared" si="0"/>
        <v>0.65843621399176955</v>
      </c>
      <c r="J10" s="54">
        <f t="shared" si="0"/>
        <v>0.44117647058823528</v>
      </c>
      <c r="K10" s="54">
        <f t="shared" si="0"/>
        <v>0.43162393162393164</v>
      </c>
      <c r="L10" s="54">
        <f t="shared" si="0"/>
        <v>0.4652173913043478</v>
      </c>
      <c r="M10" s="54">
        <f>M5/M9</f>
        <v>0.23451327433628319</v>
      </c>
      <c r="N10" s="54">
        <f>N5/N9</f>
        <v>0.19178082191780821</v>
      </c>
      <c r="O10" s="54">
        <f>O5/O9</f>
        <v>0.11162790697674418</v>
      </c>
      <c r="P10" s="340"/>
      <c r="Q10" s="340"/>
      <c r="R10" s="50"/>
      <c r="S10" s="91"/>
      <c r="T10" s="306"/>
    </row>
    <row r="11" spans="2:20">
      <c r="B11" s="49" t="s">
        <v>1211</v>
      </c>
      <c r="C11" s="10"/>
      <c r="D11" s="341"/>
      <c r="E11" s="341"/>
      <c r="F11" s="341"/>
      <c r="G11" s="341">
        <f t="shared" ref="G11:O11" si="1">G8+G6</f>
        <v>-8.1999999999999962E-2</v>
      </c>
      <c r="H11" s="341">
        <f t="shared" si="1"/>
        <v>-0.84200000000000008</v>
      </c>
      <c r="I11" s="341">
        <f t="shared" si="1"/>
        <v>-2.7789999999999999</v>
      </c>
      <c r="J11" s="341">
        <f t="shared" si="1"/>
        <v>-0.91</v>
      </c>
      <c r="K11" s="341">
        <f t="shared" si="1"/>
        <v>-1.0959999999999999</v>
      </c>
      <c r="L11" s="341">
        <f t="shared" si="1"/>
        <v>-0.86599999999999988</v>
      </c>
      <c r="M11" s="341">
        <f t="shared" si="1"/>
        <v>-0.9930000000000001</v>
      </c>
      <c r="N11" s="341">
        <f t="shared" si="1"/>
        <v>0.20499999999999999</v>
      </c>
      <c r="O11" s="341">
        <f t="shared" si="1"/>
        <v>0.316</v>
      </c>
      <c r="P11" s="304"/>
      <c r="Q11" s="1"/>
      <c r="R11" s="50"/>
      <c r="S11" s="91"/>
      <c r="T11" s="306"/>
    </row>
    <row r="12" spans="2:20">
      <c r="B12" s="49" t="s">
        <v>286</v>
      </c>
      <c r="C12" s="10"/>
      <c r="D12" s="341"/>
      <c r="E12" s="341"/>
      <c r="F12" s="341"/>
      <c r="G12" s="341"/>
      <c r="H12" s="341"/>
      <c r="I12" s="341"/>
      <c r="J12" s="341"/>
      <c r="K12" s="341">
        <v>0.105</v>
      </c>
      <c r="L12" s="341">
        <v>3.9E-2</v>
      </c>
      <c r="M12" s="341">
        <v>0.32300000000000001</v>
      </c>
      <c r="N12" s="341">
        <v>0.45</v>
      </c>
      <c r="O12" s="341">
        <v>0.24</v>
      </c>
      <c r="P12" s="304"/>
      <c r="Q12" s="1"/>
      <c r="R12" s="50"/>
      <c r="S12" s="91"/>
      <c r="T12" s="306"/>
    </row>
    <row r="13" spans="2:20">
      <c r="B13" s="49" t="s">
        <v>1212</v>
      </c>
      <c r="C13" s="10"/>
      <c r="D13" s="341"/>
      <c r="E13" s="341"/>
      <c r="F13" s="341"/>
      <c r="G13" s="341">
        <f>G11+G12</f>
        <v>-8.1999999999999962E-2</v>
      </c>
      <c r="H13" s="341">
        <f t="shared" ref="H13:O13" si="2">H11+H12</f>
        <v>-0.84200000000000008</v>
      </c>
      <c r="I13" s="341">
        <f t="shared" si="2"/>
        <v>-2.7789999999999999</v>
      </c>
      <c r="J13" s="341">
        <f t="shared" si="2"/>
        <v>-0.91</v>
      </c>
      <c r="K13" s="341">
        <f t="shared" si="2"/>
        <v>-0.99099999999999988</v>
      </c>
      <c r="L13" s="341">
        <f t="shared" si="2"/>
        <v>-0.82699999999999985</v>
      </c>
      <c r="M13" s="341">
        <f t="shared" si="2"/>
        <v>-0.67000000000000015</v>
      </c>
      <c r="N13" s="341">
        <f t="shared" si="2"/>
        <v>0.65500000000000003</v>
      </c>
      <c r="O13" s="341">
        <f t="shared" si="2"/>
        <v>0.55600000000000005</v>
      </c>
      <c r="P13" s="304"/>
      <c r="Q13" s="1"/>
      <c r="R13" s="50"/>
      <c r="S13" s="91"/>
      <c r="T13" s="306" t="s">
        <v>1213</v>
      </c>
    </row>
    <row r="14" spans="2:20">
      <c r="B14" s="49" t="s">
        <v>1214</v>
      </c>
      <c r="C14" s="10"/>
      <c r="D14" s="341"/>
      <c r="E14" s="341"/>
      <c r="F14" s="341"/>
      <c r="G14" s="341"/>
      <c r="H14" s="341"/>
      <c r="I14" s="341">
        <v>0</v>
      </c>
      <c r="J14" s="341">
        <v>0</v>
      </c>
      <c r="K14" s="341">
        <v>2.5000000000000001E-2</v>
      </c>
      <c r="L14" s="341">
        <v>0</v>
      </c>
      <c r="M14" s="341">
        <v>0.14399999999999999</v>
      </c>
      <c r="N14" s="341">
        <v>0</v>
      </c>
      <c r="O14" s="341"/>
      <c r="P14" s="304"/>
      <c r="Q14" s="1"/>
      <c r="R14" s="50"/>
      <c r="S14" s="91"/>
      <c r="T14" s="306"/>
    </row>
    <row r="15" spans="2:20">
      <c r="B15" s="49" t="s">
        <v>1215</v>
      </c>
      <c r="C15" s="10"/>
      <c r="D15" s="341"/>
      <c r="E15" s="341"/>
      <c r="F15" s="341"/>
      <c r="G15" s="341"/>
      <c r="H15" s="341"/>
      <c r="I15" s="341">
        <v>0</v>
      </c>
      <c r="J15" s="341">
        <v>0</v>
      </c>
      <c r="K15" s="341">
        <v>0</v>
      </c>
      <c r="L15" s="341">
        <v>0</v>
      </c>
      <c r="M15" s="341">
        <v>8.5000000000000006E-2</v>
      </c>
      <c r="N15" s="341">
        <v>0</v>
      </c>
      <c r="O15" s="341"/>
      <c r="P15" s="304"/>
      <c r="Q15" s="1"/>
      <c r="R15" s="50"/>
      <c r="S15" s="91"/>
      <c r="T15" s="306"/>
    </row>
    <row r="16" spans="2:20" ht="15" thickBot="1">
      <c r="B16" s="134" t="s">
        <v>1216</v>
      </c>
      <c r="C16" s="52"/>
      <c r="D16" s="342"/>
      <c r="E16" s="342"/>
      <c r="F16" s="342"/>
      <c r="G16" s="342">
        <f>SUM(G13:G15)</f>
        <v>-8.1999999999999962E-2</v>
      </c>
      <c r="H16" s="342">
        <f t="shared" ref="H16:I16" si="3">SUM(H13:H15)</f>
        <v>-0.84200000000000008</v>
      </c>
      <c r="I16" s="342">
        <f t="shared" si="3"/>
        <v>-2.7789999999999999</v>
      </c>
      <c r="J16" s="342">
        <f>SUM(J13:J15)</f>
        <v>-0.91</v>
      </c>
      <c r="K16" s="342">
        <f t="shared" ref="K16:O16" si="4">SUM(K13:K15)</f>
        <v>-0.96599999999999986</v>
      </c>
      <c r="L16" s="342">
        <f t="shared" si="4"/>
        <v>-0.82699999999999985</v>
      </c>
      <c r="M16" s="706">
        <f t="shared" si="4"/>
        <v>-0.44100000000000011</v>
      </c>
      <c r="N16" s="342">
        <f t="shared" si="4"/>
        <v>0.65500000000000003</v>
      </c>
      <c r="O16" s="342">
        <f t="shared" si="4"/>
        <v>0.55600000000000005</v>
      </c>
      <c r="P16" s="343"/>
      <c r="Q16" s="71"/>
      <c r="R16" s="53"/>
      <c r="S16" s="344"/>
      <c r="T16" s="312" t="s">
        <v>1217</v>
      </c>
    </row>
    <row r="17" spans="2:18" ht="15" thickBot="1">
      <c r="K17">
        <f>-0.966</f>
        <v>-0.96599999999999997</v>
      </c>
      <c r="L17">
        <v>-0.82699999999999996</v>
      </c>
    </row>
    <row r="18" spans="2:18" ht="15" thickBot="1">
      <c r="B18" s="47" t="s">
        <v>729</v>
      </c>
      <c r="C18" s="333" cm="1">
        <f t="array" ref="C18:R18">TRANSPOSE(Deflator_OBR!R102:R117)</f>
        <v>0</v>
      </c>
      <c r="D18" s="333">
        <v>0</v>
      </c>
      <c r="E18" s="333">
        <v>0</v>
      </c>
      <c r="F18" s="333">
        <v>0</v>
      </c>
      <c r="G18" s="333">
        <v>0</v>
      </c>
      <c r="H18" s="333">
        <v>0</v>
      </c>
      <c r="I18" s="333">
        <v>0</v>
      </c>
      <c r="J18" s="333">
        <v>0</v>
      </c>
      <c r="K18" s="333">
        <v>0</v>
      </c>
      <c r="L18" s="333">
        <v>0</v>
      </c>
      <c r="M18" s="333">
        <v>0</v>
      </c>
      <c r="N18" s="333">
        <v>0</v>
      </c>
      <c r="O18" s="333">
        <v>0</v>
      </c>
      <c r="P18" s="333">
        <v>0</v>
      </c>
      <c r="Q18" s="333">
        <v>0</v>
      </c>
      <c r="R18" s="347">
        <v>0</v>
      </c>
    </row>
    <row r="19" spans="2:18" ht="15" thickBot="1">
      <c r="B19" s="346"/>
      <c r="C19" s="345"/>
      <c r="D19" s="345"/>
      <c r="E19" s="345"/>
      <c r="F19" s="345"/>
      <c r="G19" s="345"/>
      <c r="H19" s="345"/>
      <c r="I19" s="345"/>
      <c r="J19" s="345"/>
      <c r="K19" s="345"/>
      <c r="L19" s="345"/>
      <c r="M19" s="345"/>
      <c r="N19" s="345"/>
      <c r="O19" s="345"/>
      <c r="P19" s="345"/>
      <c r="Q19" s="345"/>
      <c r="R19" s="345"/>
    </row>
    <row r="20" spans="2:18" ht="15" thickBot="1">
      <c r="B20" s="331" t="s">
        <v>730</v>
      </c>
      <c r="C20" s="326" t="s">
        <v>325</v>
      </c>
      <c r="D20" s="326" t="s">
        <v>188</v>
      </c>
      <c r="E20" s="326" t="s">
        <v>189</v>
      </c>
      <c r="F20" s="326" t="s">
        <v>681</v>
      </c>
      <c r="G20" s="326" t="s">
        <v>245</v>
      </c>
      <c r="H20" s="326" t="s">
        <v>192</v>
      </c>
      <c r="I20" s="326" t="s">
        <v>193</v>
      </c>
      <c r="J20" s="326" t="s">
        <v>165</v>
      </c>
      <c r="K20" s="326" t="s">
        <v>167</v>
      </c>
      <c r="L20" s="326" t="s">
        <v>168</v>
      </c>
      <c r="M20" s="326" t="s">
        <v>169</v>
      </c>
      <c r="N20" s="327" t="s">
        <v>170</v>
      </c>
      <c r="O20" s="327" t="s">
        <v>171</v>
      </c>
      <c r="P20" s="328" t="s">
        <v>172</v>
      </c>
      <c r="Q20" s="328" t="s">
        <v>173</v>
      </c>
      <c r="R20" s="332" t="s">
        <v>174</v>
      </c>
    </row>
    <row r="21" spans="2:18">
      <c r="B21" s="49"/>
      <c r="R21" s="306"/>
    </row>
    <row r="22" spans="2:18">
      <c r="B22" s="82" t="s">
        <v>1203</v>
      </c>
      <c r="C22" s="10"/>
      <c r="D22" s="10"/>
      <c r="E22" s="10"/>
      <c r="F22" s="10"/>
      <c r="G22" s="10"/>
      <c r="H22" s="10"/>
      <c r="I22" s="10"/>
      <c r="J22" s="10"/>
      <c r="K22" s="10"/>
      <c r="L22" s="10"/>
      <c r="M22" s="10"/>
      <c r="N22" s="10"/>
      <c r="O22" s="10"/>
      <c r="P22" s="10"/>
      <c r="Q22" s="10"/>
      <c r="R22" s="6"/>
    </row>
    <row r="23" spans="2:18">
      <c r="B23" s="49" t="s">
        <v>1205</v>
      </c>
      <c r="C23" s="10"/>
      <c r="D23" s="10"/>
      <c r="E23" s="10"/>
      <c r="F23" s="10"/>
      <c r="G23" s="10"/>
      <c r="H23" s="10"/>
      <c r="I23" s="10"/>
      <c r="J23" s="10"/>
      <c r="K23" s="10"/>
      <c r="L23" s="10"/>
      <c r="M23" s="10"/>
      <c r="N23" s="10"/>
      <c r="O23" s="10"/>
      <c r="P23" s="10"/>
      <c r="Q23" s="10"/>
      <c r="R23" s="6"/>
    </row>
    <row r="24" spans="2:18">
      <c r="B24" s="83" t="s">
        <v>1206</v>
      </c>
      <c r="C24" s="10"/>
      <c r="D24" s="10"/>
      <c r="E24" s="10"/>
      <c r="F24" s="10"/>
      <c r="G24" s="10" t="e">
        <f t="shared" ref="G24:O24" si="5">(G6/G$18)*$P$18</f>
        <v>#DIV/0!</v>
      </c>
      <c r="H24" s="10" t="e">
        <f t="shared" si="5"/>
        <v>#DIV/0!</v>
      </c>
      <c r="I24" s="10" t="e">
        <f t="shared" si="5"/>
        <v>#DIV/0!</v>
      </c>
      <c r="J24" s="10" t="e">
        <f t="shared" si="5"/>
        <v>#DIV/0!</v>
      </c>
      <c r="K24" s="10" t="e">
        <f t="shared" si="5"/>
        <v>#DIV/0!</v>
      </c>
      <c r="L24" s="10" t="e">
        <f t="shared" si="5"/>
        <v>#DIV/0!</v>
      </c>
      <c r="M24" s="10" t="e">
        <f t="shared" si="5"/>
        <v>#DIV/0!</v>
      </c>
      <c r="N24" s="10" t="e">
        <f t="shared" si="5"/>
        <v>#DIV/0!</v>
      </c>
      <c r="O24" s="10" t="e">
        <f t="shared" si="5"/>
        <v>#DIV/0!</v>
      </c>
      <c r="P24" s="10"/>
      <c r="Q24" s="10"/>
      <c r="R24" s="6"/>
    </row>
    <row r="25" spans="2:18">
      <c r="B25" s="49" t="s">
        <v>1207</v>
      </c>
      <c r="C25" s="10"/>
      <c r="D25" s="10"/>
      <c r="E25" s="10"/>
      <c r="F25" s="10"/>
      <c r="G25" s="10"/>
      <c r="H25" s="10"/>
      <c r="I25" s="10"/>
      <c r="J25" s="10"/>
      <c r="K25" s="10"/>
      <c r="L25" s="10"/>
      <c r="M25" s="10"/>
      <c r="N25" s="10"/>
      <c r="O25" s="10"/>
      <c r="P25" s="10"/>
      <c r="Q25" s="10"/>
      <c r="R25" s="6"/>
    </row>
    <row r="26" spans="2:18">
      <c r="B26" s="84" t="s">
        <v>1208</v>
      </c>
      <c r="C26" s="10"/>
      <c r="D26" s="10"/>
      <c r="E26" s="10"/>
      <c r="F26" s="10"/>
      <c r="G26" s="10" t="e">
        <f t="shared" ref="G26:O26" si="6">(G8/G$18)*$P$18</f>
        <v>#DIV/0!</v>
      </c>
      <c r="H26" s="10" t="e">
        <f t="shared" si="6"/>
        <v>#DIV/0!</v>
      </c>
      <c r="I26" s="10" t="e">
        <f t="shared" si="6"/>
        <v>#DIV/0!</v>
      </c>
      <c r="J26" s="10" t="e">
        <f t="shared" si="6"/>
        <v>#DIV/0!</v>
      </c>
      <c r="K26" s="10" t="e">
        <f t="shared" si="6"/>
        <v>#DIV/0!</v>
      </c>
      <c r="L26" s="10" t="e">
        <f t="shared" si="6"/>
        <v>#DIV/0!</v>
      </c>
      <c r="M26" s="10" t="e">
        <f t="shared" si="6"/>
        <v>#DIV/0!</v>
      </c>
      <c r="N26" s="10" t="e">
        <f t="shared" si="6"/>
        <v>#DIV/0!</v>
      </c>
      <c r="O26" s="10" t="e">
        <f t="shared" si="6"/>
        <v>#DIV/0!</v>
      </c>
      <c r="P26" s="10"/>
      <c r="Q26" s="10"/>
      <c r="R26" s="6"/>
    </row>
    <row r="27" spans="2:18">
      <c r="B27" s="49" t="s">
        <v>1209</v>
      </c>
      <c r="C27" s="10"/>
      <c r="D27" s="10"/>
      <c r="E27" s="10"/>
      <c r="F27" s="10"/>
      <c r="G27" s="10"/>
      <c r="H27" s="10"/>
      <c r="I27" s="10"/>
      <c r="J27" s="10"/>
      <c r="K27" s="10"/>
      <c r="L27" s="10"/>
      <c r="M27" s="10"/>
      <c r="N27" s="10"/>
      <c r="O27" s="10"/>
      <c r="P27" s="10"/>
      <c r="Q27" s="10"/>
      <c r="R27" s="6"/>
    </row>
    <row r="28" spans="2:18">
      <c r="B28" s="49" t="s">
        <v>1210</v>
      </c>
      <c r="C28" s="10"/>
      <c r="D28" s="10"/>
      <c r="E28" s="10"/>
      <c r="F28" s="10"/>
      <c r="G28" s="10"/>
      <c r="H28" s="10"/>
      <c r="I28" s="10"/>
      <c r="J28" s="10"/>
      <c r="K28" s="10"/>
      <c r="L28" s="10"/>
      <c r="M28" s="10"/>
      <c r="N28" s="10"/>
      <c r="O28" s="10"/>
      <c r="P28" s="10"/>
      <c r="Q28" s="10"/>
      <c r="R28" s="6"/>
    </row>
    <row r="29" spans="2:18" ht="15" thickBot="1">
      <c r="B29" s="134" t="s">
        <v>1218</v>
      </c>
      <c r="C29" s="52"/>
      <c r="D29" s="52"/>
      <c r="E29" s="52"/>
      <c r="F29" s="52"/>
      <c r="G29" s="52" t="e">
        <f>(G13/G$18)*$P$18</f>
        <v>#DIV/0!</v>
      </c>
      <c r="H29" s="52" t="e">
        <f t="shared" ref="H29:O29" si="7">(H13/H$18)*$P$18</f>
        <v>#DIV/0!</v>
      </c>
      <c r="I29" s="52" t="e">
        <f t="shared" si="7"/>
        <v>#DIV/0!</v>
      </c>
      <c r="J29" s="52" t="e">
        <f t="shared" si="7"/>
        <v>#DIV/0!</v>
      </c>
      <c r="K29" s="52" t="e">
        <f t="shared" si="7"/>
        <v>#DIV/0!</v>
      </c>
      <c r="L29" s="52" t="e">
        <f t="shared" si="7"/>
        <v>#DIV/0!</v>
      </c>
      <c r="M29" s="52" t="e">
        <f t="shared" si="7"/>
        <v>#DIV/0!</v>
      </c>
      <c r="N29" s="52" t="e">
        <f t="shared" si="7"/>
        <v>#DIV/0!</v>
      </c>
      <c r="O29" s="52" t="e">
        <f t="shared" si="7"/>
        <v>#DIV/0!</v>
      </c>
      <c r="P29" s="52"/>
      <c r="Q29" s="52"/>
      <c r="R29" s="70"/>
    </row>
    <row r="30" spans="2:18" ht="15" thickBot="1">
      <c r="C30" s="10"/>
      <c r="D30" s="10"/>
      <c r="E30" s="10"/>
      <c r="F30" s="10"/>
      <c r="G30" s="10"/>
      <c r="H30" s="10"/>
      <c r="I30" s="10"/>
      <c r="J30" s="10"/>
      <c r="K30" s="10"/>
      <c r="L30" s="10"/>
      <c r="M30" s="10"/>
      <c r="N30" s="10"/>
      <c r="O30" s="10"/>
      <c r="P30" s="10"/>
      <c r="Q30" s="10"/>
      <c r="R30" s="1"/>
    </row>
    <row r="31" spans="2:18" ht="15" thickBot="1">
      <c r="B31" s="331" t="s">
        <v>735</v>
      </c>
      <c r="C31" s="326" t="s">
        <v>325</v>
      </c>
      <c r="D31" s="326" t="s">
        <v>188</v>
      </c>
      <c r="E31" s="326" t="s">
        <v>189</v>
      </c>
      <c r="F31" s="326" t="s">
        <v>681</v>
      </c>
      <c r="G31" s="326" t="s">
        <v>245</v>
      </c>
      <c r="H31" s="326" t="s">
        <v>192</v>
      </c>
      <c r="I31" s="326" t="s">
        <v>193</v>
      </c>
      <c r="J31" s="326" t="s">
        <v>165</v>
      </c>
      <c r="K31" s="326" t="s">
        <v>167</v>
      </c>
      <c r="L31" s="326" t="s">
        <v>168</v>
      </c>
      <c r="M31" s="326" t="s">
        <v>169</v>
      </c>
      <c r="N31" s="327" t="s">
        <v>170</v>
      </c>
      <c r="O31" s="327" t="s">
        <v>171</v>
      </c>
      <c r="P31" s="328" t="s">
        <v>172</v>
      </c>
      <c r="Q31" s="328" t="s">
        <v>173</v>
      </c>
      <c r="R31" s="332" t="s">
        <v>174</v>
      </c>
    </row>
    <row r="32" spans="2:18">
      <c r="B32" s="49"/>
      <c r="R32" s="306"/>
    </row>
    <row r="33" spans="2:18">
      <c r="B33" s="82" t="s">
        <v>1203</v>
      </c>
      <c r="C33" s="1"/>
      <c r="D33" s="48"/>
      <c r="E33" s="48"/>
      <c r="F33" s="48"/>
      <c r="G33" s="48"/>
      <c r="H33" s="48"/>
      <c r="I33" s="48"/>
      <c r="J33" s="48"/>
      <c r="K33" s="48"/>
      <c r="L33" s="48"/>
      <c r="M33" s="48"/>
      <c r="N33" s="48"/>
      <c r="O33" s="48"/>
      <c r="P33" s="48"/>
      <c r="Q33" s="48"/>
      <c r="R33" s="69"/>
    </row>
    <row r="34" spans="2:18">
      <c r="B34" s="49" t="s">
        <v>1205</v>
      </c>
      <c r="C34" s="1"/>
      <c r="D34" s="48"/>
      <c r="E34" s="48"/>
      <c r="F34" s="48"/>
      <c r="G34" s="48"/>
      <c r="H34" s="48"/>
      <c r="I34" s="48"/>
      <c r="J34" s="48"/>
      <c r="K34" s="48"/>
      <c r="L34" s="48"/>
      <c r="M34" s="48"/>
      <c r="N34" s="48"/>
      <c r="O34" s="48"/>
      <c r="P34" s="48"/>
      <c r="Q34" s="48"/>
      <c r="R34" s="69"/>
    </row>
    <row r="35" spans="2:18">
      <c r="B35" s="83" t="s">
        <v>1206</v>
      </c>
      <c r="C35" s="1"/>
      <c r="D35" s="48"/>
      <c r="E35" s="48"/>
      <c r="F35" s="48"/>
      <c r="G35" s="48"/>
      <c r="H35" s="48" t="e">
        <f>H24/G24-1</f>
        <v>#DIV/0!</v>
      </c>
      <c r="I35" s="48" t="e">
        <f t="shared" ref="I35:M35" si="8">I24/H24-1</f>
        <v>#DIV/0!</v>
      </c>
      <c r="J35" s="48" t="e">
        <f t="shared" si="8"/>
        <v>#DIV/0!</v>
      </c>
      <c r="K35" s="48" t="e">
        <f t="shared" si="8"/>
        <v>#DIV/0!</v>
      </c>
      <c r="L35" s="48" t="e">
        <f t="shared" si="8"/>
        <v>#DIV/0!</v>
      </c>
      <c r="M35" s="48" t="e">
        <f t="shared" si="8"/>
        <v>#DIV/0!</v>
      </c>
      <c r="N35" s="48" t="e">
        <f t="shared" ref="N35" si="9">N24/M24-1</f>
        <v>#DIV/0!</v>
      </c>
      <c r="O35" s="48" t="e">
        <f t="shared" ref="O35" si="10">O24/N24-1</f>
        <v>#DIV/0!</v>
      </c>
      <c r="P35" s="48"/>
      <c r="Q35" s="48"/>
      <c r="R35" s="69"/>
    </row>
    <row r="36" spans="2:18">
      <c r="B36" s="49" t="s">
        <v>1207</v>
      </c>
      <c r="C36" s="1"/>
      <c r="D36" s="48"/>
      <c r="E36" s="48"/>
      <c r="F36" s="48"/>
      <c r="G36" s="48"/>
      <c r="H36" s="48"/>
      <c r="I36" s="48"/>
      <c r="J36" s="48"/>
      <c r="K36" s="48"/>
      <c r="L36" s="48"/>
      <c r="M36" s="48"/>
      <c r="N36" s="48"/>
      <c r="O36" s="48"/>
      <c r="P36" s="48"/>
      <c r="Q36" s="48"/>
      <c r="R36" s="69"/>
    </row>
    <row r="37" spans="2:18">
      <c r="B37" s="84" t="s">
        <v>1208</v>
      </c>
      <c r="C37" s="1"/>
      <c r="D37" s="48"/>
      <c r="E37" s="48"/>
      <c r="F37" s="48"/>
      <c r="G37" s="48"/>
      <c r="H37" s="48" t="e">
        <f t="shared" ref="H37:M37" si="11">H26/G26-1</f>
        <v>#DIV/0!</v>
      </c>
      <c r="I37" s="48" t="e">
        <f t="shared" si="11"/>
        <v>#DIV/0!</v>
      </c>
      <c r="J37" s="48" t="e">
        <f t="shared" si="11"/>
        <v>#DIV/0!</v>
      </c>
      <c r="K37" s="48" t="e">
        <f t="shared" si="11"/>
        <v>#DIV/0!</v>
      </c>
      <c r="L37" s="48" t="e">
        <f t="shared" si="11"/>
        <v>#DIV/0!</v>
      </c>
      <c r="M37" s="48" t="e">
        <f t="shared" si="11"/>
        <v>#DIV/0!</v>
      </c>
      <c r="N37" s="48" t="e">
        <f t="shared" ref="N37" si="12">N26/M26-1</f>
        <v>#DIV/0!</v>
      </c>
      <c r="O37" s="48" t="e">
        <f t="shared" ref="O37" si="13">O26/N26-1</f>
        <v>#DIV/0!</v>
      </c>
      <c r="P37" s="48"/>
      <c r="Q37" s="48"/>
      <c r="R37" s="69"/>
    </row>
    <row r="38" spans="2:18">
      <c r="B38" s="49" t="s">
        <v>1209</v>
      </c>
      <c r="C38" s="1"/>
      <c r="D38" s="48"/>
      <c r="E38" s="48"/>
      <c r="F38" s="48"/>
      <c r="G38" s="48"/>
      <c r="H38" s="48"/>
      <c r="I38" s="48"/>
      <c r="J38" s="48"/>
      <c r="K38" s="48"/>
      <c r="L38" s="48"/>
      <c r="M38" s="48"/>
      <c r="N38" s="48"/>
      <c r="O38" s="48"/>
      <c r="P38" s="48"/>
      <c r="Q38" s="48"/>
      <c r="R38" s="69"/>
    </row>
    <row r="39" spans="2:18">
      <c r="B39" s="49" t="s">
        <v>1210</v>
      </c>
      <c r="C39" s="1"/>
      <c r="D39" s="48"/>
      <c r="E39" s="48"/>
      <c r="F39" s="48"/>
      <c r="G39" s="48"/>
      <c r="H39" s="48"/>
      <c r="I39" s="48"/>
      <c r="J39" s="48"/>
      <c r="K39" s="48"/>
      <c r="L39" s="48"/>
      <c r="M39" s="48"/>
      <c r="N39" s="48"/>
      <c r="O39" s="48"/>
      <c r="P39" s="48"/>
      <c r="Q39" s="48"/>
      <c r="R39" s="69"/>
    </row>
    <row r="40" spans="2:18" ht="15" thickBot="1">
      <c r="B40" s="134" t="s">
        <v>1218</v>
      </c>
      <c r="C40" s="71"/>
      <c r="D40" s="68"/>
      <c r="E40" s="68"/>
      <c r="F40" s="68"/>
      <c r="G40" s="68"/>
      <c r="H40" s="68" t="e">
        <f>H29/G29-1</f>
        <v>#DIV/0!</v>
      </c>
      <c r="I40" s="68" t="e">
        <f t="shared" ref="I40:M40" si="14">I29/H29-1</f>
        <v>#DIV/0!</v>
      </c>
      <c r="J40" s="68" t="e">
        <f t="shared" si="14"/>
        <v>#DIV/0!</v>
      </c>
      <c r="K40" s="68" t="e">
        <f t="shared" si="14"/>
        <v>#DIV/0!</v>
      </c>
      <c r="L40" s="68" t="e">
        <f t="shared" si="14"/>
        <v>#DIV/0!</v>
      </c>
      <c r="M40" s="68" t="e">
        <f t="shared" si="14"/>
        <v>#DIV/0!</v>
      </c>
      <c r="N40" s="68" t="e">
        <f>N29/M29-1</f>
        <v>#DIV/0!</v>
      </c>
      <c r="O40" s="68" t="e">
        <f t="shared" ref="O40" si="15">O29/N29-1</f>
        <v>#DIV/0!</v>
      </c>
      <c r="P40" s="68"/>
      <c r="Q40" s="68"/>
      <c r="R40" s="348"/>
    </row>
  </sheetData>
  <conditionalFormatting sqref="G11:O16">
    <cfRule type="cellIs" dxfId="10" priority="1" operator="greaterThan">
      <formula>0</formula>
    </cfRule>
    <cfRule type="cellIs" dxfId="9" priority="2" operator="lessThan">
      <formula>0</formula>
    </cfRule>
  </conditionalFormatting>
  <hyperlinks>
    <hyperlink ref="S4" r:id="rId1" xr:uid="{CCD0BCCB-6D4C-4009-9CDA-06B6CA126E6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568B0-B5C6-41BF-9DFF-47A9699EA518}">
  <dimension ref="B1:T50"/>
  <sheetViews>
    <sheetView topLeftCell="B1" zoomScale="85" zoomScaleNormal="85" workbookViewId="0">
      <selection activeCell="B18" sqref="B18"/>
    </sheetView>
  </sheetViews>
  <sheetFormatPr defaultRowHeight="14.5"/>
  <cols>
    <col min="2" max="2" width="51.54296875" bestFit="1" customWidth="1"/>
    <col min="3" max="5" width="7.54296875" bestFit="1" customWidth="1"/>
    <col min="6" max="6" width="8.1796875" bestFit="1" customWidth="1"/>
    <col min="7" max="7" width="8.54296875" bestFit="1" customWidth="1"/>
    <col min="8" max="8" width="7.54296875" bestFit="1" customWidth="1"/>
    <col min="9" max="15" width="10.453125" bestFit="1" customWidth="1"/>
    <col min="16" max="16" width="9.1796875" bestFit="1" customWidth="1"/>
    <col min="17" max="18" width="7.54296875" bestFit="1" customWidth="1"/>
  </cols>
  <sheetData>
    <row r="1" spans="2:20" ht="15" thickBot="1"/>
    <row r="2" spans="2:20" ht="15" thickBot="1">
      <c r="B2" s="331" t="s">
        <v>653</v>
      </c>
      <c r="C2" s="326" t="s">
        <v>325</v>
      </c>
      <c r="D2" s="326" t="s">
        <v>188</v>
      </c>
      <c r="E2" s="326" t="s">
        <v>189</v>
      </c>
      <c r="F2" s="326" t="s">
        <v>681</v>
      </c>
      <c r="G2" s="326" t="s">
        <v>245</v>
      </c>
      <c r="H2" s="326" t="s">
        <v>192</v>
      </c>
      <c r="I2" s="326" t="s">
        <v>193</v>
      </c>
      <c r="J2" s="326" t="s">
        <v>165</v>
      </c>
      <c r="K2" s="326" t="s">
        <v>167</v>
      </c>
      <c r="L2" s="326" t="s">
        <v>168</v>
      </c>
      <c r="M2" s="326" t="s">
        <v>169</v>
      </c>
      <c r="N2" s="327" t="s">
        <v>170</v>
      </c>
      <c r="O2" s="327" t="s">
        <v>171</v>
      </c>
      <c r="P2" s="328" t="s">
        <v>172</v>
      </c>
      <c r="Q2" s="328" t="s">
        <v>173</v>
      </c>
      <c r="R2" s="332" t="s">
        <v>174</v>
      </c>
      <c r="S2" s="92" t="s">
        <v>18</v>
      </c>
      <c r="T2" s="92" t="s">
        <v>181</v>
      </c>
    </row>
    <row r="3" spans="2:20">
      <c r="B3" s="49"/>
      <c r="O3" s="474"/>
      <c r="R3" s="306"/>
      <c r="S3" s="91"/>
      <c r="T3" s="91"/>
    </row>
    <row r="4" spans="2:20">
      <c r="B4" s="82" t="s">
        <v>1219</v>
      </c>
      <c r="C4" s="10"/>
      <c r="D4" s="10"/>
      <c r="E4" s="10"/>
      <c r="F4" s="10"/>
      <c r="G4" s="10"/>
      <c r="H4" s="10"/>
      <c r="I4" s="350"/>
      <c r="J4" s="304"/>
      <c r="K4" s="304"/>
      <c r="L4" s="304"/>
      <c r="M4" s="304"/>
      <c r="N4" s="475"/>
      <c r="O4" s="475"/>
      <c r="P4" s="475"/>
      <c r="Q4" s="1"/>
      <c r="R4" s="50"/>
      <c r="S4" s="95" t="s">
        <v>1220</v>
      </c>
      <c r="T4" s="87"/>
    </row>
    <row r="5" spans="2:20">
      <c r="B5" s="49" t="s">
        <v>1221</v>
      </c>
      <c r="C5" s="10"/>
      <c r="D5" s="10"/>
      <c r="E5" s="10"/>
      <c r="F5" s="10"/>
      <c r="G5" s="1"/>
      <c r="H5" s="1"/>
      <c r="I5" s="10">
        <v>9.148299999999999</v>
      </c>
      <c r="J5" s="10">
        <v>9.7227999999999994</v>
      </c>
      <c r="K5" s="10">
        <v>10.079600000000001</v>
      </c>
      <c r="L5" s="51">
        <v>10.558998449262001</v>
      </c>
      <c r="M5" s="51">
        <v>11.267778340445</v>
      </c>
      <c r="N5" s="351">
        <v>12.092830601999999</v>
      </c>
      <c r="O5" s="478">
        <v>12.680741420216901</v>
      </c>
      <c r="P5" s="478">
        <v>13.641999999999999</v>
      </c>
      <c r="Q5" s="985">
        <v>14.412000000000001</v>
      </c>
      <c r="R5" s="50">
        <f>Q5-L5</f>
        <v>3.853001550738</v>
      </c>
      <c r="S5" s="91"/>
      <c r="T5" s="91" t="s">
        <v>1222</v>
      </c>
    </row>
    <row r="6" spans="2:20">
      <c r="B6" s="49" t="s">
        <v>1223</v>
      </c>
      <c r="C6" s="10"/>
      <c r="D6" s="10"/>
      <c r="E6" s="10"/>
      <c r="F6" s="10"/>
      <c r="G6" s="1"/>
      <c r="H6" s="1"/>
      <c r="I6" s="10">
        <v>1.8306</v>
      </c>
      <c r="J6" s="10">
        <v>1.8791</v>
      </c>
      <c r="K6" s="10">
        <v>1.8963999999999996</v>
      </c>
      <c r="L6" s="51">
        <v>1.9541999999999999</v>
      </c>
      <c r="M6" s="51">
        <v>2.0569999999999999</v>
      </c>
      <c r="N6" s="351">
        <v>2.2210000000000001</v>
      </c>
      <c r="O6" s="478">
        <v>2.254</v>
      </c>
      <c r="P6" s="478">
        <v>2.3340000000000001</v>
      </c>
      <c r="Q6" s="985">
        <v>2.4020000000000001</v>
      </c>
      <c r="R6" s="50"/>
      <c r="S6" s="91"/>
      <c r="T6" s="91"/>
    </row>
    <row r="7" spans="2:20">
      <c r="B7" s="49" t="s">
        <v>1224</v>
      </c>
      <c r="C7" s="10"/>
      <c r="D7" s="10"/>
      <c r="E7" s="10"/>
      <c r="F7" s="10"/>
      <c r="G7" s="1"/>
      <c r="H7" s="1"/>
      <c r="I7" s="10">
        <f>SUM(I5:I6)</f>
        <v>10.978899999999999</v>
      </c>
      <c r="J7" s="10">
        <f t="shared" ref="J7:Q7" si="0">SUM(J5:J6)</f>
        <v>11.601899999999999</v>
      </c>
      <c r="K7" s="10">
        <f t="shared" si="0"/>
        <v>11.976000000000001</v>
      </c>
      <c r="L7" s="10">
        <f t="shared" si="0"/>
        <v>12.513198449262001</v>
      </c>
      <c r="M7" s="10">
        <f t="shared" si="0"/>
        <v>13.324778340445</v>
      </c>
      <c r="N7" s="10">
        <f t="shared" si="0"/>
        <v>14.313830601999999</v>
      </c>
      <c r="O7" s="10">
        <f t="shared" si="0"/>
        <v>14.9347414202169</v>
      </c>
      <c r="P7" s="10">
        <f t="shared" si="0"/>
        <v>15.975999999999999</v>
      </c>
      <c r="Q7" s="986">
        <f t="shared" si="0"/>
        <v>16.814</v>
      </c>
      <c r="R7" s="50"/>
      <c r="S7" s="91"/>
      <c r="T7" s="91"/>
    </row>
    <row r="8" spans="2:20">
      <c r="B8" s="49" t="s">
        <v>1225</v>
      </c>
      <c r="C8" s="1"/>
      <c r="D8" s="1"/>
      <c r="E8" s="1"/>
      <c r="F8" s="1"/>
      <c r="G8" s="1"/>
      <c r="H8" s="1"/>
      <c r="I8" s="352">
        <v>0.13100000000000001</v>
      </c>
      <c r="J8" s="352">
        <v>0.13600000000000001</v>
      </c>
      <c r="K8" s="352">
        <v>0.13700000000000001</v>
      </c>
      <c r="L8" s="352">
        <v>0.13800000000000001</v>
      </c>
      <c r="M8" s="352">
        <v>0.14000000000000001</v>
      </c>
      <c r="N8" s="352">
        <v>0.14765462432112933</v>
      </c>
      <c r="O8" s="476">
        <v>0.13772932635658627</v>
      </c>
      <c r="P8" s="476">
        <v>0.14000000000000001</v>
      </c>
      <c r="Q8" s="985">
        <v>14.2</v>
      </c>
      <c r="R8" s="50"/>
      <c r="S8" s="91"/>
      <c r="T8" s="91"/>
    </row>
    <row r="9" spans="2:20">
      <c r="B9" s="49" t="s">
        <v>1226</v>
      </c>
      <c r="C9" s="1"/>
      <c r="D9" s="1"/>
      <c r="E9" s="1"/>
      <c r="F9" s="1"/>
      <c r="G9" s="1"/>
      <c r="H9" s="1"/>
      <c r="I9" s="51" t="s">
        <v>82</v>
      </c>
      <c r="J9" s="51" t="s">
        <v>82</v>
      </c>
      <c r="K9" s="51" t="s">
        <v>82</v>
      </c>
      <c r="L9" s="51" t="s">
        <v>82</v>
      </c>
      <c r="M9" s="51" t="s">
        <v>82</v>
      </c>
      <c r="N9" s="304" t="s">
        <v>82</v>
      </c>
      <c r="O9" s="304" t="s">
        <v>82</v>
      </c>
      <c r="P9" s="304" t="s">
        <v>589</v>
      </c>
      <c r="Q9" s="985" t="s">
        <v>82</v>
      </c>
      <c r="R9" s="50"/>
      <c r="S9" s="91"/>
      <c r="T9" s="91" t="s">
        <v>1227</v>
      </c>
    </row>
    <row r="10" spans="2:20">
      <c r="B10" s="49" t="s">
        <v>1228</v>
      </c>
      <c r="C10" s="1"/>
      <c r="D10" s="1"/>
      <c r="E10" s="1"/>
      <c r="F10" s="1"/>
      <c r="G10" s="1"/>
      <c r="H10" s="1"/>
      <c r="I10" s="353" t="s">
        <v>1229</v>
      </c>
      <c r="J10" s="353" t="s">
        <v>1230</v>
      </c>
      <c r="K10" s="353" t="s">
        <v>1231</v>
      </c>
      <c r="L10" s="353" t="s">
        <v>1232</v>
      </c>
      <c r="M10" s="353" t="s">
        <v>1233</v>
      </c>
      <c r="N10" s="354" t="s">
        <v>1234</v>
      </c>
      <c r="O10" s="354" t="s">
        <v>1235</v>
      </c>
      <c r="P10" s="984" t="s">
        <v>1236</v>
      </c>
      <c r="Q10" s="987" t="s">
        <v>1237</v>
      </c>
      <c r="R10" s="50"/>
      <c r="S10" s="90"/>
      <c r="T10" s="90"/>
    </row>
    <row r="11" spans="2:20" ht="15" thickBot="1">
      <c r="B11" s="134" t="s">
        <v>1238</v>
      </c>
      <c r="C11" s="71"/>
      <c r="D11" s="71"/>
      <c r="E11" s="71"/>
      <c r="F11" s="71"/>
      <c r="G11" s="71"/>
      <c r="H11" s="71"/>
      <c r="I11" s="323">
        <v>0.81</v>
      </c>
      <c r="J11" s="323">
        <v>0.85</v>
      </c>
      <c r="K11" s="323">
        <v>0.9</v>
      </c>
      <c r="L11" s="323">
        <v>0.91795000000000004</v>
      </c>
      <c r="M11" s="323">
        <v>0.96335078534031415</v>
      </c>
      <c r="N11" s="323">
        <v>1</v>
      </c>
      <c r="O11" s="477">
        <v>1</v>
      </c>
      <c r="P11" s="477">
        <v>0.97599999999999998</v>
      </c>
      <c r="Q11" s="988">
        <v>1</v>
      </c>
      <c r="R11" s="53"/>
      <c r="S11" s="325"/>
      <c r="T11" s="325"/>
    </row>
    <row r="12" spans="2:20" ht="15" thickBot="1"/>
    <row r="13" spans="2:20" ht="15" thickBot="1">
      <c r="B13" s="47" t="s">
        <v>729</v>
      </c>
      <c r="C13" s="333" cm="1">
        <f t="array" ref="C13:R13">TRANSPOSE(Deflator_OBR!R102:R117)</f>
        <v>0</v>
      </c>
      <c r="D13" s="333">
        <v>0</v>
      </c>
      <c r="E13" s="333">
        <v>0</v>
      </c>
      <c r="F13" s="333">
        <v>0</v>
      </c>
      <c r="G13" s="333">
        <v>0</v>
      </c>
      <c r="H13" s="333">
        <v>0</v>
      </c>
      <c r="I13" s="333">
        <v>0</v>
      </c>
      <c r="J13" s="333">
        <v>0</v>
      </c>
      <c r="K13" s="333">
        <v>0</v>
      </c>
      <c r="L13" s="333">
        <v>0</v>
      </c>
      <c r="M13" s="333">
        <v>0</v>
      </c>
      <c r="N13" s="333">
        <v>0</v>
      </c>
      <c r="O13" s="333">
        <v>0</v>
      </c>
      <c r="P13" s="333">
        <v>0</v>
      </c>
      <c r="Q13" s="333">
        <v>0</v>
      </c>
      <c r="R13" s="347">
        <v>0</v>
      </c>
    </row>
    <row r="14" spans="2:20" ht="15" thickBot="1"/>
    <row r="15" spans="2:20" ht="15" thickBot="1">
      <c r="B15" s="331" t="s">
        <v>730</v>
      </c>
      <c r="C15" s="326" t="s">
        <v>325</v>
      </c>
      <c r="D15" s="326" t="s">
        <v>188</v>
      </c>
      <c r="E15" s="326" t="s">
        <v>189</v>
      </c>
      <c r="F15" s="326" t="s">
        <v>681</v>
      </c>
      <c r="G15" s="326" t="s">
        <v>245</v>
      </c>
      <c r="H15" s="326" t="s">
        <v>192</v>
      </c>
      <c r="I15" s="326" t="s">
        <v>193</v>
      </c>
      <c r="J15" s="326" t="s">
        <v>165</v>
      </c>
      <c r="K15" s="326" t="s">
        <v>167</v>
      </c>
      <c r="L15" s="326" t="s">
        <v>168</v>
      </c>
      <c r="M15" s="326" t="s">
        <v>169</v>
      </c>
      <c r="N15" s="327" t="s">
        <v>170</v>
      </c>
      <c r="O15" s="327" t="s">
        <v>171</v>
      </c>
      <c r="P15" s="328" t="s">
        <v>172</v>
      </c>
      <c r="Q15" s="328" t="s">
        <v>173</v>
      </c>
      <c r="R15" s="332" t="s">
        <v>174</v>
      </c>
    </row>
    <row r="16" spans="2:20">
      <c r="B16" s="49"/>
      <c r="R16" s="306"/>
    </row>
    <row r="17" spans="2:20">
      <c r="B17" s="82" t="s">
        <v>1219</v>
      </c>
      <c r="C17" s="10"/>
      <c r="D17" s="10"/>
      <c r="E17" s="10"/>
      <c r="F17" s="10"/>
      <c r="G17" s="10"/>
      <c r="H17" s="10"/>
      <c r="I17" s="10"/>
      <c r="J17" s="10"/>
      <c r="K17" s="10"/>
      <c r="L17" s="1"/>
      <c r="M17" s="29"/>
      <c r="N17" s="10"/>
      <c r="O17" s="1"/>
      <c r="P17" s="10"/>
      <c r="Q17" s="10"/>
      <c r="R17" s="99"/>
    </row>
    <row r="18" spans="2:20">
      <c r="B18" s="49" t="s">
        <v>1221</v>
      </c>
      <c r="C18" s="10"/>
      <c r="D18" s="10"/>
      <c r="E18" s="10"/>
      <c r="F18" s="10"/>
      <c r="G18" s="10"/>
      <c r="H18" s="10"/>
      <c r="I18" s="10" t="e">
        <f>(I5/I$13)*$P$13</f>
        <v>#DIV/0!</v>
      </c>
      <c r="J18" s="10" t="e">
        <f t="shared" ref="J18:Q18" si="1">(J5/J$13)*$P$13</f>
        <v>#DIV/0!</v>
      </c>
      <c r="K18" s="10" t="e">
        <f t="shared" si="1"/>
        <v>#DIV/0!</v>
      </c>
      <c r="L18" s="10" t="e">
        <f t="shared" si="1"/>
        <v>#DIV/0!</v>
      </c>
      <c r="M18" s="10" t="e">
        <f t="shared" si="1"/>
        <v>#DIV/0!</v>
      </c>
      <c r="N18" s="10" t="e">
        <f t="shared" si="1"/>
        <v>#DIV/0!</v>
      </c>
      <c r="O18" s="10" t="e">
        <f t="shared" si="1"/>
        <v>#DIV/0!</v>
      </c>
      <c r="P18" s="10" t="e">
        <f t="shared" si="1"/>
        <v>#DIV/0!</v>
      </c>
      <c r="Q18" s="10" t="e">
        <f t="shared" si="1"/>
        <v>#DIV/0!</v>
      </c>
      <c r="R18" s="992" t="e">
        <f>Q18-L18</f>
        <v>#DIV/0!</v>
      </c>
      <c r="T18" s="98" t="e">
        <f>(Q18/L18)^(1/COUNTA(M18:Q18))-1</f>
        <v>#DIV/0!</v>
      </c>
    </row>
    <row r="19" spans="2:20">
      <c r="B19" s="49" t="s">
        <v>1223</v>
      </c>
      <c r="C19" s="10"/>
      <c r="D19" s="10"/>
      <c r="E19" s="10"/>
      <c r="F19" s="10"/>
      <c r="G19" s="10"/>
      <c r="H19" s="10"/>
      <c r="I19" s="10" t="e">
        <f t="shared" ref="I19" si="2">(I6/I$13)*$P$13</f>
        <v>#DIV/0!</v>
      </c>
      <c r="J19" s="10" t="e">
        <f t="shared" ref="J19:Q19" si="3">(J6/J$13)*$P$13</f>
        <v>#DIV/0!</v>
      </c>
      <c r="K19" s="10" t="e">
        <f t="shared" si="3"/>
        <v>#DIV/0!</v>
      </c>
      <c r="L19" s="10" t="e">
        <f t="shared" si="3"/>
        <v>#DIV/0!</v>
      </c>
      <c r="M19" s="10" t="e">
        <f t="shared" si="3"/>
        <v>#DIV/0!</v>
      </c>
      <c r="N19" s="10" t="e">
        <f t="shared" si="3"/>
        <v>#DIV/0!</v>
      </c>
      <c r="O19" s="10" t="e">
        <f t="shared" si="3"/>
        <v>#DIV/0!</v>
      </c>
      <c r="P19" s="10" t="e">
        <f t="shared" si="3"/>
        <v>#DIV/0!</v>
      </c>
      <c r="Q19" s="10" t="e">
        <f t="shared" si="3"/>
        <v>#DIV/0!</v>
      </c>
      <c r="R19" s="6"/>
      <c r="T19" s="98" t="e">
        <f t="shared" ref="T19:T20" si="4">(Q19/L19)^(1/COUNTA(M19:Q19))-1</f>
        <v>#DIV/0!</v>
      </c>
    </row>
    <row r="20" spans="2:20">
      <c r="B20" s="49" t="s">
        <v>1224</v>
      </c>
      <c r="C20" s="10"/>
      <c r="D20" s="10"/>
      <c r="E20" s="10"/>
      <c r="F20" s="10"/>
      <c r="G20" s="10"/>
      <c r="H20" s="10"/>
      <c r="I20" s="10" t="e">
        <f t="shared" ref="I20" si="5">(I7/I$13)*$P$13</f>
        <v>#DIV/0!</v>
      </c>
      <c r="J20" s="10" t="e">
        <f t="shared" ref="J20:Q20" si="6">(J7/J$13)*$P$13</f>
        <v>#DIV/0!</v>
      </c>
      <c r="K20" s="10" t="e">
        <f t="shared" si="6"/>
        <v>#DIV/0!</v>
      </c>
      <c r="L20" s="10" t="e">
        <f t="shared" si="6"/>
        <v>#DIV/0!</v>
      </c>
      <c r="M20" s="10" t="e">
        <f t="shared" si="6"/>
        <v>#DIV/0!</v>
      </c>
      <c r="N20" s="10" t="e">
        <f t="shared" si="6"/>
        <v>#DIV/0!</v>
      </c>
      <c r="O20" s="10" t="e">
        <f t="shared" si="6"/>
        <v>#DIV/0!</v>
      </c>
      <c r="P20" s="10" t="e">
        <f t="shared" si="6"/>
        <v>#DIV/0!</v>
      </c>
      <c r="Q20" s="10" t="e">
        <f t="shared" si="6"/>
        <v>#DIV/0!</v>
      </c>
      <c r="R20" s="6"/>
      <c r="T20" s="98" t="e">
        <f t="shared" si="4"/>
        <v>#DIV/0!</v>
      </c>
    </row>
    <row r="21" spans="2:20">
      <c r="B21" s="49" t="s">
        <v>1225</v>
      </c>
      <c r="C21" s="10"/>
      <c r="D21" s="10"/>
      <c r="E21" s="10"/>
      <c r="F21" s="10"/>
      <c r="G21" s="10"/>
      <c r="H21" s="10"/>
      <c r="I21" s="10"/>
      <c r="J21" s="10"/>
      <c r="K21" s="10"/>
      <c r="L21" s="10"/>
      <c r="M21" s="10"/>
      <c r="N21" s="10"/>
      <c r="O21" s="10"/>
      <c r="P21" s="10"/>
      <c r="Q21" s="10"/>
      <c r="R21" s="6"/>
    </row>
    <row r="22" spans="2:20">
      <c r="B22" s="49" t="s">
        <v>1226</v>
      </c>
      <c r="C22" s="10"/>
      <c r="D22" s="10"/>
      <c r="E22" s="10"/>
      <c r="F22" s="10"/>
      <c r="G22" s="10"/>
      <c r="H22" s="10"/>
      <c r="I22" s="10"/>
      <c r="J22" s="10"/>
      <c r="K22" s="10"/>
      <c r="L22" s="10"/>
      <c r="M22" s="10"/>
      <c r="N22" s="10"/>
      <c r="O22" s="10"/>
      <c r="P22" s="10"/>
      <c r="Q22" s="10"/>
      <c r="R22" s="6"/>
    </row>
    <row r="23" spans="2:20">
      <c r="B23" s="49" t="s">
        <v>1228</v>
      </c>
      <c r="C23" s="10"/>
      <c r="D23" s="10"/>
      <c r="E23" s="10"/>
      <c r="F23" s="10"/>
      <c r="G23" s="10"/>
      <c r="H23" s="10"/>
      <c r="I23" s="10"/>
      <c r="J23" s="10"/>
      <c r="K23" s="10"/>
      <c r="L23" s="10"/>
      <c r="M23" s="10"/>
      <c r="N23" s="10"/>
      <c r="O23" s="10"/>
      <c r="P23" s="10"/>
      <c r="Q23" s="10"/>
      <c r="R23" s="6"/>
    </row>
    <row r="24" spans="2:20" ht="15" thickBot="1">
      <c r="B24" s="134" t="s">
        <v>1238</v>
      </c>
      <c r="C24" s="52"/>
      <c r="D24" s="52"/>
      <c r="E24" s="52"/>
      <c r="F24" s="52"/>
      <c r="G24" s="52"/>
      <c r="H24" s="52"/>
      <c r="I24" s="52"/>
      <c r="J24" s="52"/>
      <c r="K24" s="52"/>
      <c r="L24" s="52"/>
      <c r="M24" s="52"/>
      <c r="N24" s="52"/>
      <c r="O24" s="52"/>
      <c r="P24" s="52"/>
      <c r="Q24" s="52"/>
      <c r="R24" s="70"/>
    </row>
    <row r="25" spans="2:20" ht="15" thickBot="1"/>
    <row r="26" spans="2:20" ht="15" thickBot="1">
      <c r="B26" s="331" t="s">
        <v>735</v>
      </c>
      <c r="C26" s="326" t="s">
        <v>325</v>
      </c>
      <c r="D26" s="326" t="s">
        <v>188</v>
      </c>
      <c r="E26" s="326" t="s">
        <v>189</v>
      </c>
      <c r="F26" s="326" t="s">
        <v>681</v>
      </c>
      <c r="G26" s="326" t="s">
        <v>245</v>
      </c>
      <c r="H26" s="326" t="s">
        <v>192</v>
      </c>
      <c r="I26" s="326" t="s">
        <v>193</v>
      </c>
      <c r="J26" s="326" t="s">
        <v>165</v>
      </c>
      <c r="K26" s="326" t="s">
        <v>167</v>
      </c>
      <c r="L26" s="326" t="s">
        <v>168</v>
      </c>
      <c r="M26" s="326" t="s">
        <v>169</v>
      </c>
      <c r="N26" s="327" t="s">
        <v>170</v>
      </c>
      <c r="O26" s="328" t="s">
        <v>171</v>
      </c>
      <c r="P26" s="328" t="s">
        <v>172</v>
      </c>
      <c r="Q26" s="328" t="s">
        <v>173</v>
      </c>
      <c r="R26" s="332" t="s">
        <v>174</v>
      </c>
    </row>
    <row r="27" spans="2:20">
      <c r="B27" s="49"/>
      <c r="R27" s="306"/>
    </row>
    <row r="28" spans="2:20">
      <c r="B28" s="82" t="s">
        <v>1219</v>
      </c>
      <c r="C28" s="1"/>
      <c r="D28" s="48"/>
      <c r="E28" s="48"/>
      <c r="F28" s="48"/>
      <c r="G28" s="48"/>
      <c r="H28" s="48"/>
      <c r="I28" s="48"/>
      <c r="J28" s="48"/>
      <c r="K28" s="48"/>
      <c r="L28" s="48"/>
      <c r="M28" s="48"/>
      <c r="N28" s="48"/>
      <c r="O28" s="48"/>
      <c r="P28" s="48"/>
      <c r="Q28" s="48"/>
      <c r="R28" s="69"/>
    </row>
    <row r="29" spans="2:20">
      <c r="B29" s="49" t="s">
        <v>1221</v>
      </c>
      <c r="C29" s="1"/>
      <c r="D29" s="48"/>
      <c r="E29" s="48"/>
      <c r="F29" s="48"/>
      <c r="G29" s="48"/>
      <c r="H29" s="48"/>
      <c r="I29" s="48"/>
      <c r="J29" s="48" t="e">
        <f>J18/I18-1</f>
        <v>#DIV/0!</v>
      </c>
      <c r="K29" s="48" t="e">
        <f t="shared" ref="K29:M29" si="7">K18/J18-1</f>
        <v>#DIV/0!</v>
      </c>
      <c r="L29" s="48" t="e">
        <f t="shared" si="7"/>
        <v>#DIV/0!</v>
      </c>
      <c r="M29" s="48" t="e">
        <f t="shared" si="7"/>
        <v>#DIV/0!</v>
      </c>
      <c r="N29" s="48" t="e">
        <f t="shared" ref="N29:N31" si="8">N18/M18-1</f>
        <v>#DIV/0!</v>
      </c>
      <c r="O29" s="48" t="e">
        <f t="shared" ref="O29:O31" si="9">O18/N18-1</f>
        <v>#DIV/0!</v>
      </c>
      <c r="P29" s="48" t="e">
        <f t="shared" ref="P29:P31" si="10">P18/O18-1</f>
        <v>#DIV/0!</v>
      </c>
      <c r="Q29" s="48" t="e">
        <f t="shared" ref="Q29:Q31" si="11">Q18/P18-1</f>
        <v>#DIV/0!</v>
      </c>
      <c r="R29" s="69"/>
    </row>
    <row r="30" spans="2:20">
      <c r="B30" s="49" t="s">
        <v>1223</v>
      </c>
      <c r="C30" s="1"/>
      <c r="D30" s="48"/>
      <c r="E30" s="48"/>
      <c r="F30" s="48"/>
      <c r="G30" s="48"/>
      <c r="H30" s="48"/>
      <c r="I30" s="48"/>
      <c r="J30" s="48" t="e">
        <f t="shared" ref="J30:M30" si="12">J19/I19-1</f>
        <v>#DIV/0!</v>
      </c>
      <c r="K30" s="48" t="e">
        <f t="shared" si="12"/>
        <v>#DIV/0!</v>
      </c>
      <c r="L30" s="48" t="e">
        <f t="shared" si="12"/>
        <v>#DIV/0!</v>
      </c>
      <c r="M30" s="48" t="e">
        <f t="shared" si="12"/>
        <v>#DIV/0!</v>
      </c>
      <c r="N30" s="48" t="e">
        <f t="shared" si="8"/>
        <v>#DIV/0!</v>
      </c>
      <c r="O30" s="48" t="e">
        <f t="shared" si="9"/>
        <v>#DIV/0!</v>
      </c>
      <c r="P30" s="48" t="e">
        <f t="shared" si="10"/>
        <v>#DIV/0!</v>
      </c>
      <c r="Q30" s="48" t="e">
        <f t="shared" si="11"/>
        <v>#DIV/0!</v>
      </c>
      <c r="R30" s="69"/>
    </row>
    <row r="31" spans="2:20">
      <c r="B31" s="49" t="s">
        <v>1224</v>
      </c>
      <c r="C31" s="1"/>
      <c r="D31" s="48"/>
      <c r="E31" s="48"/>
      <c r="F31" s="48"/>
      <c r="G31" s="48"/>
      <c r="H31" s="48"/>
      <c r="I31" s="48"/>
      <c r="J31" s="48" t="e">
        <f t="shared" ref="J31:M31" si="13">J20/I20-1</f>
        <v>#DIV/0!</v>
      </c>
      <c r="K31" s="48" t="e">
        <f t="shared" si="13"/>
        <v>#DIV/0!</v>
      </c>
      <c r="L31" s="48" t="e">
        <f t="shared" si="13"/>
        <v>#DIV/0!</v>
      </c>
      <c r="M31" s="48" t="e">
        <f t="shared" si="13"/>
        <v>#DIV/0!</v>
      </c>
      <c r="N31" s="48" t="e">
        <f t="shared" si="8"/>
        <v>#DIV/0!</v>
      </c>
      <c r="O31" s="48" t="e">
        <f t="shared" si="9"/>
        <v>#DIV/0!</v>
      </c>
      <c r="P31" s="48" t="e">
        <f t="shared" si="10"/>
        <v>#DIV/0!</v>
      </c>
      <c r="Q31" s="48" t="e">
        <f t="shared" si="11"/>
        <v>#DIV/0!</v>
      </c>
      <c r="R31" s="69"/>
    </row>
    <row r="32" spans="2:20">
      <c r="B32" s="49" t="s">
        <v>1225</v>
      </c>
      <c r="C32" s="1"/>
      <c r="D32" s="48"/>
      <c r="E32" s="48"/>
      <c r="F32" s="48"/>
      <c r="G32" s="48"/>
      <c r="H32" s="48"/>
      <c r="I32" s="48"/>
      <c r="J32" s="48"/>
      <c r="K32" s="48"/>
      <c r="L32" s="48"/>
      <c r="M32" s="48"/>
      <c r="N32" s="48"/>
      <c r="O32" s="48"/>
      <c r="P32" s="48"/>
      <c r="Q32" s="48"/>
      <c r="R32" s="69"/>
    </row>
    <row r="33" spans="2:18">
      <c r="B33" s="49" t="s">
        <v>1226</v>
      </c>
      <c r="C33" s="1"/>
      <c r="D33" s="48"/>
      <c r="E33" s="48"/>
      <c r="F33" s="48"/>
      <c r="G33" s="48"/>
      <c r="H33" s="48"/>
      <c r="I33" s="48"/>
      <c r="J33" s="48"/>
      <c r="K33" s="48"/>
      <c r="L33" s="48"/>
      <c r="M33" s="48"/>
      <c r="N33" s="48"/>
      <c r="O33" s="48"/>
      <c r="P33" s="48"/>
      <c r="Q33" s="48"/>
      <c r="R33" s="69"/>
    </row>
    <row r="34" spans="2:18">
      <c r="B34" s="49" t="s">
        <v>1228</v>
      </c>
      <c r="C34" s="1"/>
      <c r="D34" s="48"/>
      <c r="E34" s="48"/>
      <c r="F34" s="48"/>
      <c r="G34" s="48"/>
      <c r="H34" s="48"/>
      <c r="I34" s="48"/>
      <c r="J34" s="48"/>
      <c r="K34" s="48"/>
      <c r="L34" s="48"/>
      <c r="M34" s="48"/>
      <c r="N34" s="48"/>
      <c r="O34" s="48"/>
      <c r="P34" s="48"/>
      <c r="Q34" s="48"/>
      <c r="R34" s="69"/>
    </row>
    <row r="35" spans="2:18" ht="15" thickBot="1">
      <c r="B35" s="134" t="s">
        <v>1238</v>
      </c>
      <c r="C35" s="71"/>
      <c r="D35" s="68"/>
      <c r="E35" s="68"/>
      <c r="F35" s="68"/>
      <c r="G35" s="68"/>
      <c r="H35" s="68"/>
      <c r="I35" s="68"/>
      <c r="J35" s="68"/>
      <c r="K35" s="68"/>
      <c r="L35" s="68"/>
      <c r="M35" s="68"/>
      <c r="N35" s="68"/>
      <c r="O35" s="68"/>
      <c r="P35" s="68"/>
      <c r="Q35" s="68"/>
      <c r="R35" s="348"/>
    </row>
    <row r="45" spans="2:18">
      <c r="L45">
        <v>12.018372218672194</v>
      </c>
    </row>
    <row r="46" spans="2:18">
      <c r="L46">
        <v>12.507345630622794</v>
      </c>
    </row>
    <row r="47" spans="2:18">
      <c r="L47">
        <v>12.610773067262569</v>
      </c>
    </row>
    <row r="48" spans="2:18">
      <c r="L48">
        <v>13.285715987505078</v>
      </c>
    </row>
    <row r="49" spans="12:12">
      <c r="L49">
        <v>13.641999999999999</v>
      </c>
    </row>
    <row r="50" spans="12:12">
      <c r="L50">
        <v>13.951114952463268</v>
      </c>
    </row>
  </sheetData>
  <phoneticPr fontId="21" type="noConversion"/>
  <conditionalFormatting sqref="N4:P4">
    <cfRule type="expression" dxfId="8" priority="19">
      <formula>#REF!="National measure only"</formula>
    </cfRule>
    <cfRule type="expression" dxfId="7" priority="20">
      <formula>#REF!="Data not available at CCG level"</formula>
    </cfRule>
    <cfRule type="expression" dxfId="6" priority="21">
      <formula>#REF!="Data not available at STP level"</formula>
    </cfRule>
  </conditionalFormatting>
  <conditionalFormatting sqref="O5:P6">
    <cfRule type="expression" dxfId="5" priority="4">
      <formula>#REF!="National measure only"</formula>
    </cfRule>
    <cfRule type="expression" dxfId="4" priority="5">
      <formula>#REF!="Data not available at CCG level"</formula>
    </cfRule>
    <cfRule type="expression" dxfId="3" priority="6">
      <formula>#REF!="Data not available at STP level"</formula>
    </cfRule>
  </conditionalFormatting>
  <conditionalFormatting sqref="P10:Q10">
    <cfRule type="expression" dxfId="2" priority="1">
      <formula>#REF!="National measure only"</formula>
    </cfRule>
    <cfRule type="expression" dxfId="1" priority="2">
      <formula>#REF!="Data not available at CCG level"</formula>
    </cfRule>
    <cfRule type="expression" dxfId="0" priority="3">
      <formula>#REF!="Data not available at STP level"</formula>
    </cfRule>
  </conditionalFormatting>
  <hyperlinks>
    <hyperlink ref="S4" r:id="rId1" xr:uid="{796FAEBC-2E84-4234-B193-57EC0D6D1031}"/>
  </hyperlinks>
  <pageMargins left="0.7" right="0.7" top="0.75" bottom="0.75" header="0.3" footer="0.3"/>
  <pageSetup paperSize="9" orientation="portrait" horizontalDpi="4294967293"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8F888-8446-4B37-9C81-14072D27C597}">
  <dimension ref="A1:F11"/>
  <sheetViews>
    <sheetView workbookViewId="0">
      <selection activeCell="E9" sqref="E9"/>
    </sheetView>
  </sheetViews>
  <sheetFormatPr defaultRowHeight="14.5"/>
  <cols>
    <col min="1" max="1" width="14.81640625" bestFit="1" customWidth="1"/>
    <col min="5" max="5" width="20.1796875" customWidth="1"/>
    <col min="6" max="6" width="12.453125" bestFit="1" customWidth="1"/>
  </cols>
  <sheetData>
    <row r="1" spans="1:6">
      <c r="A1" t="s">
        <v>1239</v>
      </c>
      <c r="C1" s="990" t="s">
        <v>1240</v>
      </c>
      <c r="D1" s="990" t="s">
        <v>1241</v>
      </c>
    </row>
    <row r="2" spans="1:6">
      <c r="B2" s="991" t="s">
        <v>1242</v>
      </c>
      <c r="C2" t="s">
        <v>1243</v>
      </c>
      <c r="D2" t="s">
        <v>1244</v>
      </c>
    </row>
    <row r="3" spans="1:6">
      <c r="A3" t="s">
        <v>1245</v>
      </c>
      <c r="B3" t="s">
        <v>1034</v>
      </c>
      <c r="C3" s="304">
        <v>377807</v>
      </c>
      <c r="D3" s="304">
        <v>965498.24119999993</v>
      </c>
      <c r="E3" s="983">
        <f t="shared" ref="E3:E8" si="0">SUM(C3:D3)</f>
        <v>1343305.2412</v>
      </c>
    </row>
    <row r="4" spans="1:6">
      <c r="B4" t="s">
        <v>1246</v>
      </c>
      <c r="C4" s="304">
        <v>499670.01251999993</v>
      </c>
      <c r="D4" s="304">
        <v>1059700.1947699999</v>
      </c>
      <c r="E4" s="983">
        <f t="shared" si="0"/>
        <v>1559370.2072899998</v>
      </c>
    </row>
    <row r="5" spans="1:6">
      <c r="A5" t="s">
        <v>1247</v>
      </c>
      <c r="B5" t="s">
        <v>1034</v>
      </c>
      <c r="C5" s="304">
        <v>573169.12777000014</v>
      </c>
      <c r="D5" s="304">
        <v>1460327.6181499998</v>
      </c>
      <c r="E5" s="983">
        <f t="shared" si="0"/>
        <v>2033496.7459199999</v>
      </c>
    </row>
    <row r="6" spans="1:6">
      <c r="B6" t="s">
        <v>1246</v>
      </c>
      <c r="C6" s="304">
        <v>948523.18981000001</v>
      </c>
      <c r="D6" s="304">
        <v>1931903.7828599999</v>
      </c>
      <c r="E6" s="983">
        <f t="shared" si="0"/>
        <v>2880426.97267</v>
      </c>
    </row>
    <row r="7" spans="1:6">
      <c r="A7" t="s">
        <v>1248</v>
      </c>
      <c r="B7" t="s">
        <v>1034</v>
      </c>
      <c r="C7" s="304">
        <f>C5+C3</f>
        <v>950976.12777000014</v>
      </c>
      <c r="D7" s="304">
        <f>D5+D3</f>
        <v>2425825.8593499996</v>
      </c>
      <c r="E7" s="983">
        <f t="shared" si="0"/>
        <v>3376801.9871199997</v>
      </c>
      <c r="F7" s="983">
        <f>(E7/A11)*B11</f>
        <v>3615668.618449131</v>
      </c>
    </row>
    <row r="8" spans="1:6">
      <c r="B8" t="s">
        <v>1246</v>
      </c>
      <c r="C8" s="304">
        <f>C6+C4</f>
        <v>1448193.20233</v>
      </c>
      <c r="D8" s="304">
        <f>D6+D4</f>
        <v>2991603.9776299996</v>
      </c>
      <c r="E8" s="983">
        <f t="shared" si="0"/>
        <v>4439797.1799599994</v>
      </c>
      <c r="F8" s="983">
        <f>E8</f>
        <v>4439797.1799599994</v>
      </c>
    </row>
    <row r="9" spans="1:6">
      <c r="E9" s="78">
        <f>E8/E7-1</f>
        <v>0.31479346342916736</v>
      </c>
      <c r="F9" s="78">
        <f>F8/F7-1</f>
        <v>0.22793254816155195</v>
      </c>
    </row>
    <row r="10" spans="1:6" ht="15" thickBot="1">
      <c r="E10" s="983">
        <f>E8-E7</f>
        <v>1062995.1928399997</v>
      </c>
      <c r="F10" s="983">
        <f>F8-F7</f>
        <v>824128.56151086837</v>
      </c>
    </row>
    <row r="11" spans="1:6" ht="15" thickBot="1">
      <c r="A11" s="725">
        <v>87.549000000000007</v>
      </c>
      <c r="B11" s="725">
        <v>93.742000000000004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9EDF2-1ADF-44CD-A0A3-778841B2DE09}">
  <dimension ref="B3:F12"/>
  <sheetViews>
    <sheetView workbookViewId="0">
      <selection activeCell="B16" sqref="B16"/>
    </sheetView>
  </sheetViews>
  <sheetFormatPr defaultRowHeight="14.5"/>
  <sheetData>
    <row r="3" spans="2:6">
      <c r="B3" t="s">
        <v>1249</v>
      </c>
      <c r="C3">
        <v>708</v>
      </c>
      <c r="D3">
        <v>837</v>
      </c>
    </row>
    <row r="4" spans="2:6">
      <c r="B4" t="s">
        <v>1250</v>
      </c>
      <c r="C4">
        <v>760</v>
      </c>
      <c r="D4">
        <v>908</v>
      </c>
    </row>
    <row r="5" spans="2:6">
      <c r="B5" t="s">
        <v>1251</v>
      </c>
      <c r="C5">
        <v>715</v>
      </c>
      <c r="D5">
        <v>931</v>
      </c>
    </row>
    <row r="6" spans="2:6">
      <c r="B6" t="s">
        <v>1252</v>
      </c>
      <c r="C6">
        <v>742</v>
      </c>
      <c r="D6">
        <v>901</v>
      </c>
    </row>
    <row r="7" spans="2:6">
      <c r="B7" t="s">
        <v>1253</v>
      </c>
      <c r="C7">
        <v>785</v>
      </c>
      <c r="D7">
        <v>912</v>
      </c>
    </row>
    <row r="8" spans="2:6">
      <c r="C8">
        <f>SUM(C3:C7)</f>
        <v>3710</v>
      </c>
      <c r="D8">
        <f>SUM(D3:D7)</f>
        <v>4489</v>
      </c>
      <c r="E8" s="78">
        <f>D8/C8-1</f>
        <v>0.20997304582210252</v>
      </c>
      <c r="F8">
        <f>D8-C8</f>
        <v>779</v>
      </c>
    </row>
    <row r="9" spans="2:6">
      <c r="C9">
        <f>(C8/B12)*C12</f>
        <v>4244.4031654370228</v>
      </c>
      <c r="D9">
        <f>D8</f>
        <v>4489</v>
      </c>
      <c r="E9" s="78">
        <f>D9/C9-1</f>
        <v>5.7628086925100686E-2</v>
      </c>
      <c r="F9" s="51">
        <f>D9-C9</f>
        <v>244.59683456297716</v>
      </c>
    </row>
    <row r="11" spans="2:6" ht="15" thickBot="1">
      <c r="B11" t="s">
        <v>226</v>
      </c>
    </row>
    <row r="12" spans="2:6" ht="15" thickBot="1">
      <c r="B12" s="725">
        <v>89.616</v>
      </c>
      <c r="C12" s="725">
        <v>102.52464530291219</v>
      </c>
    </row>
  </sheetData>
  <phoneticPr fontId="21"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89741-ADA7-42BD-983B-2B23298A8999}">
  <sheetPr>
    <tabColor rgb="FF00B0F0"/>
  </sheetPr>
  <dimension ref="A1"/>
  <sheetViews>
    <sheetView workbookViewId="0">
      <selection activeCell="B2" sqref="B2:M2"/>
    </sheetView>
  </sheetViews>
  <sheetFormatPr defaultRowHeight="14.5"/>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B07C7-98EB-4DDA-B78C-117044D7393E}">
  <dimension ref="B1:S75"/>
  <sheetViews>
    <sheetView zoomScale="55" zoomScaleNormal="55" workbookViewId="0">
      <selection activeCell="D34" sqref="D34"/>
    </sheetView>
  </sheetViews>
  <sheetFormatPr defaultRowHeight="14.5"/>
  <cols>
    <col min="1" max="1" width="5.1796875" customWidth="1"/>
    <col min="2" max="2" width="27.54296875" style="543" customWidth="1"/>
    <col min="3" max="3" width="12.54296875" bestFit="1" customWidth="1"/>
    <col min="4" max="8" width="11.1796875" bestFit="1" customWidth="1"/>
    <col min="9" max="9" width="11.1796875" style="497" bestFit="1" customWidth="1"/>
    <col min="10" max="10" width="22" customWidth="1"/>
    <col min="11" max="11" width="22.54296875" customWidth="1"/>
    <col min="12" max="12" width="23.453125" customWidth="1"/>
  </cols>
  <sheetData>
    <row r="1" spans="2:19">
      <c r="B1" s="1731" t="s">
        <v>1254</v>
      </c>
      <c r="C1" s="1732"/>
      <c r="D1" s="1732"/>
      <c r="E1" s="1806" t="s">
        <v>1255</v>
      </c>
      <c r="F1" s="1806"/>
      <c r="G1" s="1732"/>
      <c r="H1" s="1732"/>
      <c r="I1" s="1733"/>
      <c r="J1" s="1734"/>
      <c r="K1" s="1734"/>
      <c r="L1" s="1735"/>
    </row>
    <row r="2" spans="2:19">
      <c r="B2" s="542" t="s">
        <v>128</v>
      </c>
      <c r="C2" t="s">
        <v>1034</v>
      </c>
      <c r="D2" t="s">
        <v>1256</v>
      </c>
      <c r="E2" t="s">
        <v>1257</v>
      </c>
      <c r="F2" t="s">
        <v>1246</v>
      </c>
      <c r="G2" t="s">
        <v>300</v>
      </c>
      <c r="H2" t="s">
        <v>274</v>
      </c>
      <c r="I2" s="497" t="s">
        <v>275</v>
      </c>
      <c r="J2" s="76" t="s">
        <v>1258</v>
      </c>
      <c r="K2" s="803" t="s">
        <v>1259</v>
      </c>
      <c r="L2" s="797" t="s">
        <v>1260</v>
      </c>
      <c r="P2" s="620" t="s">
        <v>1261</v>
      </c>
      <c r="Q2" s="620"/>
      <c r="R2" s="620"/>
      <c r="S2" s="620"/>
    </row>
    <row r="3" spans="2:19" hidden="1">
      <c r="B3" s="543" t="s">
        <v>1262</v>
      </c>
      <c r="C3">
        <v>124.35899999999999</v>
      </c>
      <c r="D3">
        <v>133.48400000000001</v>
      </c>
      <c r="E3">
        <v>136.30000000000001</v>
      </c>
      <c r="F3">
        <v>147.1</v>
      </c>
      <c r="G3">
        <v>167.9</v>
      </c>
      <c r="H3">
        <v>173.351</v>
      </c>
      <c r="I3" s="497">
        <v>177.374</v>
      </c>
      <c r="L3" s="497"/>
    </row>
    <row r="4" spans="2:19" hidden="1">
      <c r="B4" s="543" t="s">
        <v>1263</v>
      </c>
      <c r="C4">
        <v>124.35899999999999</v>
      </c>
      <c r="D4">
        <v>133.48400000000001</v>
      </c>
      <c r="E4">
        <v>136.30000000000001</v>
      </c>
      <c r="F4">
        <v>146.1</v>
      </c>
      <c r="G4">
        <v>167.9</v>
      </c>
      <c r="H4">
        <v>173.4</v>
      </c>
      <c r="I4" s="497">
        <v>177.4</v>
      </c>
      <c r="L4" s="497"/>
    </row>
    <row r="5" spans="2:19">
      <c r="B5" s="543" t="s">
        <v>1264</v>
      </c>
      <c r="C5" s="96">
        <v>124.35899999999999</v>
      </c>
      <c r="D5" s="96">
        <v>133.48400000000001</v>
      </c>
      <c r="E5" s="96">
        <v>136.30000000000001</v>
      </c>
      <c r="F5" s="96">
        <v>144.1</v>
      </c>
      <c r="G5" s="96">
        <v>168.2</v>
      </c>
      <c r="H5" s="96">
        <v>176.2</v>
      </c>
      <c r="I5" s="795">
        <v>180.4</v>
      </c>
      <c r="J5" s="476">
        <f>(I5/F5)^(1/COUNT(G5:I5))-1</f>
        <v>7.7765268480218808E-2</v>
      </c>
      <c r="K5" s="352">
        <f>(I5/G5)^(1/COUNT(H5:I5))-1</f>
        <v>3.5631546046979823E-2</v>
      </c>
      <c r="L5" s="799">
        <f>(I5/D5)^(1/COUNT(E5:I5))-1</f>
        <v>6.2090353081129646E-2</v>
      </c>
      <c r="N5" s="98"/>
    </row>
    <row r="6" spans="2:19">
      <c r="B6" s="543" t="s">
        <v>1265</v>
      </c>
      <c r="C6" s="96">
        <v>124.35899999999999</v>
      </c>
      <c r="D6" s="96">
        <v>133.48400000000001</v>
      </c>
      <c r="E6" s="96">
        <v>136.30000000000001</v>
      </c>
      <c r="F6" s="96">
        <v>144.1</v>
      </c>
      <c r="G6" s="96">
        <v>173.9</v>
      </c>
      <c r="H6" s="96">
        <v>176.2</v>
      </c>
      <c r="I6" s="795">
        <v>180.5</v>
      </c>
      <c r="J6" s="476">
        <f>(I6/F6)^(1/COUNT(G6:I6))-1</f>
        <v>7.7964375314321988E-2</v>
      </c>
      <c r="K6" s="476">
        <f>(I6/G6)^(1/COUNT(H6:I6))-1</f>
        <v>1.8799708707989637E-2</v>
      </c>
      <c r="L6" s="799">
        <f>(I6/D6)^(1/COUNT(E6:I6))-1</f>
        <v>6.2208075357695458E-2</v>
      </c>
      <c r="N6" s="98"/>
    </row>
    <row r="7" spans="2:19">
      <c r="C7" s="96"/>
      <c r="D7" s="96"/>
      <c r="E7" s="96"/>
      <c r="F7" s="96"/>
      <c r="G7" s="96"/>
      <c r="H7" s="96"/>
      <c r="I7" s="795"/>
      <c r="J7" s="476"/>
      <c r="K7" s="476"/>
      <c r="L7" s="799"/>
      <c r="N7" s="98"/>
    </row>
    <row r="8" spans="2:19">
      <c r="C8" s="96"/>
      <c r="D8" s="96"/>
      <c r="E8" s="96"/>
      <c r="F8" s="96"/>
      <c r="G8" s="96">
        <f>G6-G5</f>
        <v>5.7000000000000171</v>
      </c>
      <c r="H8" s="96">
        <f t="shared" ref="H8:I8" si="0">H6-H5</f>
        <v>0</v>
      </c>
      <c r="I8" s="796">
        <f t="shared" si="0"/>
        <v>9.9999999999994316E-2</v>
      </c>
      <c r="L8" s="497"/>
      <c r="N8" s="98"/>
    </row>
    <row r="9" spans="2:19">
      <c r="B9" s="542" t="s">
        <v>655</v>
      </c>
      <c r="C9" s="96"/>
      <c r="D9" s="96"/>
      <c r="E9" s="96"/>
      <c r="F9" s="96"/>
      <c r="G9" s="96"/>
      <c r="H9" s="96"/>
      <c r="I9" s="795"/>
      <c r="L9" s="497"/>
      <c r="N9" s="98"/>
    </row>
    <row r="10" spans="2:19">
      <c r="B10" s="543" t="s">
        <v>1262</v>
      </c>
      <c r="C10" s="96">
        <v>114.5</v>
      </c>
      <c r="D10" s="96">
        <v>123.7</v>
      </c>
      <c r="E10" s="96">
        <v>125.9</v>
      </c>
      <c r="F10" s="96">
        <v>136.1</v>
      </c>
      <c r="G10" s="96">
        <v>151.80000000000001</v>
      </c>
      <c r="H10" s="96">
        <v>157.4</v>
      </c>
      <c r="I10" s="795">
        <v>162.6</v>
      </c>
      <c r="L10" s="497"/>
      <c r="N10" s="98"/>
    </row>
    <row r="11" spans="2:19">
      <c r="B11" s="543" t="s">
        <v>1263</v>
      </c>
      <c r="C11" s="96">
        <v>114.5</v>
      </c>
      <c r="D11" s="96">
        <v>123.75</v>
      </c>
      <c r="E11" s="96">
        <v>125.9</v>
      </c>
      <c r="F11" s="96">
        <v>134.6</v>
      </c>
      <c r="G11" s="96">
        <v>151.80000000000001</v>
      </c>
      <c r="H11" s="96">
        <v>157.4</v>
      </c>
      <c r="I11" s="795">
        <v>162.6</v>
      </c>
      <c r="L11" s="497"/>
      <c r="N11" s="98"/>
    </row>
    <row r="12" spans="2:19">
      <c r="B12" s="543" t="s">
        <v>1264</v>
      </c>
      <c r="C12" s="96">
        <v>114.5</v>
      </c>
      <c r="D12" s="96">
        <v>123.75</v>
      </c>
      <c r="E12" s="96">
        <v>125.9</v>
      </c>
      <c r="F12" s="96">
        <v>133.69999999999999</v>
      </c>
      <c r="G12" s="96">
        <v>152.6</v>
      </c>
      <c r="H12" s="96">
        <v>160.4</v>
      </c>
      <c r="I12" s="795">
        <v>165.9</v>
      </c>
      <c r="J12" s="476">
        <f>(I12/F12)^(1/COUNT(G12:I12))-1</f>
        <v>7.4578943473299963E-2</v>
      </c>
      <c r="K12" s="476">
        <f>(I12/G12)^(1/COUNT(H12:I12))-1</f>
        <v>4.266771471200359E-2</v>
      </c>
      <c r="L12" s="799">
        <f>(I12/D12)^(1/COUNT(E12:I12))-1</f>
        <v>6.0376845058090156E-2</v>
      </c>
      <c r="N12" s="98"/>
    </row>
    <row r="13" spans="2:19">
      <c r="B13" s="543" t="s">
        <v>1265</v>
      </c>
      <c r="C13" s="96">
        <v>114.5</v>
      </c>
      <c r="D13" s="96">
        <v>123.75</v>
      </c>
      <c r="E13" s="96">
        <v>125.9</v>
      </c>
      <c r="F13" s="96">
        <v>133.69999999999999</v>
      </c>
      <c r="G13" s="96">
        <v>155.4</v>
      </c>
      <c r="H13" s="96">
        <v>160.4</v>
      </c>
      <c r="I13" s="795">
        <v>165.9</v>
      </c>
      <c r="J13" s="476">
        <f>(I13/F13)^(1/COUNT(G13:I13))-1</f>
        <v>7.4578943473299963E-2</v>
      </c>
      <c r="K13" s="476">
        <f>(I13/G13)^(1/COUNT(H13:I13))-1</f>
        <v>3.3231613708933905E-2</v>
      </c>
      <c r="L13" s="799">
        <f>(I13/D13)^(1/COUNT(E13:I13))-1</f>
        <v>6.0376845058090156E-2</v>
      </c>
      <c r="N13" s="98"/>
    </row>
    <row r="14" spans="2:19">
      <c r="C14" s="96"/>
      <c r="D14" s="96"/>
      <c r="E14" s="96"/>
      <c r="F14" s="96"/>
      <c r="G14" s="96"/>
      <c r="H14" s="96"/>
      <c r="I14" s="795"/>
      <c r="J14" s="476"/>
      <c r="K14" s="476"/>
      <c r="L14" s="799"/>
      <c r="N14" s="98"/>
    </row>
    <row r="15" spans="2:19">
      <c r="C15" s="96"/>
      <c r="D15" s="96"/>
      <c r="E15" s="96"/>
      <c r="F15" s="96"/>
      <c r="G15" s="96">
        <f>G13-G12</f>
        <v>2.8000000000000114</v>
      </c>
      <c r="H15" s="96">
        <f t="shared" ref="H15" si="1">H13-H12</f>
        <v>0</v>
      </c>
      <c r="I15" s="795">
        <f t="shared" ref="I15" si="2">I13-I12</f>
        <v>0</v>
      </c>
      <c r="L15" s="497"/>
      <c r="N15" s="98"/>
    </row>
    <row r="16" spans="2:19">
      <c r="C16" s="592">
        <f>C13/C6</f>
        <v>0.92072145964505991</v>
      </c>
      <c r="D16" s="592">
        <f t="shared" ref="D16:F16" si="3">D13/D6</f>
        <v>0.92707740253513526</v>
      </c>
      <c r="E16" s="592">
        <f t="shared" si="3"/>
        <v>0.9236977256052824</v>
      </c>
      <c r="F16" s="592">
        <f t="shared" si="3"/>
        <v>0.92782789729354609</v>
      </c>
      <c r="G16" s="592">
        <f>G13/G35</f>
        <v>0.83954619124797414</v>
      </c>
      <c r="H16" s="96"/>
      <c r="I16" s="795"/>
      <c r="L16" s="497"/>
      <c r="N16" s="98"/>
      <c r="S16" s="497"/>
    </row>
    <row r="17" spans="2:19">
      <c r="B17" s="542" t="s">
        <v>1266</v>
      </c>
      <c r="C17" s="96"/>
      <c r="D17" s="96"/>
      <c r="E17" s="96"/>
      <c r="L17" s="497"/>
      <c r="N17" s="98"/>
      <c r="P17" s="96"/>
      <c r="Q17" s="96"/>
      <c r="R17" s="96"/>
      <c r="S17" s="795"/>
    </row>
    <row r="18" spans="2:19" hidden="1">
      <c r="B18" s="543" t="s">
        <v>1262</v>
      </c>
      <c r="C18" s="96">
        <v>9.8589999999999947</v>
      </c>
      <c r="D18" s="96">
        <v>9.784000000000006</v>
      </c>
      <c r="E18" s="96">
        <v>10.400000000000006</v>
      </c>
      <c r="F18" s="96">
        <v>11</v>
      </c>
      <c r="G18" s="96">
        <v>16.099999999999994</v>
      </c>
      <c r="H18" s="96">
        <v>15.950999999999993</v>
      </c>
      <c r="I18" s="795">
        <v>14.774000000000001</v>
      </c>
      <c r="L18" s="497"/>
      <c r="N18" s="98"/>
    </row>
    <row r="19" spans="2:19" hidden="1">
      <c r="B19" s="543" t="s">
        <v>1263</v>
      </c>
      <c r="C19" s="96">
        <v>9.8589999999999947</v>
      </c>
      <c r="D19" s="96">
        <v>9.7340000000000089</v>
      </c>
      <c r="E19" s="96">
        <v>10.400000000000006</v>
      </c>
      <c r="F19" s="96">
        <v>11.5</v>
      </c>
      <c r="G19" s="96">
        <v>16.099999999999994</v>
      </c>
      <c r="H19" s="96">
        <v>16</v>
      </c>
      <c r="I19" s="795">
        <v>14.800000000000011</v>
      </c>
      <c r="J19" s="476"/>
      <c r="K19" s="476"/>
      <c r="L19" s="497"/>
      <c r="N19" s="98"/>
    </row>
    <row r="20" spans="2:19">
      <c r="B20" s="543" t="s">
        <v>1264</v>
      </c>
      <c r="C20" s="96">
        <v>9.8589999999999947</v>
      </c>
      <c r="D20" s="96">
        <v>9.7340000000000089</v>
      </c>
      <c r="E20" s="96">
        <v>10.400000000000006</v>
      </c>
      <c r="F20" s="96">
        <v>10.400000000000006</v>
      </c>
      <c r="G20" s="96">
        <v>15.599999999999994</v>
      </c>
      <c r="H20" s="96">
        <v>15.799999999999983</v>
      </c>
      <c r="I20" s="795">
        <v>14.5</v>
      </c>
      <c r="J20" s="476">
        <f>(I20/F20)^(1/COUNT(G20:I20))-1</f>
        <v>0.11715016580336601</v>
      </c>
      <c r="K20" s="476">
        <f>(I20/G20)^(1/COUNT(H20:I20))-1</f>
        <v>-3.5900845614321719E-2</v>
      </c>
      <c r="L20" s="799">
        <f>(I20/D20)^(1/COUNT(E20:I20))-1</f>
        <v>8.2967271784220697E-2</v>
      </c>
      <c r="N20" s="98"/>
      <c r="P20" s="96"/>
      <c r="Q20" s="96"/>
      <c r="R20" s="96"/>
      <c r="S20" s="795"/>
    </row>
    <row r="21" spans="2:19">
      <c r="B21" s="543" t="s">
        <v>1265</v>
      </c>
      <c r="C21" s="96">
        <f>C6-C13</f>
        <v>9.8589999999999947</v>
      </c>
      <c r="D21" s="96">
        <f t="shared" ref="D21:I21" si="4">D6-D13</f>
        <v>9.7340000000000089</v>
      </c>
      <c r="E21" s="96">
        <f>E6-E13</f>
        <v>10.400000000000006</v>
      </c>
      <c r="F21" s="96">
        <f t="shared" si="4"/>
        <v>10.400000000000006</v>
      </c>
      <c r="G21" s="96">
        <f t="shared" si="4"/>
        <v>18.5</v>
      </c>
      <c r="H21" s="96">
        <f t="shared" si="4"/>
        <v>15.799999999999983</v>
      </c>
      <c r="I21" s="795">
        <f t="shared" si="4"/>
        <v>14.599999999999994</v>
      </c>
      <c r="J21" s="476">
        <f>(I21/F21)^(1/COUNT(G21:I21))-1</f>
        <v>0.11971244580150087</v>
      </c>
      <c r="K21" s="476">
        <f>(I21/G21)^(1/COUNT(H21:I21))-1</f>
        <v>-0.11163679207815635</v>
      </c>
      <c r="L21" s="799">
        <f>(I21/D21)^(1/COUNT(E21:I21))-1</f>
        <v>8.4456916030491547E-2</v>
      </c>
      <c r="N21" s="98"/>
    </row>
    <row r="22" spans="2:19">
      <c r="C22" s="96"/>
      <c r="D22" s="96"/>
      <c r="E22" s="96"/>
      <c r="F22" s="96"/>
      <c r="G22" s="96"/>
      <c r="H22" s="96"/>
      <c r="I22" s="795"/>
      <c r="J22" s="476"/>
      <c r="K22" s="476"/>
      <c r="L22" s="799"/>
      <c r="N22" s="98"/>
    </row>
    <row r="23" spans="2:19">
      <c r="C23" s="96"/>
      <c r="D23" s="96"/>
      <c r="E23" s="96"/>
      <c r="F23" s="96"/>
      <c r="G23" s="96">
        <f>G21-G20</f>
        <v>2.9000000000000057</v>
      </c>
      <c r="H23" s="96">
        <f t="shared" ref="H23" si="5">H21-H20</f>
        <v>0</v>
      </c>
      <c r="I23" s="795">
        <f t="shared" ref="I23" si="6">I21-I20</f>
        <v>9.9999999999994316E-2</v>
      </c>
      <c r="L23" s="497"/>
      <c r="N23" s="98"/>
      <c r="P23" s="96"/>
      <c r="Q23" s="96"/>
      <c r="R23" s="96"/>
      <c r="S23" s="96"/>
    </row>
    <row r="24" spans="2:19">
      <c r="B24" s="542" t="s">
        <v>130</v>
      </c>
      <c r="C24" s="96"/>
      <c r="D24" s="96"/>
      <c r="E24" s="96"/>
      <c r="F24" s="96"/>
      <c r="G24" s="96"/>
      <c r="H24" s="96"/>
      <c r="I24" s="795"/>
      <c r="L24" s="497"/>
      <c r="N24" s="98"/>
    </row>
    <row r="25" spans="2:19" hidden="1">
      <c r="B25" s="543" t="s">
        <v>1262</v>
      </c>
      <c r="C25" s="96">
        <v>5.9409999999999998</v>
      </c>
      <c r="D25" s="96">
        <v>7.0149999999999997</v>
      </c>
      <c r="E25" s="96">
        <v>8.6</v>
      </c>
      <c r="F25" s="96">
        <v>9.4</v>
      </c>
      <c r="G25" s="96">
        <v>10.6</v>
      </c>
      <c r="H25" s="96">
        <v>10.4</v>
      </c>
      <c r="I25" s="795">
        <v>11.2</v>
      </c>
      <c r="L25" s="497"/>
      <c r="N25" s="98"/>
    </row>
    <row r="26" spans="2:19" hidden="1">
      <c r="B26" s="543" t="s">
        <v>1263</v>
      </c>
      <c r="C26" s="96">
        <v>5.9409999999999998</v>
      </c>
      <c r="D26" s="96">
        <v>7.0149999999999997</v>
      </c>
      <c r="E26" s="96">
        <v>8.6</v>
      </c>
      <c r="F26" s="96">
        <v>9.1999999999999993</v>
      </c>
      <c r="G26" s="96">
        <v>10.6</v>
      </c>
      <c r="H26" s="96">
        <v>10.5</v>
      </c>
      <c r="I26" s="795">
        <v>11.3</v>
      </c>
      <c r="J26" s="476"/>
      <c r="K26" s="476"/>
      <c r="L26" s="497"/>
      <c r="N26" s="98"/>
    </row>
    <row r="27" spans="2:19">
      <c r="B27" s="543" t="s">
        <v>1267</v>
      </c>
      <c r="C27" s="96">
        <v>5.9409999999999998</v>
      </c>
      <c r="D27" s="96">
        <v>7.0149999999999997</v>
      </c>
      <c r="E27" s="96">
        <v>8.6</v>
      </c>
      <c r="F27" s="96">
        <v>9</v>
      </c>
      <c r="G27" s="96">
        <v>12</v>
      </c>
      <c r="H27" s="96">
        <v>11.7</v>
      </c>
      <c r="I27" s="795">
        <v>12.6</v>
      </c>
      <c r="J27" s="476">
        <f>(I27/F27)^(1/COUNT(G27:I27))-1</f>
        <v>0.1186889420813968</v>
      </c>
      <c r="K27" s="476">
        <f>(I27/G27)^(1/COUNT(H27:I27))-1</f>
        <v>2.4695076595959931E-2</v>
      </c>
      <c r="L27" s="799">
        <f>(I27/D27)^(1/COUNT(E27:I27))-1</f>
        <v>0.12426469787942862</v>
      </c>
      <c r="N27" s="98"/>
    </row>
    <row r="28" spans="2:19">
      <c r="B28" s="543" t="s">
        <v>1265</v>
      </c>
      <c r="C28" s="96">
        <v>5.9409999999999998</v>
      </c>
      <c r="D28" s="96">
        <v>7.0149999999999997</v>
      </c>
      <c r="E28" s="96">
        <v>8.6</v>
      </c>
      <c r="F28" s="96">
        <v>9</v>
      </c>
      <c r="G28" s="96">
        <v>11.2</v>
      </c>
      <c r="H28" s="96">
        <v>12</v>
      </c>
      <c r="I28" s="795">
        <v>12.6</v>
      </c>
      <c r="J28" s="476">
        <f>(I28/F28)^(1/COUNT(G28:I28))-1</f>
        <v>0.1186889420813968</v>
      </c>
      <c r="K28" s="476">
        <f>(I28/G28)^(1/COUNT(H28:I28))-1</f>
        <v>6.0660171779821193E-2</v>
      </c>
      <c r="L28" s="799">
        <f>(I28/D28)^(1/COUNT(E28:I28))-1</f>
        <v>0.12426469787942862</v>
      </c>
      <c r="N28" s="98"/>
    </row>
    <row r="29" spans="2:19">
      <c r="C29" s="96"/>
      <c r="D29" s="96"/>
      <c r="E29" s="96"/>
      <c r="F29" s="96"/>
      <c r="G29" s="96"/>
      <c r="H29" s="96"/>
      <c r="I29" s="96"/>
      <c r="J29" s="476"/>
      <c r="K29" s="476"/>
      <c r="L29" s="799"/>
      <c r="N29" s="98"/>
    </row>
    <row r="30" spans="2:19">
      <c r="C30" s="96"/>
      <c r="D30" s="96"/>
      <c r="E30" s="96"/>
      <c r="F30" s="96"/>
      <c r="G30" s="96"/>
      <c r="H30" s="96"/>
      <c r="I30" s="96"/>
      <c r="K30">
        <f>(I28/G28)^(1/2)-1</f>
        <v>6.0660171779821193E-2</v>
      </c>
      <c r="L30" s="497"/>
      <c r="N30" s="98"/>
    </row>
    <row r="31" spans="2:19">
      <c r="B31" s="542" t="s">
        <v>131</v>
      </c>
      <c r="C31" s="96"/>
      <c r="D31" s="96"/>
      <c r="E31" s="96"/>
      <c r="F31" s="96"/>
      <c r="G31" s="172"/>
      <c r="H31" s="96"/>
      <c r="I31" s="795"/>
      <c r="L31" s="497"/>
      <c r="N31" s="98"/>
    </row>
    <row r="32" spans="2:19" hidden="1">
      <c r="B32" s="543" t="s">
        <v>1262</v>
      </c>
      <c r="C32" s="96">
        <v>130.29999999999998</v>
      </c>
      <c r="D32" s="96">
        <v>140.499</v>
      </c>
      <c r="E32" s="96">
        <v>144.9</v>
      </c>
      <c r="F32" s="96">
        <v>156.5</v>
      </c>
      <c r="G32" s="96">
        <v>178.5</v>
      </c>
      <c r="H32" s="96">
        <v>183.751</v>
      </c>
      <c r="I32" s="795">
        <v>188.57399999999998</v>
      </c>
      <c r="L32" s="497"/>
      <c r="N32" s="98"/>
    </row>
    <row r="33" spans="2:14" hidden="1">
      <c r="B33" s="543" t="s">
        <v>1263</v>
      </c>
      <c r="C33" s="96">
        <v>130.29999999999998</v>
      </c>
      <c r="D33" s="96">
        <v>140.499</v>
      </c>
      <c r="E33" s="96">
        <v>144.9</v>
      </c>
      <c r="F33" s="96">
        <v>155.29999999999998</v>
      </c>
      <c r="G33" s="96">
        <v>178.5</v>
      </c>
      <c r="H33" s="96">
        <v>183.9</v>
      </c>
      <c r="I33" s="795">
        <v>188.70000000000002</v>
      </c>
      <c r="J33" s="476"/>
      <c r="K33" s="476"/>
      <c r="L33" s="497"/>
      <c r="N33" s="98"/>
    </row>
    <row r="34" spans="2:14">
      <c r="B34" s="543" t="s">
        <v>1267</v>
      </c>
      <c r="C34" s="96">
        <v>130.29999999999998</v>
      </c>
      <c r="D34" s="96">
        <v>140.499</v>
      </c>
      <c r="E34" s="96">
        <v>144.9</v>
      </c>
      <c r="F34" s="96">
        <v>153.1</v>
      </c>
      <c r="G34" s="96">
        <v>180.2</v>
      </c>
      <c r="H34" s="96">
        <v>187.89999999999998</v>
      </c>
      <c r="I34" s="795">
        <v>193</v>
      </c>
      <c r="J34" s="476">
        <f>(I34/F34)^(1/COUNT(G34:I34))-1</f>
        <v>8.02577053612612E-2</v>
      </c>
      <c r="K34" s="476">
        <f>(I34/G34)^(1/COUNT(H34:I34))-1</f>
        <v>3.4906849170247556E-2</v>
      </c>
      <c r="L34" s="799">
        <f>(I34/D34)^(1/COUNT(E34:I34))-1</f>
        <v>6.5557315811845207E-2</v>
      </c>
      <c r="N34" s="98"/>
    </row>
    <row r="35" spans="2:14">
      <c r="B35" s="800" t="s">
        <v>1265</v>
      </c>
      <c r="C35" s="1230">
        <f>C6+C28</f>
        <v>130.29999999999998</v>
      </c>
      <c r="D35" s="1230">
        <f t="shared" ref="D35:I35" si="7">D6+D28</f>
        <v>140.499</v>
      </c>
      <c r="E35" s="1230">
        <f t="shared" si="7"/>
        <v>144.9</v>
      </c>
      <c r="F35" s="1230">
        <f>F6+F28</f>
        <v>153.1</v>
      </c>
      <c r="G35" s="1230">
        <f t="shared" si="7"/>
        <v>185.1</v>
      </c>
      <c r="H35" s="1230">
        <f t="shared" si="7"/>
        <v>188.2</v>
      </c>
      <c r="I35" s="801">
        <f t="shared" si="7"/>
        <v>193.1</v>
      </c>
      <c r="J35" s="1231">
        <f>(I35/F35)^(1/COUNT(G35:I35))-1</f>
        <v>8.0444246153323906E-2</v>
      </c>
      <c r="K35" s="1231">
        <f>(I35/G35)^(1/COUNT(H35:I35))-1</f>
        <v>2.1381359309698311E-2</v>
      </c>
      <c r="L35" s="802">
        <f>(I35/D35)^(1/COUNT(E35:I35))-1</f>
        <v>6.5667713381124759E-2</v>
      </c>
      <c r="N35" s="98"/>
    </row>
    <row r="36" spans="2:14">
      <c r="C36" s="96"/>
      <c r="D36" s="96"/>
      <c r="E36" s="96"/>
      <c r="F36" s="96"/>
      <c r="G36" s="96"/>
      <c r="H36" s="96"/>
      <c r="I36" s="795"/>
      <c r="J36" s="476"/>
      <c r="K36" s="476"/>
      <c r="L36" s="476"/>
      <c r="N36" s="98"/>
    </row>
    <row r="37" spans="2:14">
      <c r="C37" s="96"/>
      <c r="D37" s="96"/>
      <c r="E37" s="96"/>
      <c r="F37" s="96"/>
      <c r="G37" s="96">
        <f>G35-G34</f>
        <v>4.9000000000000057</v>
      </c>
      <c r="H37" s="96"/>
      <c r="I37" s="795"/>
    </row>
    <row r="38" spans="2:14">
      <c r="B38" s="1736" t="s">
        <v>1268</v>
      </c>
      <c r="C38" s="1737">
        <f>inflation_comparison!M7</f>
        <v>98.35</v>
      </c>
      <c r="D38" s="1737">
        <f>inflation_comparison!N7</f>
        <v>100.9</v>
      </c>
      <c r="E38" s="1737">
        <f>inflation_comparison!O7</f>
        <v>107.22500000000001</v>
      </c>
      <c r="F38" s="1737">
        <f>inflation_comparison!P7</f>
        <v>106.42500000000001</v>
      </c>
      <c r="G38" s="1737">
        <f>inflation_comparison!Q7</f>
        <v>112.47365648063044</v>
      </c>
      <c r="H38" s="1737">
        <f>inflation_comparison!R7</f>
        <v>115.31321736598225</v>
      </c>
      <c r="I38" s="1737">
        <f>inflation_comparison!S7</f>
        <v>117.12306758083731</v>
      </c>
    </row>
    <row r="39" spans="2:14">
      <c r="B39" s="800" t="s">
        <v>690</v>
      </c>
      <c r="C39" s="1230">
        <f>C38-inflation_comparison!M7</f>
        <v>0</v>
      </c>
      <c r="D39" s="1230">
        <f>D38-inflation_comparison!N7</f>
        <v>0</v>
      </c>
      <c r="E39" s="1230">
        <f>E38-inflation_comparison!O7</f>
        <v>0</v>
      </c>
      <c r="F39" s="1230">
        <f>F38-inflation_comparison!P7</f>
        <v>0</v>
      </c>
      <c r="G39" s="1230">
        <f>G38-inflation_comparison!Q7</f>
        <v>0</v>
      </c>
      <c r="H39" s="1230">
        <f>H38-inflation_comparison!R7</f>
        <v>0</v>
      </c>
      <c r="I39" s="801">
        <f>I38-inflation_comparison!S7</f>
        <v>0</v>
      </c>
    </row>
    <row r="40" spans="2:14" ht="43.5">
      <c r="B40" s="1738" t="s">
        <v>1269</v>
      </c>
      <c r="C40" s="1732"/>
      <c r="D40" s="1732"/>
      <c r="E40" s="1806" t="s">
        <v>1255</v>
      </c>
      <c r="F40" s="1806"/>
      <c r="G40" s="1732"/>
      <c r="H40" s="1732"/>
      <c r="I40" s="1733"/>
      <c r="J40" s="1734"/>
      <c r="K40" s="1734"/>
      <c r="L40" s="1735"/>
    </row>
    <row r="41" spans="2:14">
      <c r="B41" s="542" t="s">
        <v>128</v>
      </c>
      <c r="C41" t="s">
        <v>1034</v>
      </c>
      <c r="D41" t="s">
        <v>1256</v>
      </c>
      <c r="E41" t="s">
        <v>1257</v>
      </c>
      <c r="F41" t="s">
        <v>1246</v>
      </c>
      <c r="G41" t="s">
        <v>300</v>
      </c>
      <c r="H41" t="s">
        <v>274</v>
      </c>
      <c r="I41" s="497" t="s">
        <v>275</v>
      </c>
      <c r="J41" s="76" t="s">
        <v>1258</v>
      </c>
      <c r="K41" s="803" t="s">
        <v>1259</v>
      </c>
      <c r="L41" s="797" t="s">
        <v>1270</v>
      </c>
      <c r="M41" s="797" t="s">
        <v>1271</v>
      </c>
    </row>
    <row r="42" spans="2:14" hidden="1">
      <c r="B42" s="543" t="s">
        <v>1262</v>
      </c>
      <c r="L42" s="497"/>
      <c r="M42" s="497"/>
    </row>
    <row r="43" spans="2:14" hidden="1">
      <c r="B43" s="543" t="s">
        <v>1263</v>
      </c>
      <c r="L43" s="497"/>
      <c r="M43" s="497"/>
    </row>
    <row r="44" spans="2:14">
      <c r="B44" s="543" t="s">
        <v>1264</v>
      </c>
      <c r="C44" s="96">
        <f>C5/inflation_comparison!M6*inflation_comparison!$Q$6</f>
        <v>141.67217753763293</v>
      </c>
      <c r="D44" s="96">
        <f>D5/inflation_comparison!N6*inflation_comparison!$Q$6</f>
        <v>148.22441957136968</v>
      </c>
      <c r="E44" s="96">
        <f>E5/inflation_comparison!O6*inflation_comparison!$Q$6</f>
        <v>142.25761370600839</v>
      </c>
      <c r="F44" s="96">
        <f>F5/inflation_comparison!P6*inflation_comparison!$Q$6</f>
        <v>151.10233188001871</v>
      </c>
      <c r="G44" s="96">
        <f>G5/inflation_comparison!Q6*inflation_comparison!$Q$6</f>
        <v>168.2</v>
      </c>
      <c r="H44" s="96">
        <f>H5/inflation_comparison!R6*inflation_comparison!$Q$6</f>
        <v>170.68263347897459</v>
      </c>
      <c r="I44" s="795">
        <f>I5/inflation_comparison!S6*inflation_comparison!$Q$6</f>
        <v>172.48235143477544</v>
      </c>
      <c r="J44" s="352">
        <f>(I44/F44)^(1/COUNT(G44:I44))-1</f>
        <v>4.5099963423596678E-2</v>
      </c>
      <c r="K44" s="352">
        <f>(I44/G44)^(1/COUNT(H44:I44))-1</f>
        <v>1.2649928520959586E-2</v>
      </c>
      <c r="L44" s="798">
        <f>(I44/C44)^(1/COUNT(D44:I44))-1</f>
        <v>3.3340257380646721E-2</v>
      </c>
      <c r="M44" s="798">
        <f>(H44/C44)^(1/COUNT(D44:H44))-1</f>
        <v>3.7960802549388717E-2</v>
      </c>
    </row>
    <row r="45" spans="2:14">
      <c r="B45" s="543" t="s">
        <v>1265</v>
      </c>
      <c r="C45" s="96">
        <f>C6/C38*$G$38</f>
        <v>142.21770662201038</v>
      </c>
      <c r="D45" s="96">
        <f t="shared" ref="D45:I45" si="8">D6/D38*$G$38</f>
        <v>148.79517900555476</v>
      </c>
      <c r="E45" s="96">
        <f t="shared" si="8"/>
        <v>142.97187575947706</v>
      </c>
      <c r="F45" s="96">
        <f t="shared" si="8"/>
        <v>152.28991213398021</v>
      </c>
      <c r="G45" s="96">
        <f t="shared" si="8"/>
        <v>173.9</v>
      </c>
      <c r="H45" s="96">
        <f t="shared" si="8"/>
        <v>171.86111639734204</v>
      </c>
      <c r="I45" s="795">
        <f t="shared" si="8"/>
        <v>173.33472742883788</v>
      </c>
      <c r="J45" s="476">
        <f>(I45/F45)^(1/COUNT(G45:I45))-1</f>
        <v>4.4090510529231297E-2</v>
      </c>
      <c r="K45" s="476">
        <f>(I45/G45)^(1/COUNT(H45:I45))-1</f>
        <v>-1.6266034575355137E-3</v>
      </c>
      <c r="L45" s="798">
        <f>(I45/C45)^(1/COUNT(D45:I45))-1</f>
        <v>3.3527377112056778E-2</v>
      </c>
      <c r="M45" s="798">
        <f t="shared" ref="M45:M69" si="9">(H45/C45)^(1/COUNT(D45:H45))-1</f>
        <v>3.8591565965335084E-2</v>
      </c>
    </row>
    <row r="46" spans="2:14">
      <c r="C46" s="96"/>
      <c r="D46" s="96"/>
      <c r="E46" s="96"/>
      <c r="F46" s="96"/>
      <c r="G46" s="96"/>
      <c r="H46" s="96"/>
      <c r="I46" s="795"/>
      <c r="L46" s="497"/>
      <c r="M46" s="798"/>
    </row>
    <row r="47" spans="2:14">
      <c r="B47" s="542" t="s">
        <v>655</v>
      </c>
      <c r="C47" s="96"/>
      <c r="D47" s="96"/>
      <c r="E47" s="96"/>
      <c r="F47" s="96"/>
      <c r="G47" s="96">
        <f>G51-G46</f>
        <v>155.4</v>
      </c>
      <c r="H47" s="96">
        <f>H51-H46</f>
        <v>156.45018768520811</v>
      </c>
      <c r="I47" s="795">
        <f>H51-H50</f>
        <v>1.0728073785819561</v>
      </c>
      <c r="L47" s="497"/>
      <c r="M47" s="798"/>
    </row>
    <row r="48" spans="2:14" hidden="1">
      <c r="B48" s="543" t="s">
        <v>1262</v>
      </c>
      <c r="C48" s="96"/>
      <c r="D48" s="96"/>
      <c r="E48" s="96"/>
      <c r="F48" s="96"/>
      <c r="G48" s="96"/>
      <c r="H48" s="96"/>
      <c r="I48" s="795"/>
      <c r="L48" s="497"/>
      <c r="M48" s="798" t="e">
        <f t="shared" si="9"/>
        <v>#DIV/0!</v>
      </c>
    </row>
    <row r="49" spans="2:13" hidden="1">
      <c r="B49" s="543" t="s">
        <v>1263</v>
      </c>
      <c r="C49" s="96"/>
      <c r="D49" s="96"/>
      <c r="E49" s="96"/>
      <c r="F49" s="96"/>
      <c r="G49" s="96"/>
      <c r="H49" s="96"/>
      <c r="I49" s="795"/>
      <c r="L49" s="497"/>
      <c r="M49" s="798" t="e">
        <f t="shared" si="9"/>
        <v>#DIV/0!</v>
      </c>
    </row>
    <row r="50" spans="2:13">
      <c r="B50" s="543" t="s">
        <v>1264</v>
      </c>
      <c r="C50" s="96">
        <f>C12/inflation_comparison!M6*inflation_comparison!$Q$6</f>
        <v>130.44061409354347</v>
      </c>
      <c r="D50" s="96">
        <f>D12/inflation_comparison!N6*inflation_comparison!$Q$6</f>
        <v>137.41550988850346</v>
      </c>
      <c r="E50" s="96">
        <f>E12/inflation_comparison!O6*inflation_comparison!$Q$6</f>
        <v>131.40303423027481</v>
      </c>
      <c r="F50" s="96">
        <f>F12/inflation_comparison!P6*inflation_comparison!$Q$6</f>
        <v>140.19695886438933</v>
      </c>
      <c r="G50" s="96">
        <f>G12/inflation_comparison!Q6*inflation_comparison!$Q$6</f>
        <v>152.6</v>
      </c>
      <c r="H50" s="96">
        <f>H12/inflation_comparison!R6*inflation_comparison!$Q$6</f>
        <v>155.37738030662615</v>
      </c>
      <c r="I50" s="795">
        <f>I12/inflation_comparison!S6*inflation_comparison!$Q$6</f>
        <v>158.61874779949693</v>
      </c>
      <c r="J50" s="476">
        <f>(I50/F50)^(1/COUNT(G50:I50))-1</f>
        <v>4.2010210723658181E-2</v>
      </c>
      <c r="K50" s="476">
        <f>(I50/G50)^(1/COUNT(H50:I50))-1</f>
        <v>1.95299581250159E-2</v>
      </c>
      <c r="L50" s="798">
        <f>(I50/C50)^(1/COUNT(D50:I50))-1</f>
        <v>3.3134696603948965E-2</v>
      </c>
      <c r="M50" s="798">
        <f t="shared" si="9"/>
        <v>3.560703510698926E-2</v>
      </c>
    </row>
    <row r="51" spans="2:13">
      <c r="B51" s="543" t="s">
        <v>1265</v>
      </c>
      <c r="C51" s="96">
        <f>C13/C38*$G$38</f>
        <v>130.9428944283903</v>
      </c>
      <c r="D51" s="96">
        <f t="shared" ref="D51:I51" si="10">D13/D38*$G$38</f>
        <v>137.94464806222018</v>
      </c>
      <c r="E51" s="96">
        <f t="shared" si="10"/>
        <v>132.06279646454996</v>
      </c>
      <c r="F51" s="96">
        <f t="shared" si="10"/>
        <v>141.29882895428977</v>
      </c>
      <c r="G51" s="96">
        <f t="shared" si="10"/>
        <v>155.4</v>
      </c>
      <c r="H51" s="96">
        <f t="shared" si="10"/>
        <v>156.45018768520811</v>
      </c>
      <c r="I51" s="795">
        <f t="shared" si="10"/>
        <v>159.31430072268256</v>
      </c>
      <c r="J51" s="476">
        <f>(I51/F51)^(1/COUNT(G51:I51))-1</f>
        <v>4.0811462222811956E-2</v>
      </c>
      <c r="K51" s="476">
        <f>(I51/G51)^(1/COUNT(H51:I51))-1</f>
        <v>1.2515950659056418E-2</v>
      </c>
      <c r="L51" s="798">
        <f>(I51/C51)^(1/COUNT(D51:I51))-1</f>
        <v>3.3226344172662126E-2</v>
      </c>
      <c r="M51" s="798">
        <f t="shared" si="9"/>
        <v>3.6236368150624365E-2</v>
      </c>
    </row>
    <row r="52" spans="2:13">
      <c r="C52" s="96"/>
      <c r="D52" s="96"/>
      <c r="E52" s="96"/>
      <c r="F52" s="96"/>
      <c r="G52" s="96"/>
      <c r="H52" s="96">
        <f>H50-G50</f>
        <v>2.7773803066261564</v>
      </c>
      <c r="I52" s="795"/>
      <c r="L52" s="497"/>
      <c r="M52" s="798"/>
    </row>
    <row r="53" spans="2:13">
      <c r="B53" s="542" t="s">
        <v>1266</v>
      </c>
      <c r="C53" s="96"/>
      <c r="D53" s="96"/>
      <c r="E53" s="96"/>
      <c r="F53" s="96"/>
      <c r="G53" s="96">
        <f>H52-H53</f>
        <v>1.7271926214180553</v>
      </c>
      <c r="H53" s="96">
        <f>H51-G51</f>
        <v>1.0501876852081011</v>
      </c>
      <c r="I53" s="795"/>
      <c r="L53" s="497"/>
      <c r="M53" s="798"/>
    </row>
    <row r="54" spans="2:13" hidden="1">
      <c r="B54" s="543" t="s">
        <v>1262</v>
      </c>
      <c r="C54" s="96"/>
      <c r="D54" s="96"/>
      <c r="E54" s="96"/>
      <c r="F54" s="96"/>
      <c r="G54" s="96"/>
      <c r="H54" s="96"/>
      <c r="I54" s="795"/>
      <c r="L54" s="497"/>
      <c r="M54" s="798" t="e">
        <f t="shared" si="9"/>
        <v>#DIV/0!</v>
      </c>
    </row>
    <row r="55" spans="2:13" hidden="1">
      <c r="B55" s="543" t="s">
        <v>1263</v>
      </c>
      <c r="C55" s="96"/>
      <c r="D55" s="96"/>
      <c r="E55" s="96"/>
      <c r="F55" s="96"/>
      <c r="G55" s="96"/>
      <c r="H55" s="96"/>
      <c r="I55" s="795"/>
      <c r="L55" s="497"/>
      <c r="M55" s="798" t="e">
        <f t="shared" si="9"/>
        <v>#DIV/0!</v>
      </c>
    </row>
    <row r="56" spans="2:13">
      <c r="B56" s="543" t="s">
        <v>1264</v>
      </c>
      <c r="C56" s="96">
        <f>C20/inflation_comparison!M6*inflation_comparison!$Q$6</f>
        <v>11.23156344408947</v>
      </c>
      <c r="D56" s="96">
        <f>D20/inflation_comparison!N6*inflation_comparison!$Q$6</f>
        <v>10.808909682866213</v>
      </c>
      <c r="E56" s="96">
        <f>E20/inflation_comparison!O6*inflation_comparison!$Q$6</f>
        <v>10.854579475733587</v>
      </c>
      <c r="F56" s="96">
        <f>F20/inflation_comparison!P6*inflation_comparison!$Q$6</f>
        <v>10.905373015629394</v>
      </c>
      <c r="G56" s="96">
        <f>G20/inflation_comparison!Q6*inflation_comparison!$Q$6</f>
        <v>15.599999999999994</v>
      </c>
      <c r="H56" s="96">
        <f>H20/inflation_comparison!R6*inflation_comparison!$Q$6</f>
        <v>15.305253172348447</v>
      </c>
      <c r="I56" s="795">
        <f>I20/inflation_comparison!S6*inflation_comparison!$Q$6</f>
        <v>13.863603635278514</v>
      </c>
      <c r="J56" s="476">
        <f>(I56/F56)^(1/COUNT(G56:I56))-1</f>
        <v>8.3291168833198981E-2</v>
      </c>
      <c r="K56" s="476">
        <f>(I56/G56)^(1/COUNT(H56:I56))-1</f>
        <v>-5.7295093508587969E-2</v>
      </c>
      <c r="L56" s="798">
        <f>(I56/C56)^(1/COUNT(D56:I56))-1</f>
        <v>3.5712743238896172E-2</v>
      </c>
      <c r="M56" s="798">
        <f t="shared" si="9"/>
        <v>6.3849173816172389E-2</v>
      </c>
    </row>
    <row r="57" spans="2:13">
      <c r="B57" s="543" t="s">
        <v>1265</v>
      </c>
      <c r="C57" s="96">
        <f>C21/C38*$G$38</f>
        <v>11.274812193620081</v>
      </c>
      <c r="D57" s="96">
        <f t="shared" ref="D57:I57" si="11">D21/D38*$G$38</f>
        <v>10.850530943334565</v>
      </c>
      <c r="E57" s="96">
        <f t="shared" si="11"/>
        <v>10.909079294927089</v>
      </c>
      <c r="F57" s="96">
        <f t="shared" si="11"/>
        <v>10.99108317969046</v>
      </c>
      <c r="G57" s="96">
        <f>G21/G38*$G$38</f>
        <v>18.5</v>
      </c>
      <c r="H57" s="96">
        <f t="shared" si="11"/>
        <v>15.410928712133947</v>
      </c>
      <c r="I57" s="795">
        <f t="shared" si="11"/>
        <v>14.020426706155302</v>
      </c>
      <c r="J57" s="476">
        <f>(I57/F57)^(1/COUNT(G57:I57))-1</f>
        <v>8.4526693047655588E-2</v>
      </c>
      <c r="K57" s="476">
        <f>(I57/G57)^(1/COUNT(H57:I57))-1</f>
        <v>-0.12944793203656002</v>
      </c>
      <c r="L57" s="798">
        <f>(I57/C57)^(1/COUNT(D57:I57))-1</f>
        <v>3.6991792665877155E-2</v>
      </c>
      <c r="M57" s="798">
        <f t="shared" si="9"/>
        <v>6.4495669461557048E-2</v>
      </c>
    </row>
    <row r="58" spans="2:13">
      <c r="C58" s="96"/>
      <c r="D58" s="96"/>
      <c r="E58" s="96"/>
      <c r="F58" s="96"/>
      <c r="G58" s="96"/>
      <c r="H58" s="96"/>
      <c r="I58" s="795"/>
      <c r="L58" s="497"/>
      <c r="M58" s="798"/>
    </row>
    <row r="59" spans="2:13">
      <c r="B59" s="542" t="s">
        <v>130</v>
      </c>
      <c r="C59" s="96"/>
      <c r="D59" s="96"/>
      <c r="E59" s="96"/>
      <c r="F59" s="96"/>
      <c r="G59" s="96"/>
      <c r="H59" s="96"/>
      <c r="I59" s="96"/>
      <c r="K59" s="476"/>
      <c r="L59" s="497"/>
      <c r="M59" s="798"/>
    </row>
    <row r="60" spans="2:13" hidden="1">
      <c r="B60" s="543" t="s">
        <v>1262</v>
      </c>
      <c r="C60" s="96"/>
      <c r="D60" s="96"/>
      <c r="E60" s="96"/>
      <c r="F60" s="96"/>
      <c r="G60" s="96"/>
      <c r="H60" s="96"/>
      <c r="I60" s="795"/>
      <c r="K60" s="476" t="e">
        <f t="shared" ref="K60:K61" si="12">(I60/G60)^(1/COUNT(H60:I60))-1</f>
        <v>#DIV/0!</v>
      </c>
      <c r="L60" s="497"/>
      <c r="M60" s="798" t="e">
        <f t="shared" si="9"/>
        <v>#DIV/0!</v>
      </c>
    </row>
    <row r="61" spans="2:13" hidden="1">
      <c r="B61" s="543" t="s">
        <v>1263</v>
      </c>
      <c r="C61" s="96"/>
      <c r="D61" s="96"/>
      <c r="E61" s="96"/>
      <c r="F61" s="96"/>
      <c r="G61" s="96"/>
      <c r="H61" s="96"/>
      <c r="I61" s="795"/>
      <c r="K61" s="476" t="e">
        <f t="shared" si="12"/>
        <v>#DIV/0!</v>
      </c>
      <c r="L61" s="497"/>
      <c r="M61" s="798" t="e">
        <f t="shared" si="9"/>
        <v>#DIV/0!</v>
      </c>
    </row>
    <row r="62" spans="2:13">
      <c r="B62" s="543" t="s">
        <v>1267</v>
      </c>
      <c r="C62" s="96">
        <f>C27/inflation_comparison!M6*inflation_comparison!$Q$6</f>
        <v>6.7681020814824606</v>
      </c>
      <c r="D62" s="96">
        <f>D27/inflation_comparison!N6*inflation_comparison!$Q$6</f>
        <v>7.7896549645887001</v>
      </c>
      <c r="E62" s="96">
        <f>E27/inflation_comparison!O6*inflation_comparison!$Q$6</f>
        <v>8.9759022587796924</v>
      </c>
      <c r="F62" s="96">
        <f>F27/inflation_comparison!P6*inflation_comparison!$Q$6</f>
        <v>9.4373420327562005</v>
      </c>
      <c r="G62" s="96">
        <f>G27/inflation_comparison!Q6*inflation_comparison!$Q$6</f>
        <v>12</v>
      </c>
      <c r="H62" s="96">
        <f>H27/inflation_comparison!R6*inflation_comparison!$Q$6</f>
        <v>11.333636842814999</v>
      </c>
      <c r="I62" s="795">
        <f>I27/inflation_comparison!S6*inflation_comparison!$Q$6</f>
        <v>12.046993503759261</v>
      </c>
      <c r="J62" s="476">
        <f>(I62/F62)^(1/COUNT(G62:I62))-1</f>
        <v>8.4783307315407397E-2</v>
      </c>
      <c r="K62" s="476">
        <f>(I62/G62)^(1/COUNT(H62:I62))-1</f>
        <v>1.9561493964053156E-3</v>
      </c>
      <c r="L62" s="798">
        <f>(I62/C62)^(1/COUNT(D62:I62))-1</f>
        <v>0.10086812194360828</v>
      </c>
      <c r="M62" s="798">
        <f t="shared" si="9"/>
        <v>0.10861430561491625</v>
      </c>
    </row>
    <row r="63" spans="2:13">
      <c r="B63" s="543" t="s">
        <v>1265</v>
      </c>
      <c r="C63" s="96">
        <f>C28/C38*$G$38</f>
        <v>6.7941636314328973</v>
      </c>
      <c r="D63" s="96">
        <f t="shared" ref="D63:I63" si="13">D28/D38*$G$38</f>
        <v>7.8196501507593901</v>
      </c>
      <c r="E63" s="96">
        <f t="shared" si="13"/>
        <v>9.0209694169589341</v>
      </c>
      <c r="F63" s="96">
        <f t="shared" si="13"/>
        <v>9.5115142901167378</v>
      </c>
      <c r="G63" s="96">
        <f t="shared" si="13"/>
        <v>11.2</v>
      </c>
      <c r="H63" s="96">
        <f t="shared" si="13"/>
        <v>11.704502819342252</v>
      </c>
      <c r="I63" s="795">
        <f t="shared" si="13"/>
        <v>12.099820308051839</v>
      </c>
      <c r="J63" s="476">
        <f>(I63/F63)^(1/COUNT(G63:I63))-1</f>
        <v>8.3535351825140047E-2</v>
      </c>
      <c r="K63" s="476">
        <f>(I63/G63)^(1/COUNT(H63:I63))-1</f>
        <v>3.9394582886210783E-2</v>
      </c>
      <c r="L63" s="798">
        <f>(I63/C63)^(1/COUNT(D63:I63))-1</f>
        <v>0.10096577802580309</v>
      </c>
      <c r="M63" s="798">
        <f t="shared" si="9"/>
        <v>0.11491919785515958</v>
      </c>
    </row>
    <row r="64" spans="2:13">
      <c r="C64" s="96"/>
      <c r="D64" s="96"/>
      <c r="E64" s="96"/>
      <c r="F64" s="96"/>
      <c r="G64" s="96"/>
      <c r="H64" s="96">
        <f>H63-G63</f>
        <v>0.50450281934225316</v>
      </c>
      <c r="I64" s="96">
        <f>I63-H63</f>
        <v>0.39531748870958694</v>
      </c>
      <c r="L64" s="497"/>
      <c r="M64" s="798"/>
    </row>
    <row r="65" spans="2:13">
      <c r="B65" s="542" t="s">
        <v>131</v>
      </c>
      <c r="C65" s="96"/>
      <c r="D65" s="96"/>
      <c r="E65" s="96"/>
      <c r="F65" s="96"/>
      <c r="G65" s="96"/>
      <c r="H65" s="96"/>
      <c r="I65" s="815">
        <f>(I63/G63)^(1/2)-1</f>
        <v>3.9394582886210783E-2</v>
      </c>
      <c r="L65" s="497"/>
      <c r="M65" s="798"/>
    </row>
    <row r="66" spans="2:13" hidden="1">
      <c r="B66" s="543" t="s">
        <v>1262</v>
      </c>
      <c r="C66" s="96"/>
      <c r="D66" s="96"/>
      <c r="E66" s="96"/>
      <c r="F66" s="96"/>
      <c r="G66" s="96"/>
      <c r="H66" s="96"/>
      <c r="I66" s="795"/>
      <c r="L66" s="497"/>
      <c r="M66" s="798" t="e">
        <f t="shared" si="9"/>
        <v>#DIV/0!</v>
      </c>
    </row>
    <row r="67" spans="2:13" hidden="1">
      <c r="B67" s="543" t="s">
        <v>1263</v>
      </c>
      <c r="C67" s="96"/>
      <c r="D67" s="96"/>
      <c r="E67" s="96"/>
      <c r="F67" s="96"/>
      <c r="G67" s="96"/>
      <c r="H67" s="96"/>
      <c r="I67" s="795"/>
      <c r="L67" s="497"/>
      <c r="M67" s="798" t="e">
        <f t="shared" si="9"/>
        <v>#DIV/0!</v>
      </c>
    </row>
    <row r="68" spans="2:13">
      <c r="B68" s="543" t="s">
        <v>1267</v>
      </c>
      <c r="C68" s="96">
        <f>C34/inflation_comparison!M6*inflation_comparison!$Q$6</f>
        <v>148.44027961911539</v>
      </c>
      <c r="D68" s="96">
        <f>D34/inflation_comparison!N6*inflation_comparison!$Q$6</f>
        <v>156.01407453595834</v>
      </c>
      <c r="E68" s="96">
        <f>E34/inflation_comparison!O6*inflation_comparison!$Q$6</f>
        <v>151.2335159647881</v>
      </c>
      <c r="F68" s="96">
        <f>F34/inflation_comparison!P6*inflation_comparison!$Q$6</f>
        <v>160.5396739127749</v>
      </c>
      <c r="G68" s="96">
        <f>G34/inflation_comparison!Q6*inflation_comparison!$Q$6</f>
        <v>180.2</v>
      </c>
      <c r="H68" s="96">
        <f>H34/inflation_comparison!R6*inflation_comparison!$Q$6</f>
        <v>182.01627032178959</v>
      </c>
      <c r="I68" s="795">
        <f>I34/inflation_comparison!S6*inflation_comparison!$Q$6</f>
        <v>184.52934493853471</v>
      </c>
      <c r="J68" s="476">
        <f>(I68/F68)^(1/COUNT(G68:I68))-1</f>
        <v>4.7516858613479984E-2</v>
      </c>
      <c r="K68" s="476">
        <f>(I68/G68)^(1/COUNT(H68:I68))-1</f>
        <v>1.1941313335159798E-2</v>
      </c>
      <c r="L68" s="798">
        <f>(I68/C68)^(1/COUNT(D68:I68))-1</f>
        <v>3.6936780634071686E-2</v>
      </c>
      <c r="M68" s="798">
        <f t="shared" si="9"/>
        <v>4.1625706626903236E-2</v>
      </c>
    </row>
    <row r="69" spans="2:13">
      <c r="B69" s="800" t="s">
        <v>1265</v>
      </c>
      <c r="C69" s="1230">
        <f>C35/C38*$G$38</f>
        <v>149.01187025344325</v>
      </c>
      <c r="D69" s="1230">
        <f t="shared" ref="D69:I69" si="14">D35/D38*$G$38</f>
        <v>156.61482915631413</v>
      </c>
      <c r="E69" s="1230">
        <f t="shared" si="14"/>
        <v>151.99284517643599</v>
      </c>
      <c r="F69" s="1230">
        <f t="shared" si="14"/>
        <v>161.80142642409695</v>
      </c>
      <c r="G69" s="1230">
        <f t="shared" si="14"/>
        <v>185.1</v>
      </c>
      <c r="H69" s="1230">
        <f t="shared" si="14"/>
        <v>183.5656192166843</v>
      </c>
      <c r="I69" s="801">
        <f t="shared" si="14"/>
        <v>185.43454773688973</v>
      </c>
      <c r="J69" s="1231">
        <f>(I69/F69)^(1/COUNT(G69:I69))-1</f>
        <v>4.6492454108846504E-2</v>
      </c>
      <c r="K69" s="1231">
        <f>(I69/G69)^(1/COUNT(H69:I69))-1</f>
        <v>9.0328662574923335E-4</v>
      </c>
      <c r="L69" s="798">
        <f>(I69/C69)^(1/COUNT(D69:I69))-1</f>
        <v>3.7118299585453318E-2</v>
      </c>
      <c r="M69" s="798">
        <f t="shared" si="9"/>
        <v>4.2591297625251379E-2</v>
      </c>
    </row>
    <row r="70" spans="2:13">
      <c r="G70" s="96"/>
      <c r="H70" s="172">
        <f>H69/G69-1</f>
        <v>-8.2894693858222013E-3</v>
      </c>
      <c r="I70" s="172">
        <f>I69/H69-1</f>
        <v>1.0181255772080622E-2</v>
      </c>
    </row>
    <row r="71" spans="2:13">
      <c r="B71" s="543" t="s">
        <v>690</v>
      </c>
      <c r="C71" s="96">
        <f>C68-C44-C62</f>
        <v>-7.1054273576010019E-15</v>
      </c>
      <c r="D71" s="96">
        <f t="shared" ref="D71:I71" si="15">D68-D44-D62</f>
        <v>-3.6415315207705135E-14</v>
      </c>
      <c r="E71" s="96">
        <f t="shared" si="15"/>
        <v>1.9539925233402755E-14</v>
      </c>
      <c r="F71" s="96">
        <f t="shared" si="15"/>
        <v>0</v>
      </c>
      <c r="G71" s="96">
        <f t="shared" si="15"/>
        <v>0</v>
      </c>
      <c r="H71" s="96">
        <f t="shared" si="15"/>
        <v>0</v>
      </c>
      <c r="I71" s="96">
        <f t="shared" si="15"/>
        <v>0</v>
      </c>
    </row>
    <row r="72" spans="2:13">
      <c r="B72" s="543" t="s">
        <v>690</v>
      </c>
      <c r="C72" s="96">
        <f>C69-C45-C63</f>
        <v>-3.1086244689504383E-14</v>
      </c>
      <c r="D72" s="96">
        <f t="shared" ref="D72:I72" si="16">D69-D45-D63</f>
        <v>-1.7763568394002505E-14</v>
      </c>
      <c r="E72" s="96">
        <f t="shared" si="16"/>
        <v>0</v>
      </c>
      <c r="F72" s="96">
        <f t="shared" si="16"/>
        <v>0</v>
      </c>
      <c r="G72" s="96">
        <f t="shared" si="16"/>
        <v>0</v>
      </c>
      <c r="H72" s="96">
        <f t="shared" si="16"/>
        <v>0</v>
      </c>
      <c r="I72" s="96">
        <f t="shared" si="16"/>
        <v>0</v>
      </c>
    </row>
    <row r="74" spans="2:13">
      <c r="I74" s="815">
        <f>(I69/G69)^(1/2)-1</f>
        <v>9.0328662574923335E-4</v>
      </c>
    </row>
    <row r="75" spans="2:13">
      <c r="K75" s="96">
        <f>H51-G51</f>
        <v>1.0501876852081011</v>
      </c>
      <c r="L75" s="96">
        <f>I51-H51</f>
        <v>2.8641130374744534</v>
      </c>
    </row>
  </sheetData>
  <mergeCells count="2">
    <mergeCell ref="E1:F1"/>
    <mergeCell ref="E40:F40"/>
  </mergeCells>
  <phoneticPr fontId="21" type="noConversion"/>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7FA3-143B-42A7-A4F7-C0C368B3A20B}">
  <sheetPr>
    <pageSetUpPr fitToPage="1"/>
  </sheetPr>
  <dimension ref="A1:BA129"/>
  <sheetViews>
    <sheetView zoomScale="70" zoomScaleNormal="70" workbookViewId="0">
      <pane ySplit="1" topLeftCell="A2" activePane="bottomLeft" state="frozen"/>
      <selection activeCell="O37" sqref="O37"/>
      <selection pane="bottomLeft" activeCell="O37" sqref="O37"/>
    </sheetView>
  </sheetViews>
  <sheetFormatPr defaultColWidth="10.453125" defaultRowHeight="14.5"/>
  <cols>
    <col min="1" max="1" width="56.453125" style="1" bestFit="1" customWidth="1"/>
    <col min="2" max="2" width="10.54296875" style="1" bestFit="1" customWidth="1"/>
    <col min="3" max="4" width="10" style="1" bestFit="1" customWidth="1"/>
    <col min="5" max="5" width="11.1796875" style="1" bestFit="1" customWidth="1"/>
    <col min="6" max="6" width="11.54296875" style="1" bestFit="1" customWidth="1"/>
    <col min="7" max="10" width="10.453125" style="1" bestFit="1" customWidth="1"/>
    <col min="11" max="11" width="16.453125" style="1" customWidth="1"/>
    <col min="12" max="14" width="10.54296875" style="1" bestFit="1" customWidth="1"/>
    <col min="15" max="17" width="11.453125" style="1" bestFit="1" customWidth="1"/>
    <col min="18" max="18" width="19.54296875" style="1" customWidth="1"/>
    <col min="19" max="19" width="17.54296875" style="1" customWidth="1"/>
    <col min="20" max="20" width="17.1796875" style="1" customWidth="1"/>
    <col min="21" max="21" width="19.1796875" style="1" customWidth="1"/>
    <col min="22" max="16384" width="10.453125" style="1"/>
  </cols>
  <sheetData>
    <row r="1" spans="1:53" ht="15" thickBot="1">
      <c r="B1" s="1041" t="s">
        <v>325</v>
      </c>
      <c r="C1" s="1041" t="s">
        <v>188</v>
      </c>
      <c r="D1" s="1041" t="s">
        <v>189</v>
      </c>
      <c r="E1" s="1041" t="s">
        <v>681</v>
      </c>
      <c r="F1" s="1041" t="s">
        <v>245</v>
      </c>
      <c r="G1" s="1041" t="s">
        <v>192</v>
      </c>
      <c r="H1" s="1041" t="s">
        <v>193</v>
      </c>
      <c r="I1" s="1041" t="s">
        <v>165</v>
      </c>
      <c r="J1" s="1041" t="s">
        <v>167</v>
      </c>
      <c r="K1" s="1041" t="s">
        <v>168</v>
      </c>
      <c r="L1" s="1041" t="s">
        <v>169</v>
      </c>
      <c r="M1" s="1051" t="s">
        <v>170</v>
      </c>
      <c r="N1" s="1051" t="s">
        <v>171</v>
      </c>
      <c r="O1" s="1052" t="s">
        <v>172</v>
      </c>
      <c r="P1" s="1052" t="s">
        <v>173</v>
      </c>
      <c r="Q1" s="1053" t="s">
        <v>174</v>
      </c>
      <c r="R1" s="92" t="s">
        <v>18</v>
      </c>
      <c r="S1" s="92" t="s">
        <v>181</v>
      </c>
      <c r="T1" s="37" t="s">
        <v>6</v>
      </c>
    </row>
    <row r="2" spans="1:53" ht="15" thickBot="1">
      <c r="T2" s="38" t="s">
        <v>7</v>
      </c>
    </row>
    <row r="3" spans="1:53">
      <c r="A3" s="1054" t="s">
        <v>653</v>
      </c>
      <c r="B3" s="1041" t="s">
        <v>325</v>
      </c>
      <c r="C3" s="1041" t="s">
        <v>188</v>
      </c>
      <c r="D3" s="1041" t="s">
        <v>189</v>
      </c>
      <c r="E3" s="1041" t="s">
        <v>681</v>
      </c>
      <c r="F3" s="1041" t="s">
        <v>245</v>
      </c>
      <c r="G3" s="1041" t="s">
        <v>192</v>
      </c>
      <c r="H3" s="1041" t="s">
        <v>193</v>
      </c>
      <c r="I3" s="1041" t="s">
        <v>165</v>
      </c>
      <c r="J3" s="1041" t="s">
        <v>167</v>
      </c>
      <c r="K3" s="1041" t="s">
        <v>168</v>
      </c>
      <c r="L3" s="1041" t="s">
        <v>169</v>
      </c>
      <c r="M3" s="1051" t="s">
        <v>170</v>
      </c>
      <c r="N3" s="1051" t="s">
        <v>171</v>
      </c>
      <c r="O3" s="1052" t="s">
        <v>172</v>
      </c>
      <c r="P3" s="1052" t="s">
        <v>173</v>
      </c>
      <c r="Q3" s="1052" t="s">
        <v>174</v>
      </c>
      <c r="R3" s="1055"/>
      <c r="S3" s="1056"/>
      <c r="T3" s="44" t="s">
        <v>8</v>
      </c>
      <c r="U3" s="3"/>
      <c r="V3" s="3"/>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spans="1:53">
      <c r="A4" s="5"/>
      <c r="R4" s="87"/>
      <c r="S4" s="6"/>
      <c r="T4" s="43" t="s">
        <v>9</v>
      </c>
      <c r="U4" s="3"/>
      <c r="V4" s="3"/>
    </row>
    <row r="5" spans="1:53" ht="14.5" customHeight="1">
      <c r="A5" s="7" t="s">
        <v>1272</v>
      </c>
      <c r="B5" s="8"/>
      <c r="C5" s="8"/>
      <c r="D5" s="8"/>
      <c r="E5" s="8"/>
      <c r="F5" s="8"/>
      <c r="G5" s="8"/>
      <c r="H5" s="8"/>
      <c r="I5" s="8"/>
      <c r="J5" s="8"/>
      <c r="K5" s="8"/>
      <c r="L5" s="8"/>
      <c r="M5" s="8"/>
      <c r="N5" s="8"/>
      <c r="O5" s="1807" t="s">
        <v>1273</v>
      </c>
      <c r="P5" s="1807"/>
      <c r="Q5" s="1808"/>
      <c r="R5" s="89" t="s">
        <v>1274</v>
      </c>
      <c r="S5" s="50"/>
      <c r="T5" s="75"/>
      <c r="U5" s="3"/>
      <c r="V5" s="3"/>
    </row>
    <row r="6" spans="1:53">
      <c r="A6" s="449"/>
      <c r="B6" s="447"/>
      <c r="C6" s="447"/>
      <c r="D6" s="447"/>
      <c r="E6" s="447"/>
      <c r="F6" s="447"/>
      <c r="G6" s="447"/>
      <c r="H6" s="447"/>
      <c r="I6" s="447"/>
      <c r="J6" s="447"/>
      <c r="K6" s="447"/>
      <c r="L6" s="447"/>
      <c r="M6" s="447"/>
      <c r="N6" s="447"/>
      <c r="O6" s="447"/>
      <c r="P6" s="447"/>
      <c r="Q6" s="447"/>
      <c r="R6" s="95" t="s">
        <v>1079</v>
      </c>
      <c r="S6" s="355" t="s">
        <v>1275</v>
      </c>
      <c r="T6" s="75"/>
      <c r="U6" s="3"/>
      <c r="V6" s="3"/>
    </row>
    <row r="7" spans="1:53">
      <c r="A7" s="450" t="s">
        <v>1276</v>
      </c>
      <c r="B7" s="447"/>
      <c r="C7" s="447"/>
      <c r="D7" s="447"/>
      <c r="E7" s="447"/>
      <c r="F7" s="447"/>
      <c r="G7" s="447"/>
      <c r="H7" s="447"/>
      <c r="I7" s="447"/>
      <c r="J7" s="447"/>
      <c r="K7" s="447"/>
      <c r="L7" s="447"/>
      <c r="M7" s="447"/>
      <c r="N7" s="447"/>
      <c r="O7" s="447"/>
      <c r="P7" s="447"/>
      <c r="Q7" s="447"/>
      <c r="R7" s="90"/>
      <c r="S7" s="306"/>
      <c r="T7" s="75"/>
      <c r="U7" s="3"/>
      <c r="V7" s="3"/>
    </row>
    <row r="8" spans="1:53">
      <c r="A8" s="451" t="s">
        <v>1277</v>
      </c>
      <c r="B8" s="447"/>
      <c r="C8" s="447"/>
      <c r="D8" s="447"/>
      <c r="E8" s="447"/>
      <c r="F8" s="447"/>
      <c r="G8" s="452">
        <v>97.8</v>
      </c>
      <c r="H8" s="452">
        <v>101.018</v>
      </c>
      <c r="I8" s="452">
        <v>106.45099999999999</v>
      </c>
      <c r="J8" s="452">
        <v>109.854</v>
      </c>
      <c r="K8" s="452">
        <v>112.374</v>
      </c>
      <c r="L8" s="452">
        <v>115.45099999999999</v>
      </c>
      <c r="M8" s="452">
        <v>119.598</v>
      </c>
      <c r="N8" s="452"/>
      <c r="O8" s="452"/>
      <c r="P8" s="452"/>
      <c r="Q8" s="447"/>
      <c r="R8" s="90"/>
      <c r="S8" s="355"/>
      <c r="T8" s="75"/>
      <c r="U8" s="3"/>
      <c r="V8" s="3"/>
    </row>
    <row r="9" spans="1:53">
      <c r="A9" s="453" t="s">
        <v>1278</v>
      </c>
      <c r="B9" s="447"/>
      <c r="C9" s="447"/>
      <c r="D9" s="447"/>
      <c r="E9" s="447"/>
      <c r="F9" s="447"/>
      <c r="G9" s="452"/>
      <c r="H9" s="452"/>
      <c r="I9" s="452"/>
      <c r="J9" s="452"/>
      <c r="K9" s="452"/>
      <c r="L9" s="452"/>
      <c r="M9" s="452"/>
      <c r="N9" s="452"/>
      <c r="O9" s="452"/>
      <c r="P9" s="452"/>
      <c r="Q9" s="447"/>
      <c r="R9" s="90"/>
      <c r="S9" s="355"/>
      <c r="T9" s="75"/>
      <c r="U9" s="3"/>
      <c r="V9" s="3"/>
    </row>
    <row r="10" spans="1:53">
      <c r="A10" s="451" t="s">
        <v>1279</v>
      </c>
      <c r="B10" s="447"/>
      <c r="C10" s="447"/>
      <c r="D10" s="447"/>
      <c r="E10" s="447"/>
      <c r="F10" s="447"/>
      <c r="G10" s="452"/>
      <c r="H10" s="452"/>
      <c r="I10" s="452"/>
      <c r="J10" s="454">
        <v>0.33700000000000002</v>
      </c>
      <c r="K10" s="452">
        <v>1.601</v>
      </c>
      <c r="L10" s="452">
        <v>0.90100000000000002</v>
      </c>
      <c r="M10" s="452"/>
      <c r="N10" s="452"/>
      <c r="O10" s="452"/>
      <c r="P10" s="452"/>
      <c r="Q10" s="447"/>
      <c r="R10" s="90"/>
      <c r="S10" s="355"/>
      <c r="T10" s="75"/>
      <c r="U10" s="3"/>
      <c r="V10" s="3"/>
    </row>
    <row r="11" spans="1:53">
      <c r="A11" s="451" t="s">
        <v>1280</v>
      </c>
      <c r="B11" s="447"/>
      <c r="C11" s="447"/>
      <c r="D11" s="447"/>
      <c r="E11" s="447"/>
      <c r="F11" s="447"/>
      <c r="G11" s="452">
        <v>-0.70199999999999996</v>
      </c>
      <c r="H11" s="452">
        <v>-0.44600000000000001</v>
      </c>
      <c r="I11" s="452">
        <v>-0.749</v>
      </c>
      <c r="J11" s="452">
        <v>-0.65500000000000003</v>
      </c>
      <c r="K11" s="452">
        <v>-0.17199999999999999</v>
      </c>
      <c r="L11" s="452">
        <v>-0.73599999999999999</v>
      </c>
      <c r="M11" s="452">
        <v>-0.79300000000000004</v>
      </c>
      <c r="N11" s="452"/>
      <c r="O11" s="452"/>
      <c r="P11" s="452"/>
      <c r="Q11" s="447"/>
      <c r="R11" s="90"/>
      <c r="S11" s="355"/>
      <c r="T11" s="75"/>
      <c r="U11" s="3"/>
      <c r="V11" s="3"/>
    </row>
    <row r="12" spans="1:53">
      <c r="A12" s="451" t="s">
        <v>1281</v>
      </c>
      <c r="B12" s="447"/>
      <c r="C12" s="447"/>
      <c r="D12" s="447"/>
      <c r="E12" s="447"/>
      <c r="F12" s="447"/>
      <c r="G12" s="452"/>
      <c r="H12" s="452"/>
      <c r="I12" s="452"/>
      <c r="J12" s="452"/>
      <c r="K12" s="452">
        <v>0.8</v>
      </c>
      <c r="L12" s="452">
        <v>5.1909999999999998</v>
      </c>
      <c r="M12" s="452">
        <v>8.202</v>
      </c>
      <c r="N12" s="452"/>
      <c r="O12" s="452"/>
      <c r="P12" s="452"/>
      <c r="Q12" s="447"/>
      <c r="R12" s="90"/>
      <c r="S12" s="355"/>
      <c r="T12" s="75"/>
      <c r="U12" s="3"/>
      <c r="V12" s="3"/>
    </row>
    <row r="13" spans="1:53">
      <c r="A13" s="465" t="s">
        <v>1282</v>
      </c>
      <c r="B13" s="466"/>
      <c r="C13" s="466"/>
      <c r="D13" s="466"/>
      <c r="E13" s="466"/>
      <c r="F13" s="466"/>
      <c r="G13" s="884"/>
      <c r="H13" s="884"/>
      <c r="I13" s="884"/>
      <c r="J13" s="884"/>
      <c r="K13" s="884">
        <f>SUM(K8:K12)</f>
        <v>114.60299999999999</v>
      </c>
      <c r="L13" s="884">
        <f t="shared" ref="L13:M13" si="0">SUM(L8:L12)</f>
        <v>120.80699999999999</v>
      </c>
      <c r="M13" s="884">
        <f t="shared" si="0"/>
        <v>127.00699999999999</v>
      </c>
      <c r="N13" s="884">
        <v>133.28299999999999</v>
      </c>
      <c r="O13" s="884">
        <v>139.99</v>
      </c>
      <c r="P13" s="884">
        <v>148.46700000000001</v>
      </c>
      <c r="Q13" s="466">
        <v>151.62899999999999</v>
      </c>
      <c r="R13" s="90"/>
      <c r="S13" s="355"/>
      <c r="T13" s="75"/>
      <c r="U13" s="3"/>
      <c r="V13" s="3"/>
    </row>
    <row r="14" spans="1:53">
      <c r="A14" s="465"/>
      <c r="B14" s="466"/>
      <c r="C14" s="466"/>
      <c r="D14" s="466"/>
      <c r="E14" s="466"/>
      <c r="F14" s="466"/>
      <c r="G14" s="884"/>
      <c r="H14" s="884"/>
      <c r="I14" s="884"/>
      <c r="J14" s="884"/>
      <c r="K14" s="884"/>
      <c r="L14" s="884"/>
      <c r="M14" s="884"/>
      <c r="N14" s="884"/>
      <c r="O14" s="884"/>
      <c r="P14" s="884"/>
      <c r="Q14" s="466"/>
      <c r="R14" s="90"/>
      <c r="S14" s="355"/>
      <c r="T14" s="75"/>
      <c r="U14" s="3"/>
      <c r="V14" s="3"/>
    </row>
    <row r="15" spans="1:53">
      <c r="A15" s="453" t="s">
        <v>1283</v>
      </c>
      <c r="B15" s="447"/>
      <c r="C15" s="447"/>
      <c r="D15" s="447"/>
      <c r="E15" s="447"/>
      <c r="F15" s="447"/>
      <c r="G15" s="452"/>
      <c r="H15" s="452"/>
      <c r="I15" s="452"/>
      <c r="J15" s="452"/>
      <c r="K15" s="452"/>
      <c r="L15" s="452"/>
      <c r="M15" s="452"/>
      <c r="N15" s="452"/>
      <c r="O15" s="452"/>
      <c r="P15" s="452"/>
      <c r="Q15" s="447"/>
      <c r="R15" s="90"/>
      <c r="S15" s="355"/>
      <c r="T15" s="75"/>
      <c r="U15" s="3"/>
      <c r="V15" s="3"/>
    </row>
    <row r="16" spans="1:53">
      <c r="A16" s="451" t="s">
        <v>1284</v>
      </c>
      <c r="B16" s="447"/>
      <c r="C16" s="447"/>
      <c r="D16" s="447"/>
      <c r="E16" s="447"/>
      <c r="F16" s="447"/>
      <c r="G16" s="452"/>
      <c r="H16" s="452"/>
      <c r="I16" s="452"/>
      <c r="J16" s="452"/>
      <c r="K16" s="452"/>
      <c r="L16" s="452">
        <v>2.851</v>
      </c>
      <c r="M16" s="452">
        <v>2.851</v>
      </c>
      <c r="N16" s="452">
        <v>2.851</v>
      </c>
      <c r="O16" s="452">
        <v>2.851</v>
      </c>
      <c r="P16" s="452">
        <v>2.851</v>
      </c>
      <c r="Q16" s="452">
        <v>2.851</v>
      </c>
      <c r="R16" s="90"/>
      <c r="S16" s="355"/>
      <c r="T16" s="75"/>
      <c r="U16" s="3"/>
      <c r="V16" s="3"/>
    </row>
    <row r="17" spans="1:22">
      <c r="A17" s="451" t="s">
        <v>1280</v>
      </c>
      <c r="B17" s="447"/>
      <c r="C17" s="447"/>
      <c r="D17" s="447"/>
      <c r="E17" s="447"/>
      <c r="F17" s="447"/>
      <c r="G17" s="452"/>
      <c r="H17" s="452"/>
      <c r="I17" s="452"/>
      <c r="J17" s="452"/>
      <c r="K17" s="452">
        <v>-0.182</v>
      </c>
      <c r="L17" s="454">
        <v>-0.28100000000000003</v>
      </c>
      <c r="M17" s="454">
        <v>-0.373</v>
      </c>
      <c r="N17" s="454">
        <v>-1.8149999999999999</v>
      </c>
      <c r="O17" s="452">
        <v>0.76500000000000001</v>
      </c>
      <c r="P17" s="452"/>
      <c r="Q17" s="447"/>
      <c r="R17" s="90"/>
      <c r="S17" s="355"/>
      <c r="T17" s="75"/>
      <c r="U17" s="3"/>
      <c r="V17" s="3"/>
    </row>
    <row r="18" spans="1:22">
      <c r="A18" s="451" t="s">
        <v>1285</v>
      </c>
      <c r="B18" s="447"/>
      <c r="C18" s="447"/>
      <c r="D18" s="447"/>
      <c r="E18" s="447"/>
      <c r="F18" s="447"/>
      <c r="G18" s="452"/>
      <c r="H18" s="452"/>
      <c r="I18" s="452"/>
      <c r="J18" s="452"/>
      <c r="K18" s="452"/>
      <c r="L18" s="454"/>
      <c r="M18" s="454">
        <v>19.988</v>
      </c>
      <c r="N18" s="454">
        <v>16.295000000000002</v>
      </c>
      <c r="O18" s="452"/>
      <c r="P18" s="452"/>
      <c r="Q18" s="447"/>
      <c r="R18" s="90"/>
      <c r="S18" s="355"/>
      <c r="T18" s="75"/>
      <c r="U18" s="3"/>
      <c r="V18" s="3"/>
    </row>
    <row r="19" spans="1:22">
      <c r="A19" s="451" t="s">
        <v>1043</v>
      </c>
      <c r="B19" s="447"/>
      <c r="C19" s="447"/>
      <c r="D19" s="447"/>
      <c r="E19" s="447"/>
      <c r="F19" s="447"/>
      <c r="G19" s="452"/>
      <c r="H19" s="452"/>
      <c r="I19" s="452"/>
      <c r="J19" s="452"/>
      <c r="K19" s="452"/>
      <c r="L19" s="454"/>
      <c r="M19" s="454"/>
      <c r="N19" s="454"/>
      <c r="O19" s="452">
        <v>8.9890000000000008</v>
      </c>
      <c r="P19" s="452">
        <v>6.085</v>
      </c>
      <c r="Q19" s="447">
        <v>8.1609999999999996</v>
      </c>
      <c r="R19" s="90"/>
      <c r="S19" s="355"/>
      <c r="T19" s="75"/>
      <c r="U19" s="3"/>
      <c r="V19" s="3"/>
    </row>
    <row r="20" spans="1:22">
      <c r="A20" s="453"/>
      <c r="B20" s="447"/>
      <c r="C20" s="447"/>
      <c r="D20" s="447"/>
      <c r="E20" s="447"/>
      <c r="F20" s="447"/>
      <c r="G20" s="455"/>
      <c r="H20" s="455"/>
      <c r="I20" s="455"/>
      <c r="J20" s="455"/>
      <c r="K20" s="455"/>
      <c r="L20" s="455"/>
      <c r="M20" s="455"/>
      <c r="N20" s="455"/>
      <c r="O20" s="455"/>
      <c r="P20" s="456"/>
      <c r="Q20" s="447"/>
      <c r="R20" s="90"/>
      <c r="S20" s="355"/>
      <c r="T20" s="75"/>
      <c r="U20" s="3"/>
      <c r="V20" s="3"/>
    </row>
    <row r="21" spans="1:22">
      <c r="A21" s="883" t="s">
        <v>1286</v>
      </c>
      <c r="B21" s="447"/>
      <c r="C21" s="447"/>
      <c r="D21" s="447"/>
      <c r="E21" s="447"/>
      <c r="F21" s="447">
        <v>93.695999999999998</v>
      </c>
      <c r="G21" s="458">
        <f>SUM(G8:G20)</f>
        <v>97.097999999999999</v>
      </c>
      <c r="H21" s="458">
        <f t="shared" ref="H21:I21" si="1">SUM(H8:H20)</f>
        <v>100.572</v>
      </c>
      <c r="I21" s="458">
        <f t="shared" si="1"/>
        <v>105.702</v>
      </c>
      <c r="J21" s="458">
        <f>SUM(J8:J20)</f>
        <v>109.536</v>
      </c>
      <c r="K21" s="452">
        <f>SUM(K8:K20)-K13</f>
        <v>114.42100000000001</v>
      </c>
      <c r="L21" s="452">
        <f>SUM(L8:L20)-L13</f>
        <v>123.37699999999998</v>
      </c>
      <c r="M21" s="452">
        <f>SUM(M8:M20)-M13</f>
        <v>149.47300000000001</v>
      </c>
      <c r="N21" s="452">
        <f>SUM(N8:N20)</f>
        <v>150.61399999999998</v>
      </c>
      <c r="O21" s="452">
        <f t="shared" ref="O21:P21" si="2">SUM(O8:O20)</f>
        <v>152.595</v>
      </c>
      <c r="P21" s="452">
        <f t="shared" si="2"/>
        <v>157.40300000000002</v>
      </c>
      <c r="Q21" s="452">
        <f>SUM(Q13:Q19)</f>
        <v>162.64099999999999</v>
      </c>
      <c r="R21" s="157"/>
      <c r="S21" s="355"/>
      <c r="T21" s="74"/>
      <c r="U21" s="3"/>
      <c r="V21" s="3"/>
    </row>
    <row r="22" spans="1:22">
      <c r="A22" s="459" t="s">
        <v>1287</v>
      </c>
      <c r="B22" s="460"/>
      <c r="C22" s="460"/>
      <c r="D22" s="460"/>
      <c r="E22" s="460"/>
      <c r="F22" s="460"/>
      <c r="G22" s="460"/>
      <c r="H22" s="460"/>
      <c r="I22" s="461">
        <v>0.93500000000000005</v>
      </c>
      <c r="J22" s="461">
        <v>1.038</v>
      </c>
      <c r="K22" s="461">
        <v>0.82599999999999996</v>
      </c>
      <c r="L22" s="461">
        <v>1.0089999999999999</v>
      </c>
      <c r="M22" s="462">
        <v>-0.73199999999999998</v>
      </c>
      <c r="N22" s="885">
        <v>-0.59499999999999997</v>
      </c>
      <c r="O22" s="460"/>
      <c r="P22" s="460"/>
      <c r="Q22" s="447"/>
      <c r="R22" s="87"/>
      <c r="S22" s="6"/>
      <c r="T22" s="75"/>
      <c r="U22" s="3"/>
      <c r="V22" s="3"/>
    </row>
    <row r="23" spans="1:22">
      <c r="A23" s="464" t="s">
        <v>1288</v>
      </c>
      <c r="B23" s="447"/>
      <c r="C23" s="447"/>
      <c r="D23" s="447"/>
      <c r="E23" s="447"/>
      <c r="F23" s="452"/>
      <c r="G23" s="452"/>
      <c r="H23" s="452"/>
      <c r="I23" s="454">
        <v>-0.90200000000000002</v>
      </c>
      <c r="J23" s="454">
        <v>-0.97</v>
      </c>
      <c r="K23" s="454">
        <v>-0.91600000000000004</v>
      </c>
      <c r="L23" s="454">
        <v>-0.63600000000000001</v>
      </c>
      <c r="M23" s="454">
        <v>-5.3739999999999997</v>
      </c>
      <c r="N23" s="454">
        <v>-0.69699999999999995</v>
      </c>
      <c r="O23" s="452"/>
      <c r="P23" s="452"/>
      <c r="Q23" s="447"/>
      <c r="R23" s="90"/>
      <c r="S23" s="355"/>
      <c r="T23" s="74"/>
      <c r="U23" s="3"/>
      <c r="V23" s="3"/>
    </row>
    <row r="24" spans="1:22">
      <c r="A24" s="465" t="s">
        <v>1289</v>
      </c>
      <c r="B24" s="447"/>
      <c r="C24" s="447"/>
      <c r="D24" s="447"/>
      <c r="E24" s="447"/>
      <c r="F24" s="466">
        <f t="shared" ref="F24:Q24" si="3">F21+F22+F23</f>
        <v>93.695999999999998</v>
      </c>
      <c r="G24" s="466">
        <f t="shared" si="3"/>
        <v>97.097999999999999</v>
      </c>
      <c r="H24" s="466">
        <f t="shared" si="3"/>
        <v>100.572</v>
      </c>
      <c r="I24" s="466">
        <f t="shared" si="3"/>
        <v>105.735</v>
      </c>
      <c r="J24" s="466">
        <f t="shared" si="3"/>
        <v>109.604</v>
      </c>
      <c r="K24" s="466">
        <f t="shared" si="3"/>
        <v>114.331</v>
      </c>
      <c r="L24" s="466">
        <f t="shared" si="3"/>
        <v>123.74999999999999</v>
      </c>
      <c r="M24" s="466">
        <f t="shared" si="3"/>
        <v>143.36700000000002</v>
      </c>
      <c r="N24" s="467">
        <f t="shared" si="3"/>
        <v>149.32199999999997</v>
      </c>
      <c r="O24" s="467">
        <f t="shared" si="3"/>
        <v>152.595</v>
      </c>
      <c r="P24" s="467">
        <f t="shared" si="3"/>
        <v>157.40300000000002</v>
      </c>
      <c r="Q24" s="467">
        <f t="shared" si="3"/>
        <v>162.64099999999999</v>
      </c>
      <c r="R24" s="87"/>
      <c r="S24" s="355"/>
      <c r="T24" s="75"/>
      <c r="U24" s="3"/>
      <c r="V24" s="3"/>
    </row>
    <row r="25" spans="1:22">
      <c r="A25" s="451" t="s">
        <v>1290</v>
      </c>
      <c r="B25" s="447"/>
      <c r="C25" s="447"/>
      <c r="D25" s="447"/>
      <c r="E25" s="447"/>
      <c r="F25" s="468"/>
      <c r="G25" s="469">
        <v>0.189</v>
      </c>
      <c r="H25" s="469">
        <v>0.182</v>
      </c>
      <c r="I25" s="469">
        <v>0.24</v>
      </c>
      <c r="J25" s="469">
        <v>0.22800000000000001</v>
      </c>
      <c r="K25" s="469">
        <v>0.221</v>
      </c>
      <c r="L25" s="469">
        <v>0.26600000000000001</v>
      </c>
      <c r="M25" s="469">
        <v>0.33100000000000002</v>
      </c>
      <c r="N25" s="454">
        <v>0.29099999999999998</v>
      </c>
      <c r="O25" s="452">
        <v>0.223</v>
      </c>
      <c r="P25" s="452">
        <v>0.219</v>
      </c>
      <c r="Q25" s="447">
        <v>0.219</v>
      </c>
      <c r="R25" s="90"/>
      <c r="S25" s="355"/>
      <c r="T25" s="75"/>
      <c r="U25" s="3"/>
      <c r="V25" s="3"/>
    </row>
    <row r="26" spans="1:22">
      <c r="A26" s="470" t="s">
        <v>1291</v>
      </c>
      <c r="B26" s="447"/>
      <c r="C26" s="447"/>
      <c r="D26" s="447"/>
      <c r="E26" s="447"/>
      <c r="F26" s="447"/>
      <c r="G26" s="452">
        <f t="shared" ref="G26:M26" si="4">G25+G24</f>
        <v>97.286999999999992</v>
      </c>
      <c r="H26" s="452">
        <f t="shared" si="4"/>
        <v>100.754</v>
      </c>
      <c r="I26" s="452">
        <f t="shared" si="4"/>
        <v>105.97499999999999</v>
      </c>
      <c r="J26" s="452">
        <f t="shared" si="4"/>
        <v>109.83199999999999</v>
      </c>
      <c r="K26" s="452">
        <f t="shared" si="4"/>
        <v>114.55200000000001</v>
      </c>
      <c r="L26" s="452">
        <f t="shared" si="4"/>
        <v>124.01599999999999</v>
      </c>
      <c r="M26" s="452">
        <f t="shared" si="4"/>
        <v>143.69800000000001</v>
      </c>
      <c r="N26" s="452">
        <f>N25+N24</f>
        <v>149.61299999999997</v>
      </c>
      <c r="O26" s="452">
        <f t="shared" ref="O26:Q26" si="5">O25+O24</f>
        <v>152.81800000000001</v>
      </c>
      <c r="P26" s="452">
        <f t="shared" si="5"/>
        <v>157.62200000000001</v>
      </c>
      <c r="Q26" s="452">
        <f t="shared" si="5"/>
        <v>162.85999999999999</v>
      </c>
      <c r="R26" s="87"/>
      <c r="S26" s="6"/>
      <c r="T26" s="75"/>
      <c r="U26" s="3"/>
      <c r="V26" s="3"/>
    </row>
    <row r="27" spans="1:22">
      <c r="A27" s="49"/>
      <c r="B27" s="10"/>
      <c r="C27" s="10"/>
      <c r="D27" s="10"/>
      <c r="E27" s="10"/>
      <c r="F27" s="10"/>
      <c r="G27" s="304"/>
      <c r="H27" s="304"/>
      <c r="I27" s="304"/>
      <c r="J27" s="304"/>
      <c r="K27" s="304"/>
      <c r="L27" s="304"/>
      <c r="M27" s="304"/>
      <c r="N27" s="304"/>
      <c r="O27" s="304"/>
      <c r="Q27" s="10"/>
      <c r="R27" s="87"/>
      <c r="S27" s="6"/>
      <c r="T27" s="75"/>
      <c r="U27" s="3"/>
      <c r="V27" s="3"/>
    </row>
    <row r="28" spans="1:22">
      <c r="A28" s="49"/>
      <c r="B28" s="10"/>
      <c r="C28" s="10"/>
      <c r="D28" s="10"/>
      <c r="E28" s="10"/>
      <c r="F28" s="10"/>
      <c r="G28" s="304"/>
      <c r="H28" s="304"/>
      <c r="I28" s="304"/>
      <c r="J28" s="304"/>
      <c r="K28" s="304"/>
      <c r="L28" s="304"/>
      <c r="M28" s="304"/>
      <c r="N28" s="304"/>
      <c r="O28" s="304"/>
      <c r="Q28" s="10"/>
      <c r="R28" s="87"/>
      <c r="S28" s="6"/>
      <c r="T28" s="75"/>
      <c r="U28" s="3"/>
      <c r="V28" s="3"/>
    </row>
    <row r="29" spans="1:22">
      <c r="A29" s="49"/>
      <c r="B29" s="10"/>
      <c r="C29" s="10"/>
      <c r="D29" s="10"/>
      <c r="E29" s="10"/>
      <c r="F29" s="10"/>
      <c r="G29" s="304"/>
      <c r="H29" s="304"/>
      <c r="I29" s="304"/>
      <c r="J29" s="304"/>
      <c r="K29" s="304"/>
      <c r="L29" s="304"/>
      <c r="M29" s="304"/>
      <c r="N29" s="304"/>
      <c r="O29" s="304"/>
      <c r="Q29" s="10"/>
      <c r="R29" s="87"/>
      <c r="S29" s="6"/>
      <c r="T29" s="75"/>
      <c r="U29" s="3"/>
      <c r="V29" s="3"/>
    </row>
    <row r="30" spans="1:22">
      <c r="A30" s="49"/>
      <c r="B30" s="10"/>
      <c r="C30" s="10"/>
      <c r="D30" s="10"/>
      <c r="E30" s="10"/>
      <c r="F30" s="10"/>
      <c r="G30" s="304"/>
      <c r="H30" s="304"/>
      <c r="I30" s="304"/>
      <c r="J30" s="304"/>
      <c r="K30" s="304"/>
      <c r="L30" s="304"/>
      <c r="M30" s="304"/>
      <c r="N30" s="304"/>
      <c r="O30" s="304"/>
      <c r="Q30" s="10"/>
      <c r="R30" s="87"/>
      <c r="S30" s="6"/>
      <c r="T30" s="75"/>
      <c r="U30" s="3"/>
      <c r="V30" s="3"/>
    </row>
    <row r="31" spans="1:22">
      <c r="A31" s="49" t="s">
        <v>1292</v>
      </c>
      <c r="B31" s="10"/>
      <c r="C31" s="10"/>
      <c r="D31" s="10"/>
      <c r="E31" s="10"/>
      <c r="F31" s="10"/>
      <c r="G31" s="304"/>
      <c r="H31" s="304"/>
      <c r="I31" s="304"/>
      <c r="J31" s="304"/>
      <c r="K31" s="304"/>
      <c r="L31" s="304"/>
      <c r="M31" s="304"/>
      <c r="N31" s="304"/>
      <c r="O31" s="304"/>
      <c r="Q31" s="10"/>
      <c r="R31" s="87"/>
      <c r="S31" s="6"/>
      <c r="T31" s="75"/>
      <c r="U31" s="3"/>
      <c r="V31" s="3"/>
    </row>
    <row r="32" spans="1:22">
      <c r="A32" s="45" t="s">
        <v>1293</v>
      </c>
      <c r="B32" s="10"/>
      <c r="C32" s="10"/>
      <c r="D32" s="10"/>
      <c r="E32" s="10"/>
      <c r="F32" s="10"/>
      <c r="G32" s="10"/>
      <c r="H32" s="10"/>
      <c r="I32" s="10"/>
      <c r="J32" s="10"/>
      <c r="K32" s="10"/>
      <c r="L32"/>
      <c r="M32" s="10"/>
      <c r="N32" s="10"/>
      <c r="O32" s="10"/>
      <c r="P32" s="10"/>
      <c r="Q32" s="315"/>
      <c r="R32" s="95" t="s">
        <v>1294</v>
      </c>
      <c r="S32" s="306" t="s">
        <v>1293</v>
      </c>
      <c r="T32" s="74"/>
      <c r="U32" s="3"/>
      <c r="V32" s="3"/>
    </row>
    <row r="33" spans="1:22">
      <c r="A33" s="49" t="s">
        <v>1295</v>
      </c>
      <c r="B33" s="10"/>
      <c r="C33" s="10"/>
      <c r="D33" s="10"/>
      <c r="E33" s="10"/>
      <c r="F33" s="10"/>
      <c r="G33" s="10">
        <v>8.0670000000000002</v>
      </c>
      <c r="H33" s="10">
        <v>8.8179999999999996</v>
      </c>
      <c r="I33" s="10">
        <v>9.0069999999999997</v>
      </c>
      <c r="J33" s="10">
        <v>8.7650000000000006</v>
      </c>
      <c r="K33" s="10">
        <v>9.18</v>
      </c>
      <c r="L33" s="10">
        <v>9.6959999999999997</v>
      </c>
      <c r="M33" s="10">
        <v>12.17</v>
      </c>
      <c r="N33" s="10"/>
      <c r="O33" s="10"/>
      <c r="P33" s="10"/>
      <c r="Q33" s="315"/>
      <c r="R33" s="91"/>
      <c r="S33" s="306"/>
      <c r="T33" s="74"/>
      <c r="U33" s="3"/>
      <c r="V33" s="3"/>
    </row>
    <row r="34" spans="1:22">
      <c r="A34" s="49" t="s">
        <v>1296</v>
      </c>
      <c r="B34" s="10"/>
      <c r="C34" s="10"/>
      <c r="D34" s="10"/>
      <c r="E34" s="10"/>
      <c r="F34" s="10"/>
      <c r="G34" s="10">
        <v>0.52600000000000002</v>
      </c>
      <c r="H34" s="10">
        <v>0.54500000000000004</v>
      </c>
      <c r="I34" s="10">
        <v>0.75700000000000001</v>
      </c>
      <c r="J34" s="10">
        <v>1.5640000000000001</v>
      </c>
      <c r="K34" s="10">
        <v>1.619</v>
      </c>
      <c r="L34" s="10">
        <v>1.7050000000000001</v>
      </c>
      <c r="M34" s="10">
        <v>1.8660000000000001</v>
      </c>
      <c r="N34" s="10"/>
      <c r="O34" s="10"/>
      <c r="P34" s="10"/>
      <c r="Q34" s="315"/>
      <c r="R34" s="87"/>
      <c r="S34" s="6"/>
      <c r="U34" s="3"/>
      <c r="V34" s="3"/>
    </row>
    <row r="35" spans="1:22">
      <c r="A35" s="49" t="s">
        <v>1297</v>
      </c>
      <c r="B35" s="10"/>
      <c r="C35" s="10"/>
      <c r="D35" s="10"/>
      <c r="E35" s="10"/>
      <c r="F35" s="10"/>
      <c r="G35" s="10">
        <v>1.774</v>
      </c>
      <c r="H35" s="10">
        <v>2.8690000000000002</v>
      </c>
      <c r="I35" s="10">
        <v>2.9089999999999998</v>
      </c>
      <c r="J35" s="10">
        <v>2.7370000000000001</v>
      </c>
      <c r="K35" s="10">
        <v>2.899</v>
      </c>
      <c r="L35" s="10">
        <v>2.984</v>
      </c>
      <c r="M35" s="10">
        <v>4.3120000000000003</v>
      </c>
      <c r="N35" s="10"/>
      <c r="O35" s="10"/>
      <c r="P35" s="10"/>
      <c r="Q35" s="315"/>
      <c r="R35" s="87"/>
      <c r="S35" s="6"/>
      <c r="U35" s="3"/>
      <c r="V35" s="3"/>
    </row>
    <row r="36" spans="1:22">
      <c r="A36" s="49" t="s">
        <v>1298</v>
      </c>
      <c r="B36" s="10"/>
      <c r="C36" s="10"/>
      <c r="D36" s="10"/>
      <c r="E36" s="10"/>
      <c r="F36" s="10"/>
      <c r="G36" s="10"/>
      <c r="H36" s="10"/>
      <c r="I36" s="10"/>
      <c r="J36" s="10"/>
      <c r="K36" s="10">
        <v>0.05</v>
      </c>
      <c r="L36" s="10">
        <v>4.9000000000000002E-2</v>
      </c>
      <c r="M36" s="10">
        <v>3.5999999999999997E-2</v>
      </c>
      <c r="N36" s="10"/>
      <c r="O36" s="10"/>
      <c r="P36" s="10"/>
      <c r="Q36" s="315"/>
      <c r="R36" s="87"/>
      <c r="S36" s="6"/>
      <c r="T36" s="74"/>
      <c r="U36" s="3"/>
      <c r="V36" s="3"/>
    </row>
    <row r="37" spans="1:22">
      <c r="A37" s="49" t="s">
        <v>403</v>
      </c>
      <c r="B37" s="10"/>
      <c r="C37" s="10"/>
      <c r="D37" s="10"/>
      <c r="E37" s="10"/>
      <c r="F37" s="10"/>
      <c r="G37" s="316">
        <f>SUM(G33:G35)</f>
        <v>10.367000000000001</v>
      </c>
      <c r="H37" s="316">
        <f>SUM(H33:H35)</f>
        <v>12.231999999999999</v>
      </c>
      <c r="I37" s="316">
        <f>SUM(I33:I35)</f>
        <v>12.672999999999998</v>
      </c>
      <c r="J37" s="316">
        <f>SUM(J33:J35)</f>
        <v>13.066000000000001</v>
      </c>
      <c r="K37" s="316">
        <f>SUM(K33:K36)</f>
        <v>13.748000000000001</v>
      </c>
      <c r="L37" s="316">
        <f>SUM(L33:L36)</f>
        <v>14.433999999999999</v>
      </c>
      <c r="M37" s="316">
        <f>SUM(M33:M36)</f>
        <v>18.384</v>
      </c>
      <c r="N37" s="10"/>
      <c r="O37" s="10"/>
      <c r="P37" s="10"/>
      <c r="Q37" s="315"/>
      <c r="R37" s="87"/>
      <c r="S37" s="6"/>
      <c r="T37" s="74"/>
      <c r="U37" s="3"/>
      <c r="V37" s="3"/>
    </row>
    <row r="38" spans="1:22">
      <c r="A38" s="49" t="s">
        <v>1299</v>
      </c>
      <c r="B38" s="10"/>
      <c r="C38" s="10"/>
      <c r="D38" s="10"/>
      <c r="E38" s="10"/>
      <c r="F38" s="10"/>
      <c r="G38" s="357">
        <f>G37/'RDEL &amp; CDEL breakdown'!H20</f>
        <v>9.3819004524886881E-2</v>
      </c>
      <c r="H38" s="357">
        <f>H37/'RDEL &amp; CDEL breakdown'!I20</f>
        <v>0.10655052264808362</v>
      </c>
      <c r="I38" s="357">
        <f>I37/'RDEL &amp; CDEL breakdown'!J20</f>
        <v>0.10831623931623931</v>
      </c>
      <c r="J38" s="357">
        <f>J37/'RDEL &amp; CDEL breakdown'!K20</f>
        <v>0.10829672606713635</v>
      </c>
      <c r="K38" s="357">
        <f>K37/'RDEL &amp; CDEL breakdown'!L20</f>
        <v>0.10973818646232439</v>
      </c>
      <c r="L38" s="357">
        <f>L37/'RDEL &amp; CDEL breakdown'!M20</f>
        <v>0.10756390193009911</v>
      </c>
      <c r="M38" s="357">
        <f>M37/'RDEL &amp; CDEL breakdown'!N20</f>
        <v>0.1039819004524887</v>
      </c>
      <c r="N38" s="10"/>
      <c r="O38" s="10"/>
      <c r="P38" s="10"/>
      <c r="Q38" s="315"/>
      <c r="R38" s="87"/>
      <c r="S38" s="6"/>
      <c r="T38" s="74"/>
      <c r="U38" s="3"/>
      <c r="V38" s="3"/>
    </row>
    <row r="39" spans="1:22">
      <c r="A39" s="5"/>
      <c r="B39" s="10"/>
      <c r="C39" s="10"/>
      <c r="D39" s="10"/>
      <c r="E39" s="10"/>
      <c r="F39" s="10"/>
      <c r="G39" s="10"/>
      <c r="H39" s="10"/>
      <c r="I39" s="10"/>
      <c r="J39" s="10"/>
      <c r="K39" s="10"/>
      <c r="L39" s="10"/>
      <c r="M39" s="164"/>
      <c r="N39" s="54"/>
      <c r="O39" s="54"/>
      <c r="P39" s="10"/>
      <c r="Q39" s="315"/>
      <c r="R39" s="87"/>
      <c r="S39" s="6"/>
      <c r="T39" s="74"/>
      <c r="U39" s="3"/>
      <c r="V39" s="3"/>
    </row>
    <row r="40" spans="1:22">
      <c r="A40" s="82" t="s">
        <v>1300</v>
      </c>
      <c r="B40" s="10"/>
      <c r="C40" s="10"/>
      <c r="D40" s="10"/>
      <c r="E40" s="10"/>
      <c r="F40" s="10"/>
      <c r="G40" s="10"/>
      <c r="H40" s="10"/>
      <c r="I40" s="304"/>
      <c r="J40" s="304"/>
      <c r="K40" s="304"/>
      <c r="L40" s="304"/>
      <c r="M40" s="304"/>
      <c r="N40" s="304"/>
      <c r="O40" s="304"/>
      <c r="Q40" s="10"/>
      <c r="R40" s="90"/>
      <c r="S40" s="355"/>
      <c r="T40" s="74"/>
      <c r="U40" s="3"/>
      <c r="V40" s="3"/>
    </row>
    <row r="41" spans="1:22">
      <c r="A41" s="49" t="s">
        <v>1301</v>
      </c>
      <c r="B41" s="10"/>
      <c r="C41" s="10"/>
      <c r="D41" s="10"/>
      <c r="E41" s="10"/>
      <c r="F41" s="10">
        <v>63</v>
      </c>
      <c r="G41" s="10">
        <v>67</v>
      </c>
      <c r="H41" s="10">
        <v>72</v>
      </c>
      <c r="I41" s="304">
        <v>76.599999999999994</v>
      </c>
      <c r="J41" s="304">
        <v>81.3</v>
      </c>
      <c r="K41" s="304">
        <v>84.4</v>
      </c>
      <c r="L41" s="304">
        <v>89.8</v>
      </c>
      <c r="M41" s="304">
        <v>102.3</v>
      </c>
      <c r="N41" s="304"/>
      <c r="O41" s="304"/>
      <c r="Q41" s="10"/>
      <c r="R41" s="95" t="s">
        <v>1294</v>
      </c>
      <c r="S41" s="306" t="s">
        <v>1302</v>
      </c>
      <c r="T41" s="74"/>
      <c r="U41" s="3"/>
      <c r="V41" s="3"/>
    </row>
    <row r="42" spans="1:22">
      <c r="A42" s="49" t="s">
        <v>1303</v>
      </c>
      <c r="B42" s="10"/>
      <c r="C42" s="10"/>
      <c r="D42" s="10"/>
      <c r="E42" s="10"/>
      <c r="F42" s="10"/>
      <c r="G42" s="10"/>
      <c r="H42" s="10"/>
      <c r="I42" s="304">
        <v>57</v>
      </c>
      <c r="J42" s="304">
        <v>75</v>
      </c>
      <c r="K42" s="304">
        <v>33</v>
      </c>
      <c r="L42" s="304">
        <v>46</v>
      </c>
      <c r="M42" s="304"/>
      <c r="N42" s="304"/>
      <c r="O42" s="304"/>
      <c r="Q42" s="10"/>
      <c r="R42" s="90"/>
      <c r="S42" s="306" t="s">
        <v>1304</v>
      </c>
      <c r="T42" s="74"/>
      <c r="U42" s="3"/>
      <c r="V42" s="3"/>
    </row>
    <row r="43" spans="1:22">
      <c r="A43" s="49"/>
      <c r="B43" s="10"/>
      <c r="C43" s="10"/>
      <c r="D43" s="10"/>
      <c r="E43" s="10"/>
      <c r="F43" s="10"/>
      <c r="G43" s="10"/>
      <c r="H43" s="10"/>
      <c r="I43" s="304"/>
      <c r="J43" s="304"/>
      <c r="K43" s="304">
        <f>K44*1000000000</f>
        <v>44368294854</v>
      </c>
      <c r="L43" s="304"/>
      <c r="M43" s="304"/>
      <c r="N43" s="304"/>
      <c r="O43" s="304"/>
      <c r="Q43" s="10"/>
      <c r="R43" s="90"/>
      <c r="S43" s="355"/>
      <c r="T43" s="74"/>
      <c r="U43" s="3"/>
      <c r="V43" s="3"/>
    </row>
    <row r="44" spans="1:22">
      <c r="A44" s="82" t="s">
        <v>1305</v>
      </c>
      <c r="B44" s="10"/>
      <c r="C44" s="10"/>
      <c r="D44" s="10"/>
      <c r="E44" s="10"/>
      <c r="F44" s="10"/>
      <c r="G44" s="10"/>
      <c r="H44" s="10"/>
      <c r="I44" s="304"/>
      <c r="J44" s="304"/>
      <c r="K44" s="356">
        <f>K45*59.8%</f>
        <v>44.368294853999998</v>
      </c>
      <c r="L44" s="304"/>
      <c r="M44" s="304"/>
      <c r="N44" s="304"/>
      <c r="O44" s="304"/>
      <c r="Q44" s="10"/>
      <c r="R44" s="95" t="s">
        <v>1306</v>
      </c>
      <c r="S44" s="6"/>
      <c r="U44" s="3"/>
      <c r="V44" s="3"/>
    </row>
    <row r="45" spans="1:22">
      <c r="A45" s="49" t="s">
        <v>1307</v>
      </c>
      <c r="B45" s="10"/>
      <c r="C45" s="10"/>
      <c r="D45" s="10"/>
      <c r="E45" s="10"/>
      <c r="F45" s="10"/>
      <c r="G45" s="10">
        <v>65.723145000000002</v>
      </c>
      <c r="H45" s="10">
        <v>68.000180999999998</v>
      </c>
      <c r="I45" s="51">
        <v>70.541331999999997</v>
      </c>
      <c r="J45" s="51">
        <v>72.051316</v>
      </c>
      <c r="K45" s="51">
        <v>74.194473000000002</v>
      </c>
      <c r="L45" s="358">
        <v>78.372980999999996</v>
      </c>
      <c r="M45" s="358">
        <v>81.683723000000001</v>
      </c>
      <c r="N45" s="358">
        <v>84.950748000000004</v>
      </c>
      <c r="O45" s="358">
        <v>88.160861999999995</v>
      </c>
      <c r="P45" s="358">
        <v>91.280922000000004</v>
      </c>
      <c r="Q45" s="124">
        <f>(L45/G45)^(1/5)-1</f>
        <v>3.5832673015515404E-2</v>
      </c>
      <c r="R45" s="91"/>
      <c r="S45" s="306" t="s">
        <v>1308</v>
      </c>
      <c r="U45" s="3"/>
      <c r="V45" s="3"/>
    </row>
    <row r="46" spans="1:22">
      <c r="A46" s="49" t="s">
        <v>1309</v>
      </c>
      <c r="B46" s="10"/>
      <c r="C46" s="10"/>
      <c r="D46" s="10"/>
      <c r="E46" s="10"/>
      <c r="F46" s="10"/>
      <c r="G46" s="10">
        <v>6.7223680000000003</v>
      </c>
      <c r="H46" s="10">
        <v>7.0667580000000001</v>
      </c>
      <c r="I46" s="51">
        <v>7.3442299999999996</v>
      </c>
      <c r="J46" s="51">
        <v>7.5751660000000003</v>
      </c>
      <c r="K46" s="51">
        <v>7.7634150000000002</v>
      </c>
      <c r="L46" s="358">
        <v>8.2696280000000009</v>
      </c>
      <c r="M46" s="358">
        <v>8.6353810000000006</v>
      </c>
      <c r="N46" s="358">
        <v>9.0979100000000006</v>
      </c>
      <c r="O46" s="358">
        <v>9.4684720000000002</v>
      </c>
      <c r="P46" s="358">
        <v>9.8521940000000008</v>
      </c>
      <c r="Q46" s="124">
        <f>(L46/G46)^(1/5)-1</f>
        <v>4.2300000819285977E-2</v>
      </c>
      <c r="R46" s="91"/>
      <c r="S46" s="306" t="s">
        <v>1308</v>
      </c>
      <c r="U46" s="3"/>
      <c r="V46" s="3"/>
    </row>
    <row r="47" spans="1:22">
      <c r="A47" s="49" t="s">
        <v>1310</v>
      </c>
      <c r="B47" s="10"/>
      <c r="C47" s="10"/>
      <c r="D47" s="10"/>
      <c r="E47" s="10"/>
      <c r="F47" s="10"/>
      <c r="G47" s="10">
        <v>12.642492000000001</v>
      </c>
      <c r="H47" s="10">
        <v>13.471568</v>
      </c>
      <c r="I47" s="51">
        <v>14.507484</v>
      </c>
      <c r="J47" s="51">
        <v>15.203166</v>
      </c>
      <c r="K47" s="51">
        <v>15.885992</v>
      </c>
      <c r="L47" s="358">
        <v>17.521035999999999</v>
      </c>
      <c r="M47" s="358">
        <v>18.710917999999999</v>
      </c>
      <c r="N47" s="358">
        <v>20.011778</v>
      </c>
      <c r="O47" s="358">
        <v>21.50048</v>
      </c>
      <c r="P47" s="358">
        <v>23.151907999999999</v>
      </c>
      <c r="Q47" s="75">
        <f>(L47/G47)^(1/5)-1</f>
        <v>6.744478272567167E-2</v>
      </c>
      <c r="R47" s="91"/>
      <c r="S47" s="306" t="s">
        <v>1308</v>
      </c>
      <c r="U47" s="3"/>
      <c r="V47" s="3"/>
    </row>
    <row r="48" spans="1:22">
      <c r="A48" s="49" t="s">
        <v>1311</v>
      </c>
      <c r="B48" s="10"/>
      <c r="C48" s="10"/>
      <c r="D48" s="10"/>
      <c r="E48" s="10"/>
      <c r="F48" s="10"/>
      <c r="G48" s="10">
        <f>SUM(G45:G47)</f>
        <v>85.08800500000001</v>
      </c>
      <c r="H48" s="10">
        <v>88.538506999999996</v>
      </c>
      <c r="I48" s="51">
        <v>92.393044000000003</v>
      </c>
      <c r="J48" s="51">
        <v>94.829649000000003</v>
      </c>
      <c r="K48" s="51">
        <v>97.246516999999997</v>
      </c>
      <c r="L48" s="358">
        <v>104.099177</v>
      </c>
      <c r="M48" s="358">
        <v>108.89186599999999</v>
      </c>
      <c r="N48" s="358">
        <v>113.83851300000001</v>
      </c>
      <c r="O48" s="358">
        <v>118.960448</v>
      </c>
      <c r="P48" s="358">
        <v>124.21322600000001</v>
      </c>
      <c r="Q48" s="10"/>
      <c r="R48" s="91"/>
      <c r="S48" s="306" t="s">
        <v>1308</v>
      </c>
      <c r="U48" s="3"/>
      <c r="V48" s="3"/>
    </row>
    <row r="49" spans="1:32">
      <c r="A49" s="5"/>
      <c r="R49" s="87"/>
      <c r="S49" s="6"/>
      <c r="U49" s="3"/>
      <c r="V49" s="3"/>
    </row>
    <row r="50" spans="1:32" ht="15" thickBot="1">
      <c r="A50" s="15"/>
      <c r="B50" s="16"/>
      <c r="C50" s="16"/>
      <c r="D50" s="16"/>
      <c r="E50" s="16"/>
      <c r="F50" s="16"/>
      <c r="M50" s="58"/>
      <c r="N50" s="58"/>
      <c r="O50" s="52"/>
      <c r="P50" s="52"/>
      <c r="Q50" s="52"/>
      <c r="R50" s="93"/>
      <c r="S50" s="70"/>
    </row>
    <row r="51" spans="1:32" ht="15" thickBot="1">
      <c r="B51" s="10"/>
      <c r="C51" s="10"/>
      <c r="D51" s="10"/>
      <c r="E51" s="10"/>
      <c r="F51" s="10"/>
      <c r="G51" s="10"/>
      <c r="H51" s="10"/>
      <c r="I51" s="10"/>
      <c r="J51" s="10"/>
      <c r="K51" s="10"/>
      <c r="L51" s="10"/>
      <c r="M51" s="10"/>
      <c r="N51" s="10"/>
      <c r="O51" s="10"/>
      <c r="P51" s="10"/>
    </row>
    <row r="52" spans="1:32" ht="15" thickBot="1">
      <c r="A52" s="47" t="s">
        <v>729</v>
      </c>
      <c r="B52" s="333">
        <f t="array" ref="B52:Q52">TRANSPOSE(Deflator_HMT_SpringBudget24!C62:C77)</f>
        <v>75.199299999999994</v>
      </c>
      <c r="C52" s="333">
        <v>76.616600000000005</v>
      </c>
      <c r="D52" s="333">
        <v>77.966899999999995</v>
      </c>
      <c r="E52" s="333">
        <v>79.397900000000007</v>
      </c>
      <c r="F52" s="333">
        <v>80.924599999999998</v>
      </c>
      <c r="G52" s="333">
        <v>81.909000000000006</v>
      </c>
      <c r="H52" s="333">
        <v>82.4983</v>
      </c>
      <c r="I52" s="333">
        <v>84.374799999999993</v>
      </c>
      <c r="J52" s="333">
        <v>85.696100000000001</v>
      </c>
      <c r="K52" s="333">
        <v>87.503799999999998</v>
      </c>
      <c r="L52" s="333">
        <v>89.569699999999997</v>
      </c>
      <c r="M52" s="333">
        <v>94.447299999999998</v>
      </c>
      <c r="N52" s="333">
        <v>93.673500000000004</v>
      </c>
      <c r="O52" s="333">
        <v>100</v>
      </c>
      <c r="P52" s="333">
        <v>106.54439095141102</v>
      </c>
      <c r="Q52" s="333">
        <v>107.40084270155594</v>
      </c>
      <c r="R52" s="94" t="s">
        <v>1118</v>
      </c>
      <c r="S52" s="94" t="s">
        <v>1119</v>
      </c>
      <c r="T52" s="17"/>
      <c r="U52" s="10"/>
      <c r="V52" s="10"/>
      <c r="W52" s="10"/>
      <c r="X52" s="10"/>
      <c r="Y52" s="10"/>
      <c r="Z52" s="18"/>
      <c r="AA52" s="18"/>
      <c r="AB52" s="18"/>
      <c r="AC52" s="18"/>
      <c r="AD52" s="18"/>
      <c r="AE52" s="2"/>
    </row>
    <row r="53" spans="1:32" ht="15" thickBot="1">
      <c r="F53" s="1" t="s">
        <v>1312</v>
      </c>
      <c r="O53" s="14"/>
      <c r="P53" s="14"/>
      <c r="R53" s="19"/>
      <c r="S53" s="19"/>
      <c r="T53" s="19"/>
      <c r="U53" s="22"/>
      <c r="V53" s="23"/>
      <c r="W53" s="23"/>
      <c r="X53" s="23"/>
      <c r="Y53" s="21"/>
      <c r="Z53" s="21"/>
      <c r="AA53" s="21"/>
      <c r="AB53" s="21"/>
      <c r="AC53" s="21"/>
      <c r="AD53" s="21"/>
      <c r="AE53" s="10"/>
    </row>
    <row r="54" spans="1:32" ht="15" thickBot="1">
      <c r="A54" s="331" t="s">
        <v>730</v>
      </c>
      <c r="B54" s="326" t="str">
        <f t="shared" ref="B54:M54" si="6">B3</f>
        <v>2009-10</v>
      </c>
      <c r="C54" s="326" t="str">
        <f t="shared" si="6"/>
        <v>2010-11</v>
      </c>
      <c r="D54" s="326" t="str">
        <f t="shared" si="6"/>
        <v>2011-12</v>
      </c>
      <c r="E54" s="326" t="str">
        <f t="shared" si="6"/>
        <v xml:space="preserve">2012-13 </v>
      </c>
      <c r="F54" s="326" t="str">
        <f t="shared" si="6"/>
        <v xml:space="preserve"> 2013-14 </v>
      </c>
      <c r="G54" s="326" t="str">
        <f t="shared" si="6"/>
        <v>2014-15</v>
      </c>
      <c r="H54" s="326" t="str">
        <f t="shared" si="6"/>
        <v>2015-16</v>
      </c>
      <c r="I54" s="326" t="str">
        <f t="shared" si="6"/>
        <v>2016-17</v>
      </c>
      <c r="J54" s="326" t="str">
        <f t="shared" si="6"/>
        <v>2017-18</v>
      </c>
      <c r="K54" s="326" t="str">
        <f t="shared" si="6"/>
        <v>2018-19</v>
      </c>
      <c r="L54" s="326" t="str">
        <f t="shared" si="6"/>
        <v>2019-20</v>
      </c>
      <c r="M54" s="327" t="str">
        <f t="shared" si="6"/>
        <v>2020-21</v>
      </c>
      <c r="N54" s="328" t="s">
        <v>171</v>
      </c>
      <c r="O54" s="328" t="s">
        <v>172</v>
      </c>
      <c r="P54" s="328" t="s">
        <v>173</v>
      </c>
      <c r="Q54" s="332" t="s">
        <v>174</v>
      </c>
      <c r="R54" s="19"/>
      <c r="S54" s="19"/>
      <c r="T54" s="20"/>
      <c r="U54" s="22"/>
      <c r="V54" s="21"/>
      <c r="W54" s="21"/>
      <c r="X54" s="21"/>
      <c r="Y54" s="21"/>
      <c r="Z54" s="21"/>
      <c r="AA54" s="21"/>
      <c r="AB54" s="21"/>
      <c r="AC54" s="21"/>
      <c r="AD54" s="21"/>
      <c r="AE54" s="10"/>
      <c r="AF54" s="2"/>
    </row>
    <row r="55" spans="1:32">
      <c r="A55" s="5"/>
      <c r="B55" s="2"/>
      <c r="C55" s="2"/>
      <c r="D55" s="2"/>
      <c r="E55" s="2"/>
      <c r="F55" s="2"/>
      <c r="G55" s="2"/>
      <c r="H55" s="2"/>
      <c r="I55" s="2"/>
      <c r="J55" s="2"/>
      <c r="K55" s="2"/>
      <c r="L55" s="2"/>
      <c r="M55" s="2"/>
      <c r="N55" s="2"/>
      <c r="O55" s="2"/>
      <c r="P55" s="2"/>
      <c r="Q55" s="6"/>
      <c r="R55" s="19"/>
      <c r="S55" s="19"/>
      <c r="T55" s="20"/>
      <c r="U55" s="22"/>
      <c r="V55" s="21"/>
      <c r="W55" s="21"/>
      <c r="X55" s="21"/>
      <c r="Y55" s="21"/>
      <c r="Z55" s="21"/>
      <c r="AA55" s="21"/>
      <c r="AB55" s="21"/>
      <c r="AC55" s="21"/>
      <c r="AD55" s="21"/>
      <c r="AE55" s="10"/>
      <c r="AF55" s="2"/>
    </row>
    <row r="56" spans="1:32">
      <c r="A56" s="449" t="s">
        <v>129</v>
      </c>
      <c r="B56" s="447"/>
      <c r="C56" s="447"/>
      <c r="D56" s="447"/>
      <c r="E56" s="447"/>
      <c r="F56" s="447"/>
      <c r="G56" s="447"/>
      <c r="H56" s="447"/>
      <c r="I56" s="447"/>
      <c r="J56" s="447"/>
      <c r="K56" s="447"/>
      <c r="L56" s="447"/>
      <c r="M56" s="447"/>
      <c r="N56" s="447"/>
      <c r="O56" s="447"/>
      <c r="P56" s="447"/>
      <c r="Q56" s="448"/>
      <c r="R56" s="14"/>
      <c r="S56" s="14"/>
      <c r="T56" s="14"/>
      <c r="U56" s="25"/>
      <c r="V56" s="11"/>
    </row>
    <row r="57" spans="1:32" hidden="1">
      <c r="A57" s="450" t="s">
        <v>1276</v>
      </c>
      <c r="B57" s="447"/>
      <c r="C57" s="447"/>
      <c r="D57" s="447"/>
      <c r="E57" s="447"/>
      <c r="F57" s="447"/>
      <c r="G57" s="447"/>
      <c r="H57" s="447"/>
      <c r="I57" s="447"/>
      <c r="J57" s="447"/>
      <c r="K57" s="447"/>
      <c r="L57" s="447"/>
      <c r="M57" s="447"/>
      <c r="N57" s="447"/>
      <c r="O57" s="447"/>
      <c r="P57" s="447"/>
      <c r="Q57" s="448"/>
      <c r="R57" s="27"/>
      <c r="S57" s="27"/>
      <c r="U57" s="26"/>
    </row>
    <row r="58" spans="1:32" hidden="1">
      <c r="A58" s="451" t="s">
        <v>1277</v>
      </c>
      <c r="B58" s="447"/>
      <c r="C58" s="447"/>
      <c r="D58" s="447"/>
      <c r="E58" s="447"/>
      <c r="F58" s="447"/>
      <c r="G58" s="447">
        <f t="shared" ref="G58:N58" si="7">(G8/G$52)*$N$52</f>
        <v>111.84690693330403</v>
      </c>
      <c r="H58" s="447">
        <f t="shared" si="7"/>
        <v>114.70187413558827</v>
      </c>
      <c r="I58" s="447">
        <f t="shared" si="7"/>
        <v>118.18265345221559</v>
      </c>
      <c r="J58" s="447">
        <f t="shared" si="7"/>
        <v>120.08024483027816</v>
      </c>
      <c r="K58" s="447">
        <f t="shared" si="7"/>
        <v>120.29724296544835</v>
      </c>
      <c r="L58" s="447">
        <f t="shared" si="7"/>
        <v>120.74059920374859</v>
      </c>
      <c r="M58" s="447">
        <f t="shared" si="7"/>
        <v>118.61814210676219</v>
      </c>
      <c r="N58" s="447">
        <f t="shared" si="7"/>
        <v>0</v>
      </c>
      <c r="O58" s="447"/>
      <c r="P58" s="447"/>
      <c r="Q58" s="471"/>
      <c r="R58" s="27"/>
      <c r="S58" s="27"/>
      <c r="U58" s="26"/>
    </row>
    <row r="59" spans="1:32" hidden="1">
      <c r="A59" s="453" t="s">
        <v>1278</v>
      </c>
      <c r="B59" s="447"/>
      <c r="C59" s="447"/>
      <c r="D59" s="447"/>
      <c r="E59" s="447"/>
      <c r="F59" s="447"/>
      <c r="G59" s="447"/>
      <c r="H59" s="447"/>
      <c r="I59" s="447"/>
      <c r="J59" s="447"/>
      <c r="K59" s="447"/>
      <c r="L59" s="447"/>
      <c r="M59" s="447"/>
      <c r="N59" s="447"/>
      <c r="O59" s="447"/>
      <c r="P59" s="447"/>
      <c r="Q59" s="471"/>
      <c r="R59" s="27"/>
      <c r="S59" s="27"/>
      <c r="U59" s="26"/>
    </row>
    <row r="60" spans="1:32" hidden="1">
      <c r="A60" s="451" t="s">
        <v>1279</v>
      </c>
      <c r="B60" s="447"/>
      <c r="C60" s="447"/>
      <c r="D60" s="447"/>
      <c r="E60" s="447"/>
      <c r="F60" s="447"/>
      <c r="G60" s="447"/>
      <c r="H60" s="447"/>
      <c r="I60" s="447"/>
      <c r="J60" s="447"/>
      <c r="K60" s="447">
        <f t="shared" ref="K60:N62" si="8">(K10/K$52)*$N$52</f>
        <v>1.7138829799391571</v>
      </c>
      <c r="L60" s="447">
        <f t="shared" si="8"/>
        <v>0.942280966666183</v>
      </c>
      <c r="M60" s="447">
        <f t="shared" si="8"/>
        <v>0</v>
      </c>
      <c r="N60" s="447">
        <f t="shared" si="8"/>
        <v>0</v>
      </c>
      <c r="O60" s="447"/>
      <c r="P60" s="447"/>
      <c r="Q60" s="471"/>
      <c r="R60" s="27"/>
      <c r="S60" s="27"/>
      <c r="U60" s="26"/>
    </row>
    <row r="61" spans="1:32" hidden="1">
      <c r="A61" s="451" t="s">
        <v>1280</v>
      </c>
      <c r="B61" s="447"/>
      <c r="C61" s="447"/>
      <c r="D61" s="447"/>
      <c r="E61" s="447"/>
      <c r="F61" s="447"/>
      <c r="G61" s="447">
        <f>(G11/G$52)*$N$52</f>
        <v>-0.80282749148445209</v>
      </c>
      <c r="H61" s="447">
        <f>(H11/H$52)*$N$52</f>
        <v>-0.50641505340110049</v>
      </c>
      <c r="I61" s="447">
        <f>(I11/I$52)*$N$52</f>
        <v>-0.83154509995875547</v>
      </c>
      <c r="J61" s="447">
        <f>(J11/J$52)*$N$52</f>
        <v>-0.71597356822539182</v>
      </c>
      <c r="K61" s="447">
        <f t="shared" si="8"/>
        <v>-0.1841273407554872</v>
      </c>
      <c r="L61" s="447">
        <f t="shared" si="8"/>
        <v>-0.76972118919679322</v>
      </c>
      <c r="M61" s="447">
        <f t="shared" si="8"/>
        <v>-0.78650300749730284</v>
      </c>
      <c r="N61" s="447">
        <f t="shared" si="8"/>
        <v>0</v>
      </c>
      <c r="O61" s="447"/>
      <c r="P61" s="447"/>
      <c r="Q61" s="472"/>
      <c r="R61" s="28"/>
      <c r="S61" s="28"/>
      <c r="U61" s="26"/>
    </row>
    <row r="62" spans="1:32" hidden="1">
      <c r="A62" s="451" t="s">
        <v>1281</v>
      </c>
      <c r="B62" s="447"/>
      <c r="C62" s="447"/>
      <c r="D62" s="447"/>
      <c r="E62" s="447"/>
      <c r="F62" s="447"/>
      <c r="G62" s="447"/>
      <c r="H62" s="447"/>
      <c r="I62" s="447"/>
      <c r="J62" s="447"/>
      <c r="K62" s="447">
        <f t="shared" si="8"/>
        <v>0.85640623607203348</v>
      </c>
      <c r="L62" s="447">
        <f t="shared" si="8"/>
        <v>5.4288351808703172</v>
      </c>
      <c r="M62" s="447">
        <f t="shared" si="8"/>
        <v>8.1348015983516753</v>
      </c>
      <c r="N62" s="447">
        <f t="shared" si="8"/>
        <v>0</v>
      </c>
      <c r="O62" s="447">
        <f>(O12/O$52)*$N$52</f>
        <v>0</v>
      </c>
      <c r="P62" s="447">
        <f>(P12/P$52)*$N$52</f>
        <v>0</v>
      </c>
      <c r="Q62" s="472"/>
      <c r="R62" s="28"/>
      <c r="S62" s="28"/>
      <c r="U62" s="19"/>
    </row>
    <row r="63" spans="1:32" hidden="1">
      <c r="A63" s="453" t="s">
        <v>1283</v>
      </c>
      <c r="B63" s="447"/>
      <c r="C63" s="447"/>
      <c r="D63" s="447"/>
      <c r="E63" s="447"/>
      <c r="F63" s="447"/>
      <c r="G63" s="447"/>
      <c r="H63" s="447"/>
      <c r="I63" s="447"/>
      <c r="J63" s="447"/>
      <c r="K63" s="447"/>
      <c r="L63" s="447"/>
      <c r="M63" s="447"/>
      <c r="N63" s="447"/>
      <c r="O63" s="447"/>
      <c r="P63" s="447"/>
      <c r="Q63" s="472"/>
      <c r="R63" s="28"/>
      <c r="S63" s="28"/>
      <c r="U63" s="19"/>
    </row>
    <row r="64" spans="1:32" hidden="1">
      <c r="A64" s="451" t="s">
        <v>1284</v>
      </c>
      <c r="B64" s="447"/>
      <c r="C64" s="447"/>
      <c r="D64" s="447"/>
      <c r="E64" s="447"/>
      <c r="F64" s="447"/>
      <c r="G64" s="447"/>
      <c r="H64" s="447"/>
      <c r="I64" s="447"/>
      <c r="J64" s="447"/>
      <c r="K64" s="447">
        <f t="shared" ref="K64:P64" si="9">(K16/K$52)*$N$52</f>
        <v>0</v>
      </c>
      <c r="L64" s="447">
        <f t="shared" si="9"/>
        <v>2.9816237913044259</v>
      </c>
      <c r="M64" s="447">
        <f t="shared" si="9"/>
        <v>2.8276419601195588</v>
      </c>
      <c r="N64" s="447">
        <f t="shared" si="9"/>
        <v>2.851</v>
      </c>
      <c r="O64" s="447">
        <f t="shared" si="9"/>
        <v>2.6706314850000004</v>
      </c>
      <c r="P64" s="447">
        <f t="shared" si="9"/>
        <v>2.5065904090792794</v>
      </c>
      <c r="Q64" s="463"/>
    </row>
    <row r="65" spans="1:21" hidden="1">
      <c r="A65" s="451" t="s">
        <v>1280</v>
      </c>
      <c r="B65" s="447"/>
      <c r="C65" s="447"/>
      <c r="D65" s="447"/>
      <c r="E65" s="447"/>
      <c r="F65" s="447"/>
      <c r="G65" s="447"/>
      <c r="H65" s="447"/>
      <c r="I65" s="447"/>
      <c r="J65" s="447"/>
      <c r="K65" s="447">
        <f>(K17/K$52)*$N$52</f>
        <v>-0.19483241870638762</v>
      </c>
      <c r="L65" s="447">
        <f>(L17/L$52)*$N$52</f>
        <v>-0.29387453011453651</v>
      </c>
      <c r="M65" s="447">
        <f>(M17/M$52)*$N$52</f>
        <v>-0.36994403757439337</v>
      </c>
      <c r="N65" s="447">
        <f>(N17/N$52)*$N$52</f>
        <v>-1.8149999999999999</v>
      </c>
      <c r="O65" s="447"/>
      <c r="P65" s="447"/>
      <c r="Q65" s="463"/>
      <c r="T65" s="24"/>
      <c r="U65" s="30" t="s">
        <v>1313</v>
      </c>
    </row>
    <row r="66" spans="1:21" hidden="1">
      <c r="A66" s="453" t="s">
        <v>1314</v>
      </c>
      <c r="B66" s="447"/>
      <c r="C66" s="447"/>
      <c r="D66" s="447"/>
      <c r="E66" s="447"/>
      <c r="F66" s="447"/>
      <c r="G66" s="447"/>
      <c r="H66" s="447"/>
      <c r="I66" s="447"/>
      <c r="J66" s="447"/>
      <c r="K66" s="447"/>
      <c r="L66" s="447"/>
      <c r="M66" s="447"/>
      <c r="N66" s="447"/>
      <c r="O66" s="447"/>
      <c r="P66" s="447"/>
      <c r="Q66" s="463"/>
    </row>
    <row r="67" spans="1:21">
      <c r="A67" s="457" t="s">
        <v>1315</v>
      </c>
      <c r="B67" s="447"/>
      <c r="C67" s="447"/>
      <c r="D67" s="447"/>
      <c r="E67" s="447"/>
      <c r="F67" s="447">
        <f>(F21/F$52)*$O$52</f>
        <v>115.78185125413039</v>
      </c>
      <c r="G67" s="447">
        <f t="shared" ref="G67:P67" si="10">(G21/G$52)*$O$52</f>
        <v>118.54374977108742</v>
      </c>
      <c r="H67" s="447">
        <f t="shared" si="10"/>
        <v>121.90796658840245</v>
      </c>
      <c r="I67" s="447">
        <f t="shared" si="10"/>
        <v>125.27674139672035</v>
      </c>
      <c r="J67" s="447">
        <f t="shared" si="10"/>
        <v>127.81911895640525</v>
      </c>
      <c r="K67" s="447">
        <f t="shared" si="10"/>
        <v>130.76117837168215</v>
      </c>
      <c r="L67" s="447">
        <f t="shared" si="10"/>
        <v>137.74412552459145</v>
      </c>
      <c r="M67" s="447">
        <f t="shared" si="10"/>
        <v>158.26074435161198</v>
      </c>
      <c r="N67" s="447">
        <f t="shared" si="10"/>
        <v>160.7861348193459</v>
      </c>
      <c r="O67" s="447">
        <f t="shared" si="10"/>
        <v>152.595</v>
      </c>
      <c r="P67" s="447">
        <f t="shared" si="10"/>
        <v>147.73466589318886</v>
      </c>
      <c r="Q67" s="463"/>
    </row>
    <row r="68" spans="1:21">
      <c r="A68" s="457" t="s">
        <v>1316</v>
      </c>
      <c r="B68" s="447"/>
      <c r="C68" s="447"/>
      <c r="D68" s="447"/>
      <c r="E68" s="447"/>
      <c r="F68" s="447"/>
      <c r="G68" s="447"/>
      <c r="H68" s="447"/>
      <c r="I68" s="447">
        <f>(I22/I$52)*$O$52</f>
        <v>1.108150774875911</v>
      </c>
      <c r="J68" s="447">
        <f t="shared" ref="J68:M68" si="11">(J22/J$52)*$O$52</f>
        <v>1.2112569883576965</v>
      </c>
      <c r="K68" s="447">
        <f t="shared" si="11"/>
        <v>0.94395900520891662</v>
      </c>
      <c r="L68" s="447">
        <f t="shared" si="11"/>
        <v>1.126497018523005</v>
      </c>
      <c r="M68" s="447">
        <f t="shared" si="11"/>
        <v>-0.77503539010644029</v>
      </c>
      <c r="N68" s="447"/>
      <c r="O68" s="447"/>
      <c r="P68" s="447"/>
      <c r="Q68" s="463"/>
      <c r="U68" s="11"/>
    </row>
    <row r="69" spans="1:21">
      <c r="A69" s="451" t="s">
        <v>285</v>
      </c>
      <c r="B69" s="447"/>
      <c r="C69" s="447"/>
      <c r="D69" s="447"/>
      <c r="E69" s="447"/>
      <c r="F69" s="447">
        <f>(F24/F$52)*$O$52</f>
        <v>115.78185125413039</v>
      </c>
      <c r="G69" s="447"/>
      <c r="H69" s="447"/>
      <c r="I69" s="447">
        <f t="shared" ref="I69:M69" si="12">(I23/I$52)*$O$52</f>
        <v>-1.0690395710567613</v>
      </c>
      <c r="J69" s="447">
        <f t="shared" si="12"/>
        <v>-1.1319068195635507</v>
      </c>
      <c r="K69" s="447">
        <f t="shared" si="12"/>
        <v>-1.0468116813212685</v>
      </c>
      <c r="L69" s="447">
        <f t="shared" si="12"/>
        <v>-0.71006154983214187</v>
      </c>
      <c r="M69" s="447">
        <f t="shared" si="12"/>
        <v>-5.6899456098797954</v>
      </c>
      <c r="N69" s="447"/>
      <c r="O69" s="447"/>
      <c r="P69" s="447"/>
      <c r="Q69" s="463"/>
    </row>
    <row r="70" spans="1:21">
      <c r="A70" s="451" t="s">
        <v>1317</v>
      </c>
      <c r="B70" s="447"/>
      <c r="C70" s="447"/>
      <c r="D70" s="447"/>
      <c r="E70" s="447"/>
      <c r="F70" s="447">
        <f t="shared" ref="F70:P70" si="13">(F24/F$52)*$O$52</f>
        <v>115.78185125413039</v>
      </c>
      <c r="G70" s="447">
        <f t="shared" si="13"/>
        <v>118.54374977108742</v>
      </c>
      <c r="H70" s="447">
        <f t="shared" si="13"/>
        <v>121.90796658840245</v>
      </c>
      <c r="I70" s="447">
        <f t="shared" si="13"/>
        <v>125.3158526005395</v>
      </c>
      <c r="J70" s="447">
        <f t="shared" si="13"/>
        <v>127.8984691251994</v>
      </c>
      <c r="K70" s="447">
        <f t="shared" si="13"/>
        <v>130.6583256955698</v>
      </c>
      <c r="L70" s="447">
        <f t="shared" si="13"/>
        <v>138.1605609932823</v>
      </c>
      <c r="M70" s="447">
        <f t="shared" si="13"/>
        <v>151.79576335162574</v>
      </c>
      <c r="N70" s="447">
        <f t="shared" si="13"/>
        <v>159.40687601082479</v>
      </c>
      <c r="O70" s="447">
        <f t="shared" si="13"/>
        <v>152.595</v>
      </c>
      <c r="P70" s="447">
        <f t="shared" si="13"/>
        <v>147.73466589318886</v>
      </c>
      <c r="Q70" s="463"/>
    </row>
    <row r="71" spans="1:21">
      <c r="A71" s="451" t="s">
        <v>1318</v>
      </c>
      <c r="B71" s="447"/>
      <c r="C71" s="447"/>
      <c r="D71" s="447"/>
      <c r="E71" s="447"/>
      <c r="F71" s="447"/>
      <c r="G71" s="447">
        <f t="shared" ref="G71:N71" si="14">(G25/G$52)*$O$52</f>
        <v>0.23074387429952747</v>
      </c>
      <c r="H71" s="447">
        <f t="shared" si="14"/>
        <v>0.22061060652158893</v>
      </c>
      <c r="I71" s="447">
        <f t="shared" si="14"/>
        <v>0.28444511868472577</v>
      </c>
      <c r="J71" s="447">
        <f t="shared" si="14"/>
        <v>0.26605644830978309</v>
      </c>
      <c r="K71" s="447">
        <f t="shared" si="14"/>
        <v>0.25256046023144141</v>
      </c>
      <c r="L71" s="447">
        <f t="shared" si="14"/>
        <v>0.29697542807444932</v>
      </c>
      <c r="M71" s="447">
        <f t="shared" si="14"/>
        <v>0.35045999197436029</v>
      </c>
      <c r="N71" s="447">
        <f t="shared" si="14"/>
        <v>0.31065349325049235</v>
      </c>
      <c r="O71" s="447"/>
      <c r="P71" s="447"/>
      <c r="Q71" s="463"/>
    </row>
    <row r="72" spans="1:21">
      <c r="A72" s="49"/>
      <c r="B72" s="10"/>
      <c r="C72" s="10"/>
      <c r="D72" s="10"/>
      <c r="E72" s="10"/>
      <c r="F72" s="10"/>
      <c r="G72" s="10"/>
      <c r="H72" s="10"/>
      <c r="I72" s="10"/>
      <c r="J72" s="10"/>
      <c r="K72" s="10"/>
      <c r="L72" s="10"/>
      <c r="M72" s="10"/>
      <c r="N72" s="10"/>
      <c r="O72" s="10"/>
      <c r="P72" s="10"/>
      <c r="Q72" s="6"/>
    </row>
    <row r="73" spans="1:21">
      <c r="A73" s="45" t="s">
        <v>1293</v>
      </c>
      <c r="B73" s="10"/>
      <c r="C73" s="10"/>
      <c r="D73" s="10"/>
      <c r="E73" s="10"/>
      <c r="F73" s="10"/>
      <c r="G73" s="10"/>
      <c r="H73" s="10"/>
      <c r="I73" s="10"/>
      <c r="J73" s="10"/>
      <c r="K73" s="10"/>
      <c r="L73" s="10"/>
      <c r="M73" s="10"/>
      <c r="N73" s="10"/>
      <c r="O73" s="10"/>
      <c r="P73" s="10"/>
      <c r="Q73" s="6"/>
      <c r="T73" s="24"/>
    </row>
    <row r="74" spans="1:21">
      <c r="A74" s="49" t="s">
        <v>1295</v>
      </c>
      <c r="B74" s="10"/>
      <c r="C74" s="10"/>
      <c r="D74" s="10"/>
      <c r="E74" s="10"/>
      <c r="F74" s="10"/>
      <c r="G74" s="10">
        <f>(G33/G$52)*$O$52</f>
        <v>9.8487345712925318</v>
      </c>
      <c r="H74" s="10">
        <f t="shared" ref="H74:M74" si="15">(H33/H$52)*$O$52</f>
        <v>10.688705100589951</v>
      </c>
      <c r="I74" s="10">
        <f t="shared" si="15"/>
        <v>10.674988266638854</v>
      </c>
      <c r="J74" s="10">
        <f t="shared" si="15"/>
        <v>10.228003374716002</v>
      </c>
      <c r="K74" s="10">
        <f t="shared" si="15"/>
        <v>10.490972963459873</v>
      </c>
      <c r="L74" s="10">
        <f t="shared" si="15"/>
        <v>10.825089288006993</v>
      </c>
      <c r="M74" s="10">
        <f t="shared" si="15"/>
        <v>12.885492756277838</v>
      </c>
      <c r="N74" s="10"/>
      <c r="O74" s="10"/>
      <c r="P74" s="10"/>
      <c r="Q74" s="6"/>
      <c r="T74" s="2"/>
    </row>
    <row r="75" spans="1:21">
      <c r="A75" s="49" t="s">
        <v>1296</v>
      </c>
      <c r="B75" s="10"/>
      <c r="C75" s="10"/>
      <c r="D75" s="10"/>
      <c r="E75" s="10"/>
      <c r="F75" s="10"/>
      <c r="G75" s="10">
        <f t="shared" ref="G75:M75" si="16">(G34/G$52)*$O$52</f>
        <v>0.64217607344736227</v>
      </c>
      <c r="H75" s="10">
        <f t="shared" si="16"/>
        <v>0.66061967337508776</v>
      </c>
      <c r="I75" s="10">
        <f t="shared" si="16"/>
        <v>0.89718731185140599</v>
      </c>
      <c r="J75" s="10">
        <f t="shared" si="16"/>
        <v>1.8250538822653539</v>
      </c>
      <c r="K75" s="10">
        <f t="shared" si="16"/>
        <v>1.8502053625099708</v>
      </c>
      <c r="L75" s="10">
        <f t="shared" si="16"/>
        <v>1.9035455070185565</v>
      </c>
      <c r="M75" s="10">
        <f t="shared" si="16"/>
        <v>1.9757049698614999</v>
      </c>
      <c r="N75" s="10"/>
      <c r="O75" s="10"/>
      <c r="P75" s="10"/>
      <c r="Q75" s="6"/>
      <c r="T75" s="24"/>
    </row>
    <row r="76" spans="1:21">
      <c r="A76" s="49" t="s">
        <v>1297</v>
      </c>
      <c r="B76" s="10"/>
      <c r="C76" s="10"/>
      <c r="D76" s="10"/>
      <c r="E76" s="10"/>
      <c r="F76" s="10"/>
      <c r="G76" s="10">
        <f t="shared" ref="G76:M76" si="17">(G35/G$52)*$O$52</f>
        <v>2.1658181640601155</v>
      </c>
      <c r="H76" s="10">
        <f t="shared" si="17"/>
        <v>3.4776474181892234</v>
      </c>
      <c r="I76" s="10">
        <f t="shared" si="17"/>
        <v>3.4477118760577805</v>
      </c>
      <c r="J76" s="10">
        <f t="shared" si="17"/>
        <v>3.1938442939643692</v>
      </c>
      <c r="K76" s="10">
        <f t="shared" si="17"/>
        <v>3.3129989783300839</v>
      </c>
      <c r="L76" s="10">
        <f t="shared" si="17"/>
        <v>3.331483749526905</v>
      </c>
      <c r="M76" s="10">
        <f t="shared" si="17"/>
        <v>4.5655090193155345</v>
      </c>
      <c r="N76" s="10"/>
      <c r="O76" s="10"/>
      <c r="P76" s="10"/>
      <c r="Q76" s="6"/>
      <c r="T76" s="24"/>
      <c r="U76" s="29"/>
    </row>
    <row r="77" spans="1:21">
      <c r="A77" s="49" t="s">
        <v>1298</v>
      </c>
      <c r="B77" s="10"/>
      <c r="C77" s="10"/>
      <c r="D77" s="10"/>
      <c r="E77" s="10"/>
      <c r="F77" s="10"/>
      <c r="G77" s="10">
        <f t="shared" ref="G77:M77" si="18">(G36/G$52)*$O$52</f>
        <v>0</v>
      </c>
      <c r="H77" s="10">
        <f t="shared" si="18"/>
        <v>0</v>
      </c>
      <c r="I77" s="10">
        <f t="shared" si="18"/>
        <v>0</v>
      </c>
      <c r="J77" s="10">
        <f t="shared" si="18"/>
        <v>0</v>
      </c>
      <c r="K77" s="10">
        <f t="shared" si="18"/>
        <v>5.7140375617973166E-2</v>
      </c>
      <c r="L77" s="10">
        <f t="shared" si="18"/>
        <v>5.4705999908451187E-2</v>
      </c>
      <c r="M77" s="10">
        <f t="shared" si="18"/>
        <v>3.8116494595398703E-2</v>
      </c>
      <c r="N77" s="10"/>
      <c r="O77" s="10"/>
      <c r="P77" s="10"/>
      <c r="Q77" s="6"/>
      <c r="T77" s="24"/>
    </row>
    <row r="78" spans="1:21">
      <c r="A78" s="49" t="s">
        <v>403</v>
      </c>
      <c r="B78" s="10"/>
      <c r="C78" s="10"/>
      <c r="D78" s="10"/>
      <c r="E78" s="10"/>
      <c r="F78" s="10"/>
      <c r="G78" s="10">
        <f t="shared" ref="G78:M78" si="19">(G37/G$52)*$O$52</f>
        <v>12.656728808800011</v>
      </c>
      <c r="H78" s="10">
        <f t="shared" si="19"/>
        <v>14.826972192154262</v>
      </c>
      <c r="I78" s="10">
        <f t="shared" si="19"/>
        <v>15.019887454548039</v>
      </c>
      <c r="J78" s="10">
        <f t="shared" si="19"/>
        <v>15.246901550945728</v>
      </c>
      <c r="K78" s="10">
        <f t="shared" si="19"/>
        <v>15.711317679917903</v>
      </c>
      <c r="L78" s="10">
        <f t="shared" si="19"/>
        <v>16.114824544460905</v>
      </c>
      <c r="M78" s="10">
        <f t="shared" si="19"/>
        <v>19.464823240050272</v>
      </c>
      <c r="N78" s="10"/>
      <c r="O78" s="10"/>
      <c r="P78" s="10"/>
      <c r="Q78" s="6"/>
      <c r="T78" s="24"/>
    </row>
    <row r="79" spans="1:21">
      <c r="A79" s="49" t="s">
        <v>1299</v>
      </c>
      <c r="B79" s="10"/>
      <c r="C79" s="10"/>
      <c r="D79" s="10"/>
      <c r="E79" s="10"/>
      <c r="F79" s="10"/>
      <c r="G79" s="10"/>
      <c r="H79" s="10"/>
      <c r="I79" s="10"/>
      <c r="J79" s="10"/>
      <c r="K79" s="10"/>
      <c r="L79" s="10"/>
      <c r="M79" s="10"/>
      <c r="N79" s="10"/>
      <c r="O79" s="10"/>
      <c r="P79" s="10"/>
      <c r="Q79" s="6"/>
      <c r="T79" s="24"/>
    </row>
    <row r="80" spans="1:21">
      <c r="A80" s="82" t="s">
        <v>1300</v>
      </c>
      <c r="B80" s="10"/>
      <c r="C80" s="10"/>
      <c r="D80" s="10"/>
      <c r="E80" s="10"/>
      <c r="F80" s="10"/>
      <c r="G80" s="10"/>
      <c r="H80" s="10"/>
      <c r="I80" s="10"/>
      <c r="J80" s="10"/>
      <c r="K80" s="10"/>
      <c r="L80" s="10"/>
      <c r="M80" s="10"/>
      <c r="N80" s="10"/>
      <c r="O80" s="10"/>
      <c r="P80" s="10"/>
      <c r="Q80" s="6"/>
      <c r="T80" s="24"/>
    </row>
    <row r="81" spans="1:21">
      <c r="A81" s="49" t="s">
        <v>1301</v>
      </c>
      <c r="B81" s="10"/>
      <c r="C81" s="10"/>
      <c r="D81" s="10"/>
      <c r="E81" s="10"/>
      <c r="F81" s="10">
        <f>(F41/F$52)*$O$52</f>
        <v>77.850245784347408</v>
      </c>
      <c r="G81" s="10">
        <f t="shared" ref="G81:M81" si="20">(G41/G$52)*$O$52</f>
        <v>81.798093005652603</v>
      </c>
      <c r="H81" s="10">
        <f t="shared" si="20"/>
        <v>87.274525656892322</v>
      </c>
      <c r="I81" s="10">
        <f t="shared" si="20"/>
        <v>90.785400380208316</v>
      </c>
      <c r="J81" s="10">
        <f t="shared" si="20"/>
        <v>94.870128278883172</v>
      </c>
      <c r="K81" s="10">
        <f t="shared" si="20"/>
        <v>96.452954043138703</v>
      </c>
      <c r="L81" s="10">
        <f t="shared" si="20"/>
        <v>100.25711819956973</v>
      </c>
      <c r="M81" s="10">
        <f t="shared" si="20"/>
        <v>108.31437214192465</v>
      </c>
      <c r="N81" s="10"/>
      <c r="O81" s="10"/>
      <c r="P81" s="10"/>
      <c r="Q81" s="6"/>
      <c r="T81" s="24"/>
    </row>
    <row r="82" spans="1:21">
      <c r="A82" s="49" t="s">
        <v>1303</v>
      </c>
      <c r="B82" s="10"/>
      <c r="C82" s="10"/>
      <c r="D82" s="10"/>
      <c r="E82" s="10"/>
      <c r="F82" s="10"/>
      <c r="G82" s="10"/>
      <c r="H82" s="10"/>
      <c r="I82" s="10"/>
      <c r="J82" s="10"/>
      <c r="K82" s="10"/>
      <c r="L82" s="10"/>
      <c r="M82" s="10"/>
      <c r="N82" s="10"/>
      <c r="O82" s="10"/>
      <c r="P82" s="10"/>
      <c r="Q82" s="6"/>
      <c r="T82" s="24"/>
    </row>
    <row r="83" spans="1:21">
      <c r="A83" s="49"/>
      <c r="B83" s="10"/>
      <c r="C83" s="10"/>
      <c r="D83" s="10"/>
      <c r="E83" s="10"/>
      <c r="F83" s="10"/>
      <c r="G83" s="10"/>
      <c r="H83" s="10"/>
      <c r="I83" s="10"/>
      <c r="J83" s="10"/>
      <c r="K83" s="10"/>
      <c r="L83" s="10"/>
      <c r="M83" s="10"/>
      <c r="N83" s="10"/>
      <c r="O83" s="10"/>
      <c r="P83" s="10"/>
      <c r="Q83" s="6"/>
      <c r="T83" s="24"/>
    </row>
    <row r="84" spans="1:21">
      <c r="A84" s="82" t="s">
        <v>1305</v>
      </c>
      <c r="B84" s="10"/>
      <c r="C84" s="10"/>
      <c r="D84" s="10"/>
      <c r="E84" s="10"/>
      <c r="F84" s="10"/>
      <c r="G84" s="10"/>
      <c r="H84" s="10"/>
      <c r="I84" s="10"/>
      <c r="J84" s="10"/>
      <c r="K84" s="10"/>
      <c r="L84" s="10"/>
      <c r="M84" s="10"/>
      <c r="N84" s="10"/>
      <c r="O84" s="10"/>
      <c r="P84" s="10"/>
      <c r="Q84" s="6"/>
      <c r="S84" s="74">
        <v>-5.7940156428858303E-2</v>
      </c>
      <c r="T84" s="24"/>
    </row>
    <row r="85" spans="1:21">
      <c r="A85" s="49" t="s">
        <v>1307</v>
      </c>
      <c r="B85" s="10"/>
      <c r="C85" s="10"/>
      <c r="D85" s="10"/>
      <c r="E85" s="10"/>
      <c r="F85" s="10"/>
      <c r="G85" s="10">
        <f>(G45/G$52)*$O$52</f>
        <v>80.239222796029736</v>
      </c>
      <c r="H85" s="10">
        <f t="shared" ref="H85:P85" si="21">(H45/H$52)*$O$52</f>
        <v>82.426160296636411</v>
      </c>
      <c r="I85" s="10">
        <f t="shared" si="21"/>
        <v>83.604739803827684</v>
      </c>
      <c r="J85" s="10">
        <f t="shared" si="21"/>
        <v>84.077707153534405</v>
      </c>
      <c r="K85" s="10">
        <f t="shared" si="21"/>
        <v>84.79000111995137</v>
      </c>
      <c r="L85" s="10">
        <f t="shared" si="21"/>
        <v>87.499434518592778</v>
      </c>
      <c r="M85" s="10">
        <f t="shared" si="21"/>
        <v>86.486032951709575</v>
      </c>
      <c r="N85" s="10">
        <f t="shared" si="21"/>
        <v>90.688132716296494</v>
      </c>
      <c r="O85" s="10">
        <f t="shared" si="21"/>
        <v>88.160861999999995</v>
      </c>
      <c r="P85" s="10">
        <f t="shared" si="21"/>
        <v>85.674075551877877</v>
      </c>
      <c r="Q85" s="6"/>
      <c r="S85" s="74">
        <f>(L85/G85)^(1/COUNTA(H85:L85))-1</f>
        <v>1.747490497637405E-2</v>
      </c>
      <c r="T85" s="24"/>
    </row>
    <row r="86" spans="1:21">
      <c r="A86" s="49" t="s">
        <v>1309</v>
      </c>
      <c r="B86" s="10"/>
      <c r="C86" s="10"/>
      <c r="D86" s="10"/>
      <c r="E86" s="10"/>
      <c r="F86" s="10"/>
      <c r="G86" s="10">
        <f t="shared" ref="G86:P86" si="22">(G46/G$52)*$O$52</f>
        <v>8.2071176549585516</v>
      </c>
      <c r="H86" s="10">
        <f t="shared" si="22"/>
        <v>8.5659437830840144</v>
      </c>
      <c r="I86" s="10">
        <f t="shared" si="22"/>
        <v>8.7042932249913481</v>
      </c>
      <c r="J86" s="10">
        <f t="shared" si="22"/>
        <v>8.8395691285834488</v>
      </c>
      <c r="K86" s="10">
        <f t="shared" si="22"/>
        <v>8.8720889835641437</v>
      </c>
      <c r="L86" s="10">
        <f t="shared" si="22"/>
        <v>9.2326177267535794</v>
      </c>
      <c r="M86" s="10">
        <f t="shared" si="22"/>
        <v>9.1430681448807967</v>
      </c>
      <c r="N86" s="10">
        <f t="shared" si="22"/>
        <v>9.7123626212322591</v>
      </c>
      <c r="O86" s="10">
        <f t="shared" si="22"/>
        <v>9.4684720000000002</v>
      </c>
      <c r="P86" s="10">
        <f t="shared" si="22"/>
        <v>9.2470320699407242</v>
      </c>
      <c r="Q86" s="6"/>
      <c r="S86" s="74">
        <f>(L86/G86)^(1/COUNTA(H86:L86))-1</f>
        <v>2.3827614167749145E-2</v>
      </c>
      <c r="T86" s="24"/>
    </row>
    <row r="87" spans="1:21">
      <c r="A87" s="49" t="s">
        <v>1310</v>
      </c>
      <c r="B87" s="10"/>
      <c r="C87" s="10"/>
      <c r="D87" s="10"/>
      <c r="E87" s="10"/>
      <c r="F87" s="10"/>
      <c r="G87" s="10">
        <f t="shared" ref="G87:P87" si="23">(G47/G$52)*$O$52</f>
        <v>15.434802036406255</v>
      </c>
      <c r="H87" s="10">
        <f t="shared" si="23"/>
        <v>16.329509820202357</v>
      </c>
      <c r="I87" s="10">
        <f t="shared" si="23"/>
        <v>17.194095867486503</v>
      </c>
      <c r="J87" s="10">
        <f t="shared" si="23"/>
        <v>17.740791004491452</v>
      </c>
      <c r="K87" s="10">
        <f t="shared" si="23"/>
        <v>18.154630998882336</v>
      </c>
      <c r="L87" s="10">
        <f t="shared" si="23"/>
        <v>19.561342730856527</v>
      </c>
      <c r="M87" s="10">
        <f t="shared" si="23"/>
        <v>19.81096124505412</v>
      </c>
      <c r="N87" s="10">
        <f t="shared" si="23"/>
        <v>21.363329009805334</v>
      </c>
      <c r="O87" s="10">
        <f t="shared" si="23"/>
        <v>21.50048</v>
      </c>
      <c r="P87" s="10">
        <f t="shared" si="23"/>
        <v>21.729823403428437</v>
      </c>
      <c r="Q87" s="6"/>
      <c r="S87" s="74">
        <f>(L87/G87)^(1/COUNTA(H87:L87))-1</f>
        <v>4.8526762251551947E-2</v>
      </c>
      <c r="T87" s="24"/>
    </row>
    <row r="88" spans="1:21">
      <c r="A88" s="49" t="s">
        <v>1311</v>
      </c>
      <c r="B88" s="10"/>
      <c r="C88" s="10"/>
      <c r="D88" s="10"/>
      <c r="E88" s="10"/>
      <c r="F88" s="10"/>
      <c r="G88" s="10">
        <f t="shared" ref="G88:P88" si="24">(G48/G$52)*$O$52</f>
        <v>103.88114248739456</v>
      </c>
      <c r="H88" s="10">
        <f t="shared" si="24"/>
        <v>107.32161389992278</v>
      </c>
      <c r="I88" s="10">
        <f t="shared" si="24"/>
        <v>109.50312652592955</v>
      </c>
      <c r="J88" s="10">
        <f t="shared" si="24"/>
        <v>110.65806845352355</v>
      </c>
      <c r="K88" s="10">
        <f t="shared" si="24"/>
        <v>111.13405017839224</v>
      </c>
      <c r="L88" s="10">
        <f t="shared" si="24"/>
        <v>116.22141974350701</v>
      </c>
      <c r="M88" s="10">
        <f t="shared" si="24"/>
        <v>115.29378394088555</v>
      </c>
      <c r="N88" s="10">
        <f t="shared" si="24"/>
        <v>121.52691316113948</v>
      </c>
      <c r="O88" s="10">
        <f t="shared" si="24"/>
        <v>118.96044800000001</v>
      </c>
      <c r="P88" s="10">
        <f t="shared" si="24"/>
        <v>116.58354315117982</v>
      </c>
      <c r="Q88" s="6"/>
      <c r="S88" s="98">
        <f>(L88/G88)^(1/COUNTA(H88:L88))-1</f>
        <v>2.2703852220166798E-2</v>
      </c>
      <c r="T88" s="24"/>
    </row>
    <row r="89" spans="1:21" ht="15" thickBot="1">
      <c r="A89" s="5"/>
      <c r="G89" s="1584">
        <v>12020.1</v>
      </c>
      <c r="H89" s="58"/>
      <c r="I89" s="58"/>
      <c r="J89" s="58"/>
      <c r="K89" s="58"/>
      <c r="L89" s="1584">
        <v>14790.09</v>
      </c>
      <c r="Q89" s="6"/>
      <c r="S89" s="98">
        <f>(L89/G89)^(1/COUNTA(H88:L88))-1</f>
        <v>4.2347543418543854E-2</v>
      </c>
      <c r="T89" s="24"/>
    </row>
    <row r="90" spans="1:21" ht="15" thickBot="1">
      <c r="A90" s="15"/>
      <c r="B90" s="52"/>
      <c r="C90" s="52"/>
      <c r="D90" s="52"/>
      <c r="E90" s="52"/>
      <c r="F90" s="52"/>
      <c r="G90" s="52"/>
      <c r="H90" s="52"/>
      <c r="I90" s="52"/>
      <c r="J90" s="52"/>
      <c r="K90" s="52"/>
      <c r="L90" s="52"/>
      <c r="M90" s="52"/>
      <c r="N90" s="52"/>
      <c r="O90" s="52"/>
      <c r="P90" s="52"/>
      <c r="Q90" s="70"/>
      <c r="T90" s="24"/>
    </row>
    <row r="91" spans="1:21" ht="15" thickBot="1">
      <c r="F91" s="14"/>
      <c r="G91" s="55"/>
      <c r="H91" s="55"/>
      <c r="I91" s="55"/>
      <c r="J91" s="55"/>
      <c r="K91" s="55"/>
      <c r="L91" s="55"/>
      <c r="M91" s="55"/>
      <c r="N91" s="55"/>
      <c r="T91" s="24"/>
    </row>
    <row r="92" spans="1:21" ht="15" thickBot="1">
      <c r="A92" s="331" t="s">
        <v>735</v>
      </c>
      <c r="B92" s="326" t="s">
        <v>325</v>
      </c>
      <c r="C92" s="326" t="s">
        <v>188</v>
      </c>
      <c r="D92" s="326" t="s">
        <v>189</v>
      </c>
      <c r="E92" s="326" t="s">
        <v>681</v>
      </c>
      <c r="F92" s="326" t="s">
        <v>245</v>
      </c>
      <c r="G92" s="326" t="s">
        <v>192</v>
      </c>
      <c r="H92" s="326" t="s">
        <v>193</v>
      </c>
      <c r="I92" s="326" t="s">
        <v>165</v>
      </c>
      <c r="J92" s="326" t="s">
        <v>167</v>
      </c>
      <c r="K92" s="326" t="s">
        <v>168</v>
      </c>
      <c r="L92" s="326" t="s">
        <v>169</v>
      </c>
      <c r="M92" s="327" t="s">
        <v>170</v>
      </c>
      <c r="N92" s="328" t="s">
        <v>171</v>
      </c>
      <c r="O92" s="328" t="s">
        <v>172</v>
      </c>
      <c r="P92" s="328" t="s">
        <v>173</v>
      </c>
      <c r="Q92" s="332" t="s">
        <v>174</v>
      </c>
      <c r="T92" s="24"/>
    </row>
    <row r="93" spans="1:21">
      <c r="A93" s="5"/>
      <c r="B93" s="2"/>
      <c r="C93" s="2"/>
      <c r="D93" s="2"/>
      <c r="E93" s="2"/>
      <c r="F93" s="2"/>
      <c r="G93" s="2"/>
      <c r="H93" s="2"/>
      <c r="I93" s="2"/>
      <c r="J93" s="2"/>
      <c r="K93" s="2"/>
      <c r="L93" s="2"/>
      <c r="M93" s="2"/>
      <c r="N93" s="2"/>
      <c r="O93" s="2"/>
      <c r="P93" s="2"/>
      <c r="Q93" s="6"/>
    </row>
    <row r="94" spans="1:21">
      <c r="A94" s="73" t="s">
        <v>129</v>
      </c>
      <c r="B94" s="48" t="str">
        <f t="shared" ref="B94:B106" si="25">IFERROR((B57-A57)/A57,"")</f>
        <v/>
      </c>
      <c r="C94" s="48"/>
      <c r="D94" s="48"/>
      <c r="E94" s="48"/>
      <c r="F94" s="48"/>
      <c r="G94" s="48"/>
      <c r="H94" s="48"/>
      <c r="I94" s="48"/>
      <c r="J94" s="48"/>
      <c r="K94" s="48"/>
      <c r="L94" s="48"/>
      <c r="M94" s="86"/>
      <c r="N94" s="86"/>
      <c r="O94" s="86"/>
      <c r="P94" s="86"/>
      <c r="Q94" s="69"/>
    </row>
    <row r="95" spans="1:21" hidden="1">
      <c r="A95" s="80" t="s">
        <v>1276</v>
      </c>
      <c r="B95" s="48" t="str">
        <f t="shared" si="25"/>
        <v/>
      </c>
      <c r="C95" s="48"/>
      <c r="D95" s="48"/>
      <c r="E95" s="48"/>
      <c r="F95" s="48"/>
      <c r="G95" s="48"/>
      <c r="H95" s="48"/>
      <c r="I95" s="48"/>
      <c r="J95" s="48"/>
      <c r="K95" s="48"/>
      <c r="L95" s="48"/>
      <c r="M95" s="86"/>
      <c r="N95" s="86"/>
      <c r="O95" s="86"/>
      <c r="P95" s="86"/>
      <c r="Q95" s="69"/>
    </row>
    <row r="96" spans="1:21" hidden="1">
      <c r="A96" s="57" t="s">
        <v>1277</v>
      </c>
      <c r="B96" s="48" t="str">
        <f t="shared" si="25"/>
        <v/>
      </c>
      <c r="C96" s="48"/>
      <c r="D96" s="48"/>
      <c r="E96" s="48"/>
      <c r="F96" s="48"/>
      <c r="G96" s="48"/>
      <c r="H96" s="48">
        <f t="shared" ref="H96:M96" si="26">H58/G58-1</f>
        <v>2.5525669690505737E-2</v>
      </c>
      <c r="I96" s="48">
        <f t="shared" si="26"/>
        <v>3.0346315985323002E-2</v>
      </c>
      <c r="J96" s="48">
        <f t="shared" si="26"/>
        <v>1.6056428948177492E-2</v>
      </c>
      <c r="K96" s="48">
        <f t="shared" si="26"/>
        <v>1.8071093665481541E-3</v>
      </c>
      <c r="L96" s="48">
        <f t="shared" si="26"/>
        <v>3.6855062291625273E-3</v>
      </c>
      <c r="M96" s="86">
        <f t="shared" si="26"/>
        <v>-1.7578653004734268E-2</v>
      </c>
      <c r="N96" s="86"/>
      <c r="O96" s="86"/>
      <c r="P96" s="86"/>
      <c r="Q96" s="69"/>
      <c r="T96" s="24"/>
      <c r="U96" s="30"/>
    </row>
    <row r="97" spans="1:21" hidden="1">
      <c r="A97" s="81" t="s">
        <v>1278</v>
      </c>
      <c r="B97" s="48" t="str">
        <f t="shared" si="25"/>
        <v/>
      </c>
      <c r="C97" s="48"/>
      <c r="D97" s="48"/>
      <c r="E97" s="48"/>
      <c r="F97" s="48"/>
      <c r="G97" s="48"/>
      <c r="H97" s="48"/>
      <c r="I97" s="48"/>
      <c r="J97" s="48"/>
      <c r="K97" s="48"/>
      <c r="L97" s="48"/>
      <c r="M97" s="86"/>
      <c r="N97" s="86"/>
      <c r="O97" s="86"/>
      <c r="P97" s="86"/>
      <c r="Q97" s="69"/>
      <c r="U97" s="31"/>
    </row>
    <row r="98" spans="1:21" hidden="1">
      <c r="A98" s="57" t="s">
        <v>1279</v>
      </c>
      <c r="B98" s="48" t="str">
        <f t="shared" si="25"/>
        <v/>
      </c>
      <c r="C98" s="48"/>
      <c r="D98" s="48"/>
      <c r="E98" s="48"/>
      <c r="F98" s="48"/>
      <c r="G98" s="48"/>
      <c r="H98" s="48"/>
      <c r="I98" s="48"/>
      <c r="J98" s="48"/>
      <c r="K98" s="48"/>
      <c r="L98" s="48">
        <f t="shared" ref="L98:M100" si="27">L60/K60-1</f>
        <v>-0.45020694079146872</v>
      </c>
      <c r="M98" s="86">
        <f t="shared" si="27"/>
        <v>-1</v>
      </c>
      <c r="N98" s="86"/>
      <c r="O98" s="86"/>
      <c r="P98" s="86"/>
      <c r="Q98" s="69"/>
      <c r="U98" s="31"/>
    </row>
    <row r="99" spans="1:21" hidden="1">
      <c r="A99" s="57" t="s">
        <v>1280</v>
      </c>
      <c r="B99" s="48" t="str">
        <f t="shared" si="25"/>
        <v/>
      </c>
      <c r="C99" s="48"/>
      <c r="D99" s="48"/>
      <c r="E99" s="48"/>
      <c r="F99" s="48"/>
      <c r="G99" s="48"/>
      <c r="H99" s="48">
        <f>H61/G61-1</f>
        <v>-0.36921062273948313</v>
      </c>
      <c r="I99" s="48">
        <f>I61/H61-1</f>
        <v>0.64202287110951906</v>
      </c>
      <c r="J99" s="48">
        <f>J61/I61-1</f>
        <v>-0.13898408124718187</v>
      </c>
      <c r="K99" s="48">
        <f>K61/J61-1</f>
        <v>-0.74282941587932605</v>
      </c>
      <c r="L99" s="48">
        <f t="shared" si="27"/>
        <v>3.1803742238310404</v>
      </c>
      <c r="M99" s="86">
        <f t="shared" si="27"/>
        <v>2.1802463718091802E-2</v>
      </c>
      <c r="N99" s="86"/>
      <c r="O99" s="86"/>
      <c r="P99" s="86"/>
      <c r="Q99" s="69"/>
      <c r="R99" s="31"/>
      <c r="S99" s="31"/>
      <c r="T99" s="32"/>
    </row>
    <row r="100" spans="1:21" hidden="1">
      <c r="A100" s="57" t="s">
        <v>1281</v>
      </c>
      <c r="B100" s="48" t="str">
        <f t="shared" si="25"/>
        <v/>
      </c>
      <c r="C100" s="48"/>
      <c r="D100" s="48"/>
      <c r="E100" s="48"/>
      <c r="F100" s="48"/>
      <c r="G100" s="48"/>
      <c r="H100" s="48"/>
      <c r="I100" s="48"/>
      <c r="J100" s="48"/>
      <c r="K100" s="48"/>
      <c r="L100" s="48">
        <f t="shared" si="27"/>
        <v>5.3390888017934639</v>
      </c>
      <c r="M100" s="86">
        <f t="shared" si="27"/>
        <v>0.49844328061688437</v>
      </c>
      <c r="N100" s="86">
        <f>N62/M62-1</f>
        <v>-1</v>
      </c>
      <c r="O100" s="86" t="e">
        <f>O62/N62-1</f>
        <v>#DIV/0!</v>
      </c>
      <c r="P100" s="86" t="e">
        <f>P62/O62-1</f>
        <v>#DIV/0!</v>
      </c>
      <c r="Q100" s="69"/>
      <c r="R100" s="31"/>
      <c r="S100" s="31"/>
      <c r="T100" s="32"/>
    </row>
    <row r="101" spans="1:21" hidden="1">
      <c r="A101" s="81" t="s">
        <v>1283</v>
      </c>
      <c r="B101" s="48" t="str">
        <f t="shared" si="25"/>
        <v/>
      </c>
      <c r="C101" s="48"/>
      <c r="D101" s="48"/>
      <c r="E101" s="48"/>
      <c r="F101" s="48"/>
      <c r="G101" s="48"/>
      <c r="H101" s="48"/>
      <c r="I101" s="48"/>
      <c r="J101" s="48"/>
      <c r="K101" s="48"/>
      <c r="L101" s="48"/>
      <c r="M101" s="86"/>
      <c r="N101" s="86"/>
      <c r="O101" s="86"/>
      <c r="P101" s="86"/>
      <c r="Q101" s="69"/>
      <c r="R101" s="31"/>
      <c r="S101" s="31"/>
      <c r="T101" s="32"/>
    </row>
    <row r="102" spans="1:21" hidden="1">
      <c r="A102" s="57" t="s">
        <v>1284</v>
      </c>
      <c r="B102" s="48" t="str">
        <f t="shared" si="25"/>
        <v/>
      </c>
      <c r="C102" s="48"/>
      <c r="D102" s="48"/>
      <c r="E102" s="48"/>
      <c r="F102" s="48"/>
      <c r="G102" s="48"/>
      <c r="H102" s="48"/>
      <c r="I102" s="48"/>
      <c r="J102" s="48"/>
      <c r="K102" s="48"/>
      <c r="L102" s="48"/>
      <c r="M102" s="86">
        <f>M64/L64-1</f>
        <v>-5.164361501069914E-2</v>
      </c>
      <c r="N102" s="86">
        <f>N64/M64-1</f>
        <v>8.2606073222415421E-3</v>
      </c>
      <c r="O102" s="86">
        <f>O64/N64-1</f>
        <v>-6.3264999999999905E-2</v>
      </c>
      <c r="P102" s="86">
        <f>P64/O64-1</f>
        <v>-6.142407772921199E-2</v>
      </c>
      <c r="Q102" s="69"/>
      <c r="R102" s="31"/>
      <c r="S102" s="31"/>
      <c r="T102" s="32"/>
    </row>
    <row r="103" spans="1:21" hidden="1">
      <c r="A103" s="57" t="s">
        <v>1280</v>
      </c>
      <c r="B103" s="48" t="str">
        <f t="shared" si="25"/>
        <v/>
      </c>
      <c r="C103" s="48"/>
      <c r="D103" s="48"/>
      <c r="E103" s="48"/>
      <c r="F103" s="48"/>
      <c r="G103" s="48"/>
      <c r="H103" s="48"/>
      <c r="I103" s="48"/>
      <c r="J103" s="48"/>
      <c r="K103" s="48"/>
      <c r="L103" s="48">
        <f>L65/K65-1</f>
        <v>0.50834513098872591</v>
      </c>
      <c r="M103" s="86"/>
      <c r="N103" s="86"/>
      <c r="O103" s="86"/>
      <c r="P103" s="86"/>
      <c r="Q103" s="69"/>
      <c r="R103" s="31"/>
      <c r="S103" s="31"/>
      <c r="T103" s="32"/>
    </row>
    <row r="104" spans="1:21" hidden="1">
      <c r="A104" s="81" t="s">
        <v>1314</v>
      </c>
      <c r="B104" s="48" t="str">
        <f t="shared" si="25"/>
        <v/>
      </c>
      <c r="C104" s="48"/>
      <c r="D104" s="48"/>
      <c r="E104" s="48"/>
      <c r="F104" s="48"/>
      <c r="G104" s="48"/>
      <c r="H104" s="48"/>
      <c r="I104" s="48"/>
      <c r="J104" s="48"/>
      <c r="K104" s="48"/>
      <c r="L104" s="48"/>
      <c r="M104" s="86"/>
      <c r="N104" s="86"/>
      <c r="O104" s="86"/>
      <c r="P104" s="86"/>
      <c r="Q104" s="69"/>
      <c r="R104" s="31"/>
      <c r="S104" s="31"/>
      <c r="T104" s="32"/>
    </row>
    <row r="105" spans="1:21">
      <c r="A105" s="72" t="s">
        <v>1315</v>
      </c>
      <c r="B105" s="48" t="str">
        <f t="shared" si="25"/>
        <v/>
      </c>
      <c r="C105" s="48"/>
      <c r="D105" s="48"/>
      <c r="E105" s="48"/>
      <c r="F105" s="48"/>
      <c r="G105" s="48">
        <f t="shared" ref="G105:P105" si="28">G67/F67-1</f>
        <v>2.3854330251594558E-2</v>
      </c>
      <c r="H105" s="48">
        <f t="shared" si="28"/>
        <v>2.8379537713388192E-2</v>
      </c>
      <c r="I105" s="48">
        <f t="shared" si="28"/>
        <v>2.763375440172755E-2</v>
      </c>
      <c r="J105" s="48">
        <f t="shared" si="28"/>
        <v>2.029409075730837E-2</v>
      </c>
      <c r="K105" s="48">
        <f t="shared" si="28"/>
        <v>2.3017365784537613E-2</v>
      </c>
      <c r="L105" s="48">
        <f t="shared" si="28"/>
        <v>5.3402296001498373E-2</v>
      </c>
      <c r="M105" s="86">
        <f t="shared" si="28"/>
        <v>0.14894732351658568</v>
      </c>
      <c r="N105" s="86">
        <f t="shared" si="28"/>
        <v>1.5957150195901937E-2</v>
      </c>
      <c r="O105" s="86">
        <f t="shared" si="28"/>
        <v>-5.0944285889757857E-2</v>
      </c>
      <c r="P105" s="86">
        <f t="shared" si="28"/>
        <v>-3.1851201591212908E-2</v>
      </c>
      <c r="Q105" s="69"/>
      <c r="R105" s="31"/>
      <c r="S105" s="31"/>
      <c r="T105" s="32"/>
    </row>
    <row r="106" spans="1:21">
      <c r="A106" s="72" t="s">
        <v>1316</v>
      </c>
      <c r="B106" s="48" t="str">
        <f t="shared" si="25"/>
        <v/>
      </c>
      <c r="C106" s="48"/>
      <c r="D106" s="48"/>
      <c r="E106" s="48"/>
      <c r="F106" s="48"/>
      <c r="G106" s="48"/>
      <c r="H106" s="48"/>
      <c r="I106" s="48"/>
      <c r="J106" s="48"/>
      <c r="K106" s="48"/>
      <c r="L106" s="48"/>
      <c r="M106" s="86"/>
      <c r="N106" s="86">
        <f>N68/M68-1</f>
        <v>-1</v>
      </c>
      <c r="O106" s="86"/>
      <c r="P106" s="86"/>
      <c r="Q106" s="69"/>
      <c r="R106" s="31"/>
      <c r="S106" s="31"/>
      <c r="T106" s="32"/>
    </row>
    <row r="107" spans="1:21">
      <c r="A107" s="57" t="s">
        <v>285</v>
      </c>
      <c r="B107" s="48" t="str">
        <f>IFERROR((#REF!-#REF!)/#REF!,"")</f>
        <v/>
      </c>
      <c r="C107" s="48"/>
      <c r="D107" s="48"/>
      <c r="E107" s="48"/>
      <c r="F107" s="48"/>
      <c r="G107" s="48">
        <f t="shared" ref="G107:M107" si="29">G69/F69-1</f>
        <v>-1</v>
      </c>
      <c r="H107" s="48" t="e">
        <f t="shared" si="29"/>
        <v>#DIV/0!</v>
      </c>
      <c r="I107" s="48" t="e">
        <f t="shared" si="29"/>
        <v>#DIV/0!</v>
      </c>
      <c r="J107" s="48">
        <f t="shared" si="29"/>
        <v>5.8807223052224522E-2</v>
      </c>
      <c r="K107" s="48">
        <f t="shared" si="29"/>
        <v>-7.5178571920870518E-2</v>
      </c>
      <c r="L107" s="48">
        <f t="shared" si="29"/>
        <v>-0.32169122440827769</v>
      </c>
      <c r="M107" s="86">
        <f t="shared" si="29"/>
        <v>7.0133132278812944</v>
      </c>
      <c r="N107" s="86">
        <f>N69/M69-1</f>
        <v>-1</v>
      </c>
      <c r="O107" s="86" t="e">
        <f>O69/N69-1</f>
        <v>#DIV/0!</v>
      </c>
      <c r="P107" s="86" t="e">
        <f>P69/O69-1</f>
        <v>#DIV/0!</v>
      </c>
      <c r="Q107" s="69"/>
      <c r="R107" s="31"/>
      <c r="S107" s="31"/>
      <c r="T107" s="32"/>
    </row>
    <row r="108" spans="1:21">
      <c r="A108" s="79" t="s">
        <v>1319</v>
      </c>
      <c r="B108" s="48" t="str">
        <f>IFERROR((B70-A70)/A70,"")</f>
        <v/>
      </c>
      <c r="C108" s="48"/>
      <c r="D108" s="48"/>
      <c r="E108" s="48"/>
      <c r="F108" s="48"/>
      <c r="G108" s="48"/>
      <c r="H108" s="48"/>
      <c r="I108" s="48"/>
      <c r="J108" s="48"/>
      <c r="K108" s="48"/>
      <c r="L108" s="48"/>
      <c r="M108" s="86"/>
      <c r="N108" s="86"/>
      <c r="O108" s="86"/>
      <c r="P108" s="86"/>
      <c r="Q108" s="69"/>
      <c r="R108" s="31"/>
      <c r="S108" s="31"/>
      <c r="T108" s="32"/>
    </row>
    <row r="109" spans="1:21">
      <c r="A109" s="57" t="s">
        <v>1317</v>
      </c>
      <c r="B109" s="48" t="str">
        <f>IFERROR((B72-A71)/A71,"")</f>
        <v/>
      </c>
      <c r="C109" s="48"/>
      <c r="D109" s="48"/>
      <c r="E109" s="48"/>
      <c r="F109" s="48"/>
      <c r="G109" s="48"/>
      <c r="H109" s="48">
        <f t="shared" ref="H109:K110" si="30">H70/G70-1</f>
        <v>2.8379537713388192E-2</v>
      </c>
      <c r="I109" s="48">
        <f t="shared" si="30"/>
        <v>2.79545800615566E-2</v>
      </c>
      <c r="J109" s="48">
        <f t="shared" si="30"/>
        <v>2.0608857307880424E-2</v>
      </c>
      <c r="K109" s="48">
        <f t="shared" si="30"/>
        <v>2.1578495733743264E-2</v>
      </c>
      <c r="L109" s="48">
        <f t="shared" ref="L109:L110" si="31">L70/K70-1</f>
        <v>5.741873131906261E-2</v>
      </c>
      <c r="M109" s="86">
        <f t="shared" ref="M109:M110" si="32">M70/L70-1</f>
        <v>9.8690988660696144E-2</v>
      </c>
      <c r="N109" s="86"/>
      <c r="O109" s="86"/>
      <c r="P109" s="86"/>
      <c r="Q109" s="69"/>
      <c r="R109" s="31"/>
      <c r="S109" s="31"/>
      <c r="T109" s="32"/>
    </row>
    <row r="110" spans="1:21">
      <c r="A110" s="57" t="s">
        <v>1318</v>
      </c>
      <c r="B110" s="48" t="str">
        <f>IFERROR((#REF!-A72)/A72,"")</f>
        <v/>
      </c>
      <c r="C110" s="48"/>
      <c r="D110" s="48"/>
      <c r="E110" s="48"/>
      <c r="F110" s="48"/>
      <c r="G110" s="48"/>
      <c r="H110" s="48">
        <f t="shared" si="30"/>
        <v>-4.3915652403342276E-2</v>
      </c>
      <c r="I110" s="48">
        <f t="shared" si="30"/>
        <v>0.28935377663670958</v>
      </c>
      <c r="J110" s="48">
        <f t="shared" si="30"/>
        <v>-6.4647516047988129E-2</v>
      </c>
      <c r="K110" s="48">
        <f t="shared" si="30"/>
        <v>-5.07260326298411E-2</v>
      </c>
      <c r="L110" s="48">
        <f t="shared" si="31"/>
        <v>0.17585875398828033</v>
      </c>
      <c r="M110" s="86">
        <f t="shared" si="32"/>
        <v>0.1800976068851825</v>
      </c>
      <c r="N110" s="86"/>
      <c r="O110" s="86"/>
      <c r="P110" s="86"/>
      <c r="Q110" s="69"/>
      <c r="R110" s="31"/>
      <c r="S110" s="31"/>
      <c r="T110" s="32"/>
    </row>
    <row r="111" spans="1:21">
      <c r="A111" s="49"/>
      <c r="B111" s="48" t="str">
        <f>IFERROR((#REF!-#REF!)/#REF!,"")</f>
        <v/>
      </c>
      <c r="C111" s="48"/>
      <c r="D111" s="48"/>
      <c r="E111" s="48"/>
      <c r="F111" s="48"/>
      <c r="G111" s="48"/>
      <c r="H111" s="48"/>
      <c r="I111" s="48"/>
      <c r="J111" s="48"/>
      <c r="K111" s="48"/>
      <c r="L111" s="48"/>
      <c r="M111" s="48"/>
      <c r="N111" s="48"/>
      <c r="O111" s="48"/>
      <c r="P111" s="48"/>
      <c r="Q111" s="69"/>
      <c r="R111" s="31"/>
      <c r="S111" s="31"/>
      <c r="T111" s="32"/>
    </row>
    <row r="112" spans="1:21">
      <c r="A112" s="45" t="s">
        <v>1293</v>
      </c>
      <c r="C112" s="48"/>
      <c r="D112" s="48"/>
      <c r="E112" s="48"/>
      <c r="F112" s="48"/>
      <c r="G112" s="48"/>
      <c r="H112" s="48"/>
      <c r="I112" s="48"/>
      <c r="J112" s="48"/>
      <c r="K112" s="48"/>
      <c r="L112" s="48"/>
      <c r="M112" s="48"/>
      <c r="N112" s="48"/>
      <c r="O112" s="48"/>
      <c r="P112" s="48"/>
      <c r="Q112" s="69"/>
      <c r="R112" s="31"/>
      <c r="S112" s="31"/>
      <c r="T112" s="32"/>
    </row>
    <row r="113" spans="1:20">
      <c r="A113" s="49" t="s">
        <v>1295</v>
      </c>
      <c r="C113" s="48"/>
      <c r="D113" s="48"/>
      <c r="E113" s="48"/>
      <c r="F113" s="48"/>
      <c r="G113" s="48"/>
      <c r="H113" s="48">
        <f t="shared" ref="H113:L115" si="33">H74/G74-1</f>
        <v>8.5287152701403635E-2</v>
      </c>
      <c r="I113" s="48">
        <f t="shared" si="33"/>
        <v>-1.2833017490903043E-3</v>
      </c>
      <c r="J113" s="48">
        <f t="shared" si="33"/>
        <v>-4.1872167046755115E-2</v>
      </c>
      <c r="K113" s="48">
        <f t="shared" si="33"/>
        <v>2.5710745207020658E-2</v>
      </c>
      <c r="L113" s="48">
        <f t="shared" si="33"/>
        <v>3.1847982614277015E-2</v>
      </c>
      <c r="M113" s="48"/>
      <c r="N113" s="48"/>
      <c r="O113" s="48"/>
      <c r="P113" s="48"/>
      <c r="Q113" s="69"/>
      <c r="R113" s="31"/>
      <c r="S113" s="31"/>
      <c r="T113" s="32"/>
    </row>
    <row r="114" spans="1:20">
      <c r="A114" s="49" t="s">
        <v>1296</v>
      </c>
      <c r="C114" s="48"/>
      <c r="D114" s="48"/>
      <c r="E114" s="48"/>
      <c r="F114" s="48"/>
      <c r="G114" s="48"/>
      <c r="H114" s="48">
        <f t="shared" si="33"/>
        <v>2.8720471986313001E-2</v>
      </c>
      <c r="I114" s="48">
        <f t="shared" si="33"/>
        <v>0.35809959650111645</v>
      </c>
      <c r="J114" s="48">
        <f t="shared" si="33"/>
        <v>1.0341949313786363</v>
      </c>
      <c r="K114" s="48">
        <f t="shared" si="33"/>
        <v>1.3781226126539092E-2</v>
      </c>
      <c r="L114" s="48">
        <f t="shared" si="33"/>
        <v>2.8829310296790478E-2</v>
      </c>
      <c r="M114" s="48"/>
      <c r="N114" s="48"/>
      <c r="O114" s="48"/>
      <c r="P114" s="48"/>
      <c r="Q114" s="69"/>
      <c r="R114" s="31"/>
      <c r="S114" s="31"/>
      <c r="T114" s="32"/>
    </row>
    <row r="115" spans="1:20">
      <c r="A115" s="49" t="s">
        <v>1297</v>
      </c>
      <c r="C115" s="48"/>
      <c r="D115" s="48"/>
      <c r="E115" s="48"/>
      <c r="F115" s="48"/>
      <c r="G115" s="48"/>
      <c r="H115" s="48">
        <f t="shared" si="33"/>
        <v>0.60569685668805584</v>
      </c>
      <c r="I115" s="48">
        <f t="shared" si="33"/>
        <v>-8.6079865298794855E-3</v>
      </c>
      <c r="J115" s="48">
        <f t="shared" si="33"/>
        <v>-7.3633642026865398E-2</v>
      </c>
      <c r="K115" s="48">
        <f t="shared" si="33"/>
        <v>3.7307605943999844E-2</v>
      </c>
      <c r="L115" s="48">
        <f t="shared" si="33"/>
        <v>5.5794678228782146E-3</v>
      </c>
      <c r="M115" s="48"/>
      <c r="N115" s="48"/>
      <c r="O115" s="48"/>
      <c r="P115" s="48"/>
      <c r="Q115" s="69"/>
      <c r="R115" s="31"/>
      <c r="S115" s="31"/>
      <c r="T115" s="32"/>
    </row>
    <row r="116" spans="1:20">
      <c r="A116" s="49" t="s">
        <v>1298</v>
      </c>
      <c r="C116" s="48"/>
      <c r="D116" s="48"/>
      <c r="E116" s="48"/>
      <c r="F116" s="48"/>
      <c r="G116" s="48"/>
      <c r="H116" s="48"/>
      <c r="I116" s="48"/>
      <c r="J116" s="48"/>
      <c r="K116" s="48"/>
      <c r="L116" s="48"/>
      <c r="M116" s="48"/>
      <c r="N116" s="48"/>
      <c r="O116" s="48"/>
      <c r="P116" s="48"/>
      <c r="Q116" s="69"/>
      <c r="R116" s="31"/>
      <c r="S116" s="31"/>
      <c r="T116" s="32"/>
    </row>
    <row r="117" spans="1:20">
      <c r="A117" s="49" t="s">
        <v>403</v>
      </c>
      <c r="C117" s="48"/>
      <c r="D117" s="48"/>
      <c r="E117" s="48"/>
      <c r="F117" s="48"/>
      <c r="G117" s="48"/>
      <c r="H117" s="48">
        <f>H78/G78-1</f>
        <v>0.17146953341098037</v>
      </c>
      <c r="I117" s="48">
        <f>I78/H78-1</f>
        <v>1.3011103001586477E-2</v>
      </c>
      <c r="J117" s="48">
        <f>J78/I78-1</f>
        <v>1.5114234183489117E-2</v>
      </c>
      <c r="K117" s="48">
        <f>K78/J78-1</f>
        <v>3.0459705365079248E-2</v>
      </c>
      <c r="L117" s="48">
        <f>L78/K78-1</f>
        <v>2.568256035321359E-2</v>
      </c>
      <c r="M117" s="48"/>
      <c r="N117" s="48"/>
      <c r="O117" s="48"/>
      <c r="P117" s="48"/>
      <c r="Q117" s="69"/>
      <c r="R117" s="31"/>
      <c r="S117" s="31"/>
      <c r="T117" s="32"/>
    </row>
    <row r="118" spans="1:20">
      <c r="A118" s="49" t="s">
        <v>1299</v>
      </c>
      <c r="C118" s="48"/>
      <c r="D118" s="48"/>
      <c r="E118" s="48"/>
      <c r="F118" s="48"/>
      <c r="G118" s="48"/>
      <c r="H118" s="48"/>
      <c r="I118" s="48"/>
      <c r="J118" s="48"/>
      <c r="K118" s="48"/>
      <c r="L118" s="48"/>
      <c r="M118" s="48"/>
      <c r="N118" s="48"/>
      <c r="O118" s="48"/>
      <c r="P118" s="48"/>
      <c r="Q118" s="69"/>
    </row>
    <row r="119" spans="1:20">
      <c r="A119" s="82" t="s">
        <v>1300</v>
      </c>
      <c r="C119" s="48"/>
      <c r="D119" s="48"/>
      <c r="E119" s="48"/>
      <c r="F119" s="48"/>
      <c r="G119" s="48"/>
      <c r="H119" s="48"/>
      <c r="I119" s="48"/>
      <c r="J119" s="48"/>
      <c r="K119" s="48"/>
      <c r="L119" s="48"/>
      <c r="M119" s="48"/>
      <c r="N119" s="48"/>
      <c r="O119" s="48"/>
      <c r="P119" s="48"/>
      <c r="Q119" s="69"/>
    </row>
    <row r="120" spans="1:20">
      <c r="A120" s="49" t="s">
        <v>1301</v>
      </c>
      <c r="C120" s="48"/>
      <c r="D120" s="48"/>
      <c r="E120" s="48"/>
      <c r="F120" s="48"/>
      <c r="G120" s="48">
        <f t="shared" ref="G120:L120" si="34">G81/F81-1</f>
        <v>5.0710786864322843E-2</v>
      </c>
      <c r="H120" s="48">
        <f t="shared" si="34"/>
        <v>6.6950615228416943E-2</v>
      </c>
      <c r="I120" s="48">
        <f t="shared" si="34"/>
        <v>4.0227943914797226E-2</v>
      </c>
      <c r="J120" s="48">
        <f t="shared" si="34"/>
        <v>4.4993224478474092E-2</v>
      </c>
      <c r="K120" s="48">
        <f t="shared" si="34"/>
        <v>1.6684132223397041E-2</v>
      </c>
      <c r="L120" s="48">
        <f t="shared" si="34"/>
        <v>3.9440618425534257E-2</v>
      </c>
      <c r="M120" s="48"/>
      <c r="N120" s="48"/>
      <c r="O120" s="48"/>
      <c r="P120" s="48"/>
      <c r="Q120" s="69"/>
    </row>
    <row r="121" spans="1:20">
      <c r="A121" s="49" t="s">
        <v>1303</v>
      </c>
      <c r="C121" s="48"/>
      <c r="D121" s="48"/>
      <c r="E121" s="48"/>
      <c r="F121" s="48"/>
      <c r="G121" s="48"/>
      <c r="H121" s="48"/>
      <c r="I121" s="48"/>
      <c r="J121" s="48"/>
      <c r="K121" s="48"/>
      <c r="L121" s="48"/>
      <c r="M121" s="48"/>
      <c r="N121" s="48"/>
      <c r="O121" s="48"/>
      <c r="P121" s="48"/>
      <c r="Q121" s="69"/>
    </row>
    <row r="122" spans="1:20">
      <c r="A122" s="49"/>
      <c r="C122" s="48"/>
      <c r="D122" s="48"/>
      <c r="E122" s="48"/>
      <c r="F122" s="48"/>
      <c r="G122" s="48"/>
      <c r="H122" s="48"/>
      <c r="I122" s="48"/>
      <c r="J122" s="48"/>
      <c r="K122" s="48"/>
      <c r="L122" s="48"/>
      <c r="M122" s="48"/>
      <c r="N122" s="48"/>
      <c r="O122" s="48"/>
      <c r="P122" s="48"/>
      <c r="Q122" s="69"/>
    </row>
    <row r="123" spans="1:20">
      <c r="A123" s="82" t="s">
        <v>1305</v>
      </c>
      <c r="C123" s="48"/>
      <c r="D123" s="48"/>
      <c r="E123" s="48"/>
      <c r="F123" s="48"/>
      <c r="G123" s="48"/>
      <c r="H123" s="48"/>
      <c r="I123" s="48"/>
      <c r="J123" s="48"/>
      <c r="K123" s="48"/>
      <c r="L123" s="48"/>
      <c r="M123" s="48"/>
      <c r="N123" s="48"/>
      <c r="O123" s="48"/>
      <c r="P123" s="48"/>
      <c r="Q123" s="69"/>
    </row>
    <row r="124" spans="1:20">
      <c r="A124" s="49" t="s">
        <v>1307</v>
      </c>
      <c r="C124" s="48"/>
      <c r="D124" s="48"/>
      <c r="E124" s="48"/>
      <c r="F124" s="48"/>
      <c r="G124" s="48"/>
      <c r="H124" s="48">
        <f t="shared" ref="H124:P124" si="35">H85/G85-1</f>
        <v>2.7255217889708749E-2</v>
      </c>
      <c r="I124" s="48">
        <f t="shared" si="35"/>
        <v>1.4298609846070454E-2</v>
      </c>
      <c r="J124" s="48">
        <f t="shared" si="35"/>
        <v>5.6571834421887957E-3</v>
      </c>
      <c r="K124" s="48">
        <f t="shared" si="35"/>
        <v>8.4718528909957236E-3</v>
      </c>
      <c r="L124" s="86">
        <f t="shared" si="35"/>
        <v>3.1954633363058926E-2</v>
      </c>
      <c r="M124" s="86">
        <f t="shared" si="35"/>
        <v>-1.1581807042054248E-2</v>
      </c>
      <c r="N124" s="86">
        <f t="shared" si="35"/>
        <v>4.858703331823766E-2</v>
      </c>
      <c r="O124" s="86">
        <f t="shared" si="35"/>
        <v>-2.7867711470062617E-2</v>
      </c>
      <c r="P124" s="86">
        <f t="shared" si="35"/>
        <v>-2.8207374471022284E-2</v>
      </c>
      <c r="Q124" s="69"/>
    </row>
    <row r="125" spans="1:20">
      <c r="A125" s="49" t="s">
        <v>1309</v>
      </c>
      <c r="C125" s="48"/>
      <c r="D125" s="48"/>
      <c r="E125" s="48"/>
      <c r="F125" s="48"/>
      <c r="G125" s="48"/>
      <c r="H125" s="48">
        <f t="shared" ref="H125:P125" si="36">H86/G86-1</f>
        <v>4.3721333507223292E-2</v>
      </c>
      <c r="I125" s="48">
        <f t="shared" si="36"/>
        <v>1.6151103183813298E-2</v>
      </c>
      <c r="J125" s="48">
        <f t="shared" si="36"/>
        <v>1.5541285213565903E-2</v>
      </c>
      <c r="K125" s="48">
        <f t="shared" si="36"/>
        <v>3.6788959402489496E-3</v>
      </c>
      <c r="L125" s="86">
        <f t="shared" si="36"/>
        <v>4.0636285756074697E-2</v>
      </c>
      <c r="M125" s="86">
        <f t="shared" si="36"/>
        <v>-9.699262389397223E-3</v>
      </c>
      <c r="N125" s="86">
        <f t="shared" si="36"/>
        <v>6.2265146374328451E-2</v>
      </c>
      <c r="O125" s="86">
        <f t="shared" si="36"/>
        <v>-2.5111358661494831E-2</v>
      </c>
      <c r="P125" s="86">
        <f t="shared" si="36"/>
        <v>-2.3387081892334516E-2</v>
      </c>
      <c r="Q125" s="69"/>
    </row>
    <row r="126" spans="1:20">
      <c r="A126" s="49" t="s">
        <v>1310</v>
      </c>
      <c r="C126" s="48"/>
      <c r="D126" s="48"/>
      <c r="E126" s="48"/>
      <c r="F126" s="48"/>
      <c r="G126" s="48"/>
      <c r="H126" s="48">
        <f t="shared" ref="H126:P126" si="37">H87/G87-1</f>
        <v>5.7966910212760903E-2</v>
      </c>
      <c r="I126" s="48">
        <f t="shared" si="37"/>
        <v>5.2946233953361288E-2</v>
      </c>
      <c r="J126" s="48">
        <f t="shared" si="37"/>
        <v>3.1795515229081195E-2</v>
      </c>
      <c r="K126" s="48">
        <f t="shared" si="37"/>
        <v>2.3327031713868518E-2</v>
      </c>
      <c r="L126" s="86">
        <f t="shared" si="37"/>
        <v>7.7485008208693085E-2</v>
      </c>
      <c r="M126" s="86">
        <f t="shared" si="37"/>
        <v>1.2760806741749731E-2</v>
      </c>
      <c r="N126" s="86">
        <f t="shared" si="37"/>
        <v>7.8359032938836837E-2</v>
      </c>
      <c r="O126" s="86">
        <f t="shared" si="37"/>
        <v>6.4199259456105828E-3</v>
      </c>
      <c r="P126" s="86">
        <f t="shared" si="37"/>
        <v>1.0666896898508194E-2</v>
      </c>
      <c r="Q126" s="69"/>
    </row>
    <row r="127" spans="1:20">
      <c r="A127" s="49" t="s">
        <v>1311</v>
      </c>
      <c r="C127" s="48"/>
      <c r="D127" s="48"/>
      <c r="E127" s="48"/>
      <c r="F127" s="48"/>
      <c r="G127" s="48"/>
      <c r="H127" s="48">
        <f t="shared" ref="H127:P127" si="38">H88/G88-1</f>
        <v>3.311930664360685E-2</v>
      </c>
      <c r="I127" s="48">
        <f t="shared" si="38"/>
        <v>2.0326871230626598E-2</v>
      </c>
      <c r="J127" s="48">
        <f t="shared" si="38"/>
        <v>1.0547113714789891E-2</v>
      </c>
      <c r="K127" s="48">
        <f t="shared" si="38"/>
        <v>4.3013738764887677E-3</v>
      </c>
      <c r="L127" s="86">
        <f t="shared" si="38"/>
        <v>4.5776875376615234E-2</v>
      </c>
      <c r="M127" s="86">
        <f t="shared" si="38"/>
        <v>-7.9816251141028305E-3</v>
      </c>
      <c r="N127" s="86">
        <f t="shared" si="38"/>
        <v>5.4063011961250629E-2</v>
      </c>
      <c r="O127" s="86">
        <f t="shared" si="38"/>
        <v>-2.1118492146150691E-2</v>
      </c>
      <c r="P127" s="86">
        <f t="shared" si="38"/>
        <v>-1.9980631283602723E-2</v>
      </c>
      <c r="Q127" s="69"/>
    </row>
    <row r="128" spans="1:20">
      <c r="A128" s="49"/>
      <c r="C128" s="48"/>
      <c r="D128" s="48"/>
      <c r="E128" s="48"/>
      <c r="F128" s="48"/>
      <c r="G128" s="48"/>
      <c r="H128" s="48"/>
      <c r="I128" s="48"/>
      <c r="J128" s="48"/>
      <c r="K128" s="48"/>
      <c r="L128" s="48"/>
      <c r="M128" s="48"/>
      <c r="N128" s="48"/>
      <c r="O128" s="48"/>
      <c r="P128" s="48"/>
      <c r="Q128" s="69"/>
    </row>
    <row r="129" spans="1:17" ht="15" thickBot="1">
      <c r="A129" s="85"/>
      <c r="B129" s="71"/>
      <c r="C129" s="71"/>
      <c r="D129" s="71"/>
      <c r="E129" s="71"/>
      <c r="F129" s="71"/>
      <c r="G129" s="71"/>
      <c r="H129" s="71"/>
      <c r="I129" s="71"/>
      <c r="J129" s="71"/>
      <c r="K129" s="71"/>
      <c r="L129" s="71"/>
      <c r="M129" s="71"/>
      <c r="N129" s="71"/>
      <c r="O129" s="71"/>
      <c r="P129" s="71"/>
      <c r="Q129" s="70"/>
    </row>
  </sheetData>
  <mergeCells count="1">
    <mergeCell ref="O5:Q5"/>
  </mergeCells>
  <hyperlinks>
    <hyperlink ref="R32" r:id="rId1" xr:uid="{F5E578E3-9255-4362-B423-3AAC17E4340C}"/>
    <hyperlink ref="R41" r:id="rId2" xr:uid="{4913ECC5-33EC-4301-83FB-1761959A4E3D}"/>
    <hyperlink ref="R44" r:id="rId3" xr:uid="{A9EDFAC3-AF77-4171-A990-CAD098F02509}"/>
    <hyperlink ref="R6" r:id="rId4" xr:uid="{A2BEF49C-8C37-47FC-9B2A-0F4ECB087336}"/>
  </hyperlinks>
  <pageMargins left="0.7" right="0.7" top="0.75" bottom="0.75" header="0.3" footer="0.3"/>
  <pageSetup paperSize="8" scale="65" orientation="landscape" r:id="rId5"/>
  <legacyDrawing r:id="rId6"/>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3FD7-8785-4A0E-8E84-2A08DEC9BC17}">
  <dimension ref="A2:AJ63"/>
  <sheetViews>
    <sheetView topLeftCell="A53" workbookViewId="0">
      <selection activeCell="O37" sqref="O37"/>
    </sheetView>
  </sheetViews>
  <sheetFormatPr defaultRowHeight="14.5"/>
  <cols>
    <col min="5" max="5" width="15.1796875" customWidth="1"/>
    <col min="14" max="14" width="9.81640625" bestFit="1" customWidth="1"/>
  </cols>
  <sheetData>
    <row r="2" spans="1:19">
      <c r="A2" s="481" t="s">
        <v>1320</v>
      </c>
    </row>
    <row r="3" spans="1:19">
      <c r="A3" s="127" t="s">
        <v>1079</v>
      </c>
    </row>
    <row r="5" spans="1:19">
      <c r="A5" s="673" t="s">
        <v>1321</v>
      </c>
      <c r="B5" s="10"/>
      <c r="C5" s="10"/>
      <c r="D5" s="10"/>
      <c r="E5" s="10"/>
      <c r="F5" s="663" t="s">
        <v>245</v>
      </c>
      <c r="G5" s="663" t="s">
        <v>192</v>
      </c>
      <c r="H5" s="663" t="s">
        <v>193</v>
      </c>
      <c r="I5" s="663" t="s">
        <v>165</v>
      </c>
      <c r="J5" s="663" t="s">
        <v>167</v>
      </c>
      <c r="K5" s="663" t="s">
        <v>168</v>
      </c>
      <c r="L5" s="663" t="s">
        <v>169</v>
      </c>
      <c r="M5" s="663" t="s">
        <v>170</v>
      </c>
      <c r="N5" s="663" t="s">
        <v>171</v>
      </c>
      <c r="O5" s="664" t="s">
        <v>172</v>
      </c>
      <c r="P5" s="664" t="s">
        <v>173</v>
      </c>
      <c r="Q5" s="664" t="s">
        <v>174</v>
      </c>
      <c r="R5" s="11"/>
      <c r="S5" s="11"/>
    </row>
    <row r="6" spans="1:19">
      <c r="A6" s="694" t="s">
        <v>1322</v>
      </c>
      <c r="B6" s="695"/>
      <c r="C6" s="695"/>
      <c r="D6" s="695"/>
      <c r="E6" s="695"/>
      <c r="F6" s="13">
        <f t="shared" ref="F6:K6" si="0">F8</f>
        <v>93.695999999999998</v>
      </c>
      <c r="G6" s="13">
        <f t="shared" si="0"/>
        <v>97.097999999999999</v>
      </c>
      <c r="H6" s="13">
        <f t="shared" si="0"/>
        <v>100.572</v>
      </c>
      <c r="I6" s="13">
        <f t="shared" si="0"/>
        <v>105.702</v>
      </c>
      <c r="J6" s="13">
        <f t="shared" si="0"/>
        <v>109.536</v>
      </c>
      <c r="K6" s="129">
        <f t="shared" si="0"/>
        <v>114.60299999999999</v>
      </c>
      <c r="L6" s="351">
        <v>120.807</v>
      </c>
      <c r="M6" s="351">
        <v>127.00700000000001</v>
      </c>
      <c r="N6" s="51">
        <v>133.28299999999999</v>
      </c>
      <c r="O6" s="96">
        <v>139.99</v>
      </c>
      <c r="P6" s="351">
        <v>148.46700000000001</v>
      </c>
      <c r="Q6" s="351">
        <v>151.62899999999999</v>
      </c>
      <c r="R6" s="10"/>
      <c r="S6" s="75">
        <f>(P6/K8)^(1/5)-1</f>
        <v>5.3141651424665426E-2</v>
      </c>
    </row>
    <row r="7" spans="1:19">
      <c r="A7" s="674" t="s">
        <v>144</v>
      </c>
      <c r="B7" s="12"/>
      <c r="C7" s="12"/>
      <c r="D7" s="12"/>
      <c r="E7" s="12"/>
      <c r="F7" s="13"/>
      <c r="G7" s="13"/>
      <c r="H7" s="13"/>
      <c r="I7" s="13"/>
      <c r="J7" s="13"/>
      <c r="K7" s="129"/>
      <c r="L7" s="129">
        <v>2.851</v>
      </c>
      <c r="M7" s="51">
        <f>L7</f>
        <v>2.851</v>
      </c>
      <c r="N7" s="51">
        <f>M7</f>
        <v>2.851</v>
      </c>
      <c r="O7" s="51">
        <f>N7</f>
        <v>2.851</v>
      </c>
      <c r="P7" s="51">
        <f>O7</f>
        <v>2.851</v>
      </c>
      <c r="Q7" s="51">
        <f>P7</f>
        <v>2.851</v>
      </c>
      <c r="R7" s="10"/>
      <c r="S7" s="124"/>
    </row>
    <row r="8" spans="1:19">
      <c r="A8" s="696" t="s">
        <v>1323</v>
      </c>
      <c r="B8" s="695"/>
      <c r="C8" s="695"/>
      <c r="D8" s="695"/>
      <c r="E8" s="695"/>
      <c r="F8" s="13">
        <v>93.695999999999998</v>
      </c>
      <c r="G8" s="13">
        <v>97.097999999999999</v>
      </c>
      <c r="H8" s="13">
        <v>100.572</v>
      </c>
      <c r="I8" s="13">
        <v>105.702</v>
      </c>
      <c r="J8" s="13">
        <v>109.536</v>
      </c>
      <c r="K8" s="129">
        <v>114.60299999999999</v>
      </c>
      <c r="L8" s="129">
        <f t="shared" ref="L8:Q8" si="1">L6+L7</f>
        <v>123.658</v>
      </c>
      <c r="M8" s="129">
        <f t="shared" si="1"/>
        <v>129.858</v>
      </c>
      <c r="N8" s="8">
        <f t="shared" si="1"/>
        <v>136.13399999999999</v>
      </c>
      <c r="O8" s="8">
        <f t="shared" si="1"/>
        <v>142.84100000000001</v>
      </c>
      <c r="P8" s="8">
        <f t="shared" si="1"/>
        <v>151.31800000000001</v>
      </c>
      <c r="Q8" s="8">
        <f t="shared" si="1"/>
        <v>154.47999999999999</v>
      </c>
      <c r="R8" s="10"/>
      <c r="S8" s="124">
        <f>(P8/K8)^(1/5)-1</f>
        <v>5.7155615862494624E-2</v>
      </c>
    </row>
    <row r="9" spans="1:19">
      <c r="A9" s="674" t="s">
        <v>1316</v>
      </c>
      <c r="B9" s="675"/>
      <c r="C9" s="675"/>
      <c r="D9" s="675"/>
      <c r="E9" s="675"/>
      <c r="F9" s="675"/>
      <c r="G9" s="675"/>
      <c r="H9" s="675"/>
      <c r="I9" s="675"/>
      <c r="J9" s="675"/>
      <c r="K9" s="675"/>
      <c r="L9" s="675"/>
      <c r="M9" s="676">
        <f>'Jan Board data &amp; ARA'!B20</f>
        <v>19.988</v>
      </c>
      <c r="N9" s="351">
        <v>16.295000000000002</v>
      </c>
      <c r="O9" s="665"/>
      <c r="P9" s="665"/>
      <c r="Q9" s="665"/>
      <c r="R9" s="1"/>
      <c r="S9" s="1"/>
    </row>
    <row r="10" spans="1:19">
      <c r="A10" s="677" t="s">
        <v>1324</v>
      </c>
      <c r="B10" s="675"/>
      <c r="C10" s="675"/>
      <c r="D10" s="675"/>
      <c r="E10" s="675"/>
      <c r="F10" s="675"/>
      <c r="G10" s="675"/>
      <c r="H10" s="675"/>
      <c r="I10" s="675"/>
      <c r="J10" s="675"/>
      <c r="K10" s="675"/>
      <c r="L10" s="675"/>
      <c r="M10" s="676"/>
      <c r="N10" s="351"/>
      <c r="O10" s="361">
        <v>8.9890000000000008</v>
      </c>
      <c r="P10" s="678">
        <v>6.085</v>
      </c>
      <c r="Q10" s="678">
        <v>8.1609999999999996</v>
      </c>
      <c r="R10" s="203"/>
      <c r="S10" s="1"/>
    </row>
    <row r="11" spans="1:19">
      <c r="A11" s="677" t="s">
        <v>1325</v>
      </c>
      <c r="B11" s="675"/>
      <c r="C11" s="675"/>
      <c r="D11" s="675"/>
      <c r="E11" s="675"/>
      <c r="F11" s="675"/>
      <c r="G11" s="675"/>
      <c r="H11" s="675"/>
      <c r="I11" s="675"/>
      <c r="J11" s="675"/>
      <c r="K11" s="675"/>
      <c r="L11" s="350">
        <v>-0.28100000000000003</v>
      </c>
      <c r="M11" s="676">
        <v>-0.371</v>
      </c>
      <c r="N11" s="351">
        <v>-1.851</v>
      </c>
      <c r="O11" s="678">
        <v>0.76500000000000001</v>
      </c>
      <c r="P11" s="678"/>
      <c r="Q11" s="678"/>
      <c r="R11" s="1"/>
      <c r="S11" s="1"/>
    </row>
    <row r="12" spans="1:19">
      <c r="A12" s="696" t="s">
        <v>1326</v>
      </c>
      <c r="B12" s="697"/>
      <c r="C12" s="697"/>
      <c r="D12" s="697"/>
      <c r="E12" s="697"/>
      <c r="F12" s="675">
        <f t="shared" ref="F12:Q12" si="2">SUM(F8:F11)</f>
        <v>93.695999999999998</v>
      </c>
      <c r="G12" s="675">
        <f t="shared" si="2"/>
        <v>97.097999999999999</v>
      </c>
      <c r="H12" s="675">
        <f t="shared" si="2"/>
        <v>100.572</v>
      </c>
      <c r="I12" s="675">
        <f t="shared" si="2"/>
        <v>105.702</v>
      </c>
      <c r="J12" s="675">
        <f t="shared" si="2"/>
        <v>109.536</v>
      </c>
      <c r="K12" s="675">
        <f t="shared" si="2"/>
        <v>114.60299999999999</v>
      </c>
      <c r="L12" s="675">
        <f t="shared" si="2"/>
        <v>123.377</v>
      </c>
      <c r="M12" s="679">
        <f t="shared" si="2"/>
        <v>149.47499999999999</v>
      </c>
      <c r="N12" s="679">
        <f t="shared" si="2"/>
        <v>150.57799999999997</v>
      </c>
      <c r="O12" s="679">
        <f t="shared" si="2"/>
        <v>152.595</v>
      </c>
      <c r="P12" s="679">
        <f t="shared" si="2"/>
        <v>157.40300000000002</v>
      </c>
      <c r="Q12" s="679">
        <f t="shared" si="2"/>
        <v>162.64099999999999</v>
      </c>
      <c r="R12" s="1" t="s">
        <v>1327</v>
      </c>
      <c r="S12" s="1"/>
    </row>
    <row r="13" spans="1:19">
      <c r="A13" s="680" t="s">
        <v>1328</v>
      </c>
      <c r="B13" s="675"/>
      <c r="C13" s="675"/>
      <c r="D13" s="675"/>
      <c r="E13" s="675"/>
      <c r="F13" s="675"/>
      <c r="G13" s="675"/>
      <c r="H13" s="675"/>
      <c r="I13" s="350">
        <v>0.93500000000000005</v>
      </c>
      <c r="J13" s="350">
        <v>1.038</v>
      </c>
      <c r="K13" s="350">
        <v>0.82599999999999996</v>
      </c>
      <c r="L13" s="350">
        <v>1.0089999999999999</v>
      </c>
      <c r="M13" s="350">
        <v>-0.73199999999999998</v>
      </c>
      <c r="N13" s="350">
        <v>-0.59499999999999997</v>
      </c>
      <c r="O13" s="675"/>
      <c r="P13" s="675"/>
      <c r="Q13" s="675"/>
      <c r="R13" s="1"/>
      <c r="S13" s="1"/>
    </row>
    <row r="14" spans="1:19">
      <c r="A14" s="680" t="s">
        <v>1329</v>
      </c>
      <c r="B14" s="675"/>
      <c r="C14" s="675"/>
      <c r="D14" s="675"/>
      <c r="E14" s="675"/>
      <c r="F14" s="675"/>
      <c r="G14" s="675"/>
      <c r="H14" s="675"/>
      <c r="I14" s="350">
        <v>-0.90200000000000002</v>
      </c>
      <c r="J14" s="350">
        <v>-0.97</v>
      </c>
      <c r="K14" s="350">
        <v>-0.91600000000000004</v>
      </c>
      <c r="L14" s="350">
        <v>-0.63600000000000001</v>
      </c>
      <c r="M14" s="350">
        <v>-5.3739999999999997</v>
      </c>
      <c r="N14" s="350">
        <v>-0.69699999999999995</v>
      </c>
      <c r="O14" s="675"/>
      <c r="P14" s="675"/>
      <c r="Q14" s="675"/>
      <c r="R14" s="1"/>
      <c r="S14" s="1"/>
    </row>
    <row r="15" spans="1:19">
      <c r="A15" s="698" t="s">
        <v>1330</v>
      </c>
      <c r="B15" s="697"/>
      <c r="C15" s="697"/>
      <c r="D15" s="697"/>
      <c r="E15" s="697"/>
      <c r="F15" s="681">
        <f t="shared" ref="F15:Q15" si="3">SUM(F12:F14)</f>
        <v>93.695999999999998</v>
      </c>
      <c r="G15" s="681">
        <f t="shared" si="3"/>
        <v>97.097999999999999</v>
      </c>
      <c r="H15" s="681">
        <f t="shared" si="3"/>
        <v>100.572</v>
      </c>
      <c r="I15" s="681">
        <f t="shared" si="3"/>
        <v>105.735</v>
      </c>
      <c r="J15" s="681">
        <f t="shared" si="3"/>
        <v>109.604</v>
      </c>
      <c r="K15" s="681">
        <f t="shared" si="3"/>
        <v>114.51299999999999</v>
      </c>
      <c r="L15" s="681">
        <f t="shared" si="3"/>
        <v>123.75</v>
      </c>
      <c r="M15" s="682">
        <f t="shared" si="3"/>
        <v>143.369</v>
      </c>
      <c r="N15" s="682">
        <f t="shared" si="3"/>
        <v>149.28599999999997</v>
      </c>
      <c r="O15" s="682">
        <f t="shared" si="3"/>
        <v>152.595</v>
      </c>
      <c r="P15" s="682">
        <f t="shared" si="3"/>
        <v>157.40300000000002</v>
      </c>
      <c r="Q15" s="682">
        <f t="shared" si="3"/>
        <v>162.64099999999999</v>
      </c>
      <c r="R15" s="1"/>
      <c r="S15" s="1"/>
    </row>
    <row r="16" spans="1:19" s="136" customFormat="1">
      <c r="A16" s="668" t="s">
        <v>1331</v>
      </c>
      <c r="B16" s="678"/>
      <c r="C16" s="678"/>
      <c r="D16" s="678"/>
      <c r="E16" s="678"/>
      <c r="F16" s="667" t="e">
        <f>F15-'DHSC NHS Budgets'!#REF!</f>
        <v>#REF!</v>
      </c>
      <c r="G16" s="667" t="e">
        <f>G15-'DHSC NHS Budgets'!#REF!</f>
        <v>#REF!</v>
      </c>
      <c r="H16" s="667" t="e">
        <f>H15-'DHSC NHS Budgets'!#REF!</f>
        <v>#REF!</v>
      </c>
      <c r="I16" s="667" t="e">
        <f>I15-'DHSC NHS Budgets'!#REF!</f>
        <v>#REF!</v>
      </c>
      <c r="J16" s="667" t="e">
        <f>J15-'DHSC NHS Budgets'!#REF!</f>
        <v>#REF!</v>
      </c>
      <c r="K16" s="667" t="e">
        <f>K15-'DHSC NHS Budgets'!#REF!</f>
        <v>#REF!</v>
      </c>
      <c r="L16" s="667" t="e">
        <f>L15-'DHSC NHS Budgets'!#REF!</f>
        <v>#REF!</v>
      </c>
      <c r="M16" s="667" t="e">
        <f>M15-'DHSC NHS Budgets'!#REF!</f>
        <v>#REF!</v>
      </c>
      <c r="N16" s="667" t="e">
        <f>N15-'DHSC NHS Budgets'!#REF!</f>
        <v>#REF!</v>
      </c>
      <c r="O16" s="667" t="e">
        <f>O15-'DHSC NHS Budgets'!#REF!</f>
        <v>#REF!</v>
      </c>
      <c r="P16" s="667" t="e">
        <f>P15-'DHSC NHS Budgets'!#REF!</f>
        <v>#REF!</v>
      </c>
      <c r="Q16" s="667" t="e">
        <f>Q15-'DHSC NHS Budgets'!#REF!</f>
        <v>#REF!</v>
      </c>
      <c r="R16" s="30"/>
      <c r="S16" s="30"/>
    </row>
    <row r="17" spans="1:32">
      <c r="A17" s="668" t="s">
        <v>1332</v>
      </c>
      <c r="M17" s="683"/>
      <c r="N17" s="683"/>
      <c r="O17" s="683">
        <f>'Comparison across fiscal events'!G15</f>
        <v>2.8000000000000114</v>
      </c>
      <c r="P17" s="689">
        <f>'Comparison across fiscal events'!H15</f>
        <v>0</v>
      </c>
      <c r="Q17" s="689">
        <f>'Comparison across fiscal events'!I15</f>
        <v>0</v>
      </c>
    </row>
    <row r="18" spans="1:32">
      <c r="A18" s="674"/>
      <c r="B18" s="675"/>
      <c r="C18" s="675"/>
      <c r="D18" s="675"/>
      <c r="E18" s="675"/>
      <c r="F18" s="684"/>
      <c r="G18" s="684"/>
      <c r="H18" s="684"/>
      <c r="I18" s="684"/>
      <c r="J18" s="684"/>
      <c r="K18" s="684"/>
      <c r="L18" s="684"/>
      <c r="M18" s="684"/>
      <c r="N18" s="684"/>
      <c r="O18" s="684"/>
      <c r="P18" s="684"/>
      <c r="Q18" s="666"/>
      <c r="R18" s="1"/>
      <c r="S18" s="1"/>
    </row>
    <row r="19" spans="1:32">
      <c r="A19" s="685" t="s">
        <v>1333</v>
      </c>
      <c r="B19" s="686"/>
      <c r="C19" s="686"/>
      <c r="D19" s="686"/>
      <c r="E19" s="686"/>
      <c r="F19" s="12">
        <f t="shared" ref="F19:L19" si="4">F15</f>
        <v>93.695999999999998</v>
      </c>
      <c r="G19" s="12">
        <f t="shared" si="4"/>
        <v>97.097999999999999</v>
      </c>
      <c r="H19" s="12">
        <f t="shared" si="4"/>
        <v>100.572</v>
      </c>
      <c r="I19" s="12">
        <f t="shared" si="4"/>
        <v>105.735</v>
      </c>
      <c r="J19" s="12">
        <f t="shared" si="4"/>
        <v>109.604</v>
      </c>
      <c r="K19" s="12">
        <f t="shared" si="4"/>
        <v>114.51299999999999</v>
      </c>
      <c r="L19" s="12">
        <f t="shared" si="4"/>
        <v>123.75</v>
      </c>
      <c r="M19" s="12">
        <f>M12</f>
        <v>149.47499999999999</v>
      </c>
      <c r="N19" s="12">
        <f>N12</f>
        <v>150.57799999999997</v>
      </c>
      <c r="O19" s="12">
        <f>O12</f>
        <v>152.595</v>
      </c>
      <c r="P19" s="12">
        <f>P12+P17</f>
        <v>157.40300000000002</v>
      </c>
      <c r="Q19" s="12">
        <f>Q12+Q17</f>
        <v>162.64099999999999</v>
      </c>
      <c r="R19" s="11"/>
      <c r="S19" s="11"/>
    </row>
    <row r="20" spans="1:32">
      <c r="A20" s="668" t="s">
        <v>1331</v>
      </c>
      <c r="B20" s="675"/>
      <c r="C20" s="675"/>
      <c r="D20" s="675"/>
      <c r="E20" s="675"/>
      <c r="F20" s="688" t="e">
        <f>F19-'DHSC NHS Budgets'!#REF!</f>
        <v>#REF!</v>
      </c>
      <c r="G20" s="688" t="e">
        <f>G19-'DHSC NHS Budgets'!#REF!</f>
        <v>#REF!</v>
      </c>
      <c r="H20" s="688" t="e">
        <f>H19-'DHSC NHS Budgets'!#REF!</f>
        <v>#REF!</v>
      </c>
      <c r="I20" s="688" t="e">
        <f>I19-'DHSC NHS Budgets'!#REF!</f>
        <v>#REF!</v>
      </c>
      <c r="J20" s="688" t="e">
        <f>J19-'DHSC NHS Budgets'!#REF!</f>
        <v>#REF!</v>
      </c>
      <c r="K20" s="688" t="e">
        <f>K19-'DHSC NHS Budgets'!#REF!</f>
        <v>#REF!</v>
      </c>
      <c r="L20" s="688" t="e">
        <f>L19-'DHSC NHS Budgets'!#REF!</f>
        <v>#REF!</v>
      </c>
      <c r="M20" s="688" t="e">
        <f>M19-'DHSC NHS Budgets'!#REF!</f>
        <v>#REF!</v>
      </c>
      <c r="N20" s="688" t="e">
        <f>N19-'DHSC NHS Budgets'!#REF!</f>
        <v>#REF!</v>
      </c>
      <c r="O20" s="688" t="e">
        <f>O19-'DHSC NHS Budgets'!#REF!</f>
        <v>#REF!</v>
      </c>
      <c r="P20" s="688" t="e">
        <f>P19-'DHSC NHS Budgets'!#REF!</f>
        <v>#REF!</v>
      </c>
      <c r="Q20" s="688" t="e">
        <f>Q19-'DHSC NHS Budgets'!#REF!</f>
        <v>#REF!</v>
      </c>
      <c r="R20" s="1"/>
      <c r="S20" s="1"/>
    </row>
    <row r="21" spans="1:32">
      <c r="A21" s="669" t="s">
        <v>1334</v>
      </c>
      <c r="B21" s="670"/>
      <c r="C21" s="670"/>
      <c r="D21" s="670"/>
      <c r="E21" s="670"/>
      <c r="F21" s="671">
        <f>F19/'DHSC NHS Budgets'!F17</f>
        <v>0.89740799320796161</v>
      </c>
      <c r="G21" s="671">
        <f>G19/'DHSC NHS Budgets'!G17</f>
        <v>0.89595821969416334</v>
      </c>
      <c r="H21" s="671">
        <f>H19/'DHSC NHS Budgets'!H17</f>
        <v>0.89321686995109817</v>
      </c>
      <c r="I21" s="671">
        <f>I19/'DHSC NHS Budgets'!I17</f>
        <v>0.90371794871794875</v>
      </c>
      <c r="J21" s="671">
        <f>J19/'DHSC NHS Budgets'!J17</f>
        <v>0.91399122733868132</v>
      </c>
      <c r="K21" s="671">
        <f>K19/'DHSC NHS Budgets'!K17</f>
        <v>0.93514352211016283</v>
      </c>
      <c r="L21" s="671">
        <f>L19/'DHSC NHS Budgets'!L17</f>
        <v>0.94149421789409615</v>
      </c>
      <c r="M21" s="672">
        <f>M19/'DHSC NHS Budgets'!M17</f>
        <v>0.84019088732251856</v>
      </c>
      <c r="N21" s="672">
        <f>N19/'DHSC NHS Budgets'!N17</f>
        <v>0.84520782464707689</v>
      </c>
      <c r="O21" s="671">
        <f>O19/'DHSC NHS Budgets'!O17</f>
        <v>0.88822854881051472</v>
      </c>
      <c r="P21" s="671">
        <f>P19/'DHSC NHS Budgets'!P17</f>
        <v>0.90719575804731867</v>
      </c>
      <c r="Q21" s="671">
        <f>Q19/'DHSC NHS Budgets'!Q17</f>
        <v>0.91855395285267294</v>
      </c>
      <c r="R21" s="1"/>
      <c r="S21" s="1"/>
    </row>
    <row r="22" spans="1:32">
      <c r="A22" s="690" t="s">
        <v>1335</v>
      </c>
      <c r="B22" s="44"/>
      <c r="C22" s="44"/>
      <c r="D22" s="44"/>
      <c r="E22" s="44"/>
      <c r="F22" s="172">
        <f t="shared" ref="F22:L22" si="5">F21</f>
        <v>0.89740799320796161</v>
      </c>
      <c r="G22" s="172">
        <f t="shared" si="5"/>
        <v>0.89595821969416334</v>
      </c>
      <c r="H22" s="172">
        <f t="shared" si="5"/>
        <v>0.89321686995109817</v>
      </c>
      <c r="I22" s="172">
        <f t="shared" si="5"/>
        <v>0.90371794871794875</v>
      </c>
      <c r="J22" s="172">
        <f t="shared" si="5"/>
        <v>0.91399122733868132</v>
      </c>
      <c r="K22" s="172">
        <f t="shared" si="5"/>
        <v>0.93514352211016283</v>
      </c>
      <c r="L22" s="172">
        <f t="shared" si="5"/>
        <v>0.94149421789409615</v>
      </c>
      <c r="M22" s="687">
        <f>(M12-M9)/'DHSC NHS Budgets'!M15</f>
        <v>0.95001467351430657</v>
      </c>
      <c r="N22" s="687">
        <f>(N12-N9)/'DHSC NHS Budgets'!N15</f>
        <v>0.9318736988202635</v>
      </c>
      <c r="O22" s="172">
        <f>O21</f>
        <v>0.88822854881051472</v>
      </c>
      <c r="P22" s="172">
        <f>P21</f>
        <v>0.90719575804731867</v>
      </c>
      <c r="Q22" s="172">
        <f>Q21</f>
        <v>0.91855395285267294</v>
      </c>
    </row>
    <row r="24" spans="1:32">
      <c r="A24" s="705" t="s">
        <v>1336</v>
      </c>
      <c r="F24" s="51">
        <f>F19</f>
        <v>93.695999999999998</v>
      </c>
      <c r="G24" s="51">
        <f t="shared" ref="G24:L24" si="6">G19</f>
        <v>97.097999999999999</v>
      </c>
      <c r="H24" s="51">
        <f t="shared" si="6"/>
        <v>100.572</v>
      </c>
      <c r="I24" s="51">
        <f t="shared" si="6"/>
        <v>105.735</v>
      </c>
      <c r="J24" s="51">
        <f t="shared" si="6"/>
        <v>109.604</v>
      </c>
      <c r="K24" s="51">
        <f t="shared" si="6"/>
        <v>114.51299999999999</v>
      </c>
      <c r="L24" s="51">
        <f t="shared" si="6"/>
        <v>123.75</v>
      </c>
      <c r="M24" s="76">
        <f>'Board meeting data'!C24</f>
        <v>147.96299999999999</v>
      </c>
      <c r="N24" s="76">
        <f>'Board meeting data'!D39</f>
        <v>147.65</v>
      </c>
      <c r="O24" s="76">
        <f>'Board meeting data'!E39</f>
        <v>151.5</v>
      </c>
      <c r="P24" s="76">
        <f>'Board meeting data'!F39</f>
        <v>160.423</v>
      </c>
      <c r="Q24" s="76">
        <f>'Board meeting data'!G39</f>
        <v>165.851</v>
      </c>
    </row>
    <row r="25" spans="1:32">
      <c r="A25" t="s">
        <v>1337</v>
      </c>
      <c r="M25" s="707">
        <f>M24-M19</f>
        <v>-1.5120000000000005</v>
      </c>
      <c r="N25" s="51">
        <f>N24-N19</f>
        <v>-2.9279999999999688</v>
      </c>
      <c r="O25" s="51">
        <f>O24-O19</f>
        <v>-1.0949999999999989</v>
      </c>
    </row>
    <row r="28" spans="1:32" s="76" customFormat="1">
      <c r="A28" s="1739" t="s">
        <v>226</v>
      </c>
      <c r="B28" s="1739"/>
      <c r="C28" s="1739"/>
      <c r="D28" s="1739"/>
      <c r="E28" s="1739"/>
      <c r="F28" s="1739">
        <v>80.541499999999999</v>
      </c>
      <c r="G28" s="1739">
        <v>81.428200000000004</v>
      </c>
      <c r="H28" s="1739">
        <v>82.076599999999999</v>
      </c>
      <c r="I28" s="1739">
        <v>83.761700000000005</v>
      </c>
      <c r="J28" s="1739">
        <v>85.158500000000004</v>
      </c>
      <c r="K28" s="1739">
        <v>86.6798</v>
      </c>
      <c r="L28" s="1739">
        <v>88.933999999999997</v>
      </c>
      <c r="M28" s="1739">
        <v>94.506699999999995</v>
      </c>
      <c r="N28" s="1739">
        <v>93.8523</v>
      </c>
      <c r="O28" s="1739">
        <v>100</v>
      </c>
      <c r="P28" s="1739">
        <v>102.52464530291219</v>
      </c>
      <c r="Q28" s="1739">
        <v>104.13377785135633</v>
      </c>
    </row>
    <row r="30" spans="1:32">
      <c r="A30" s="76" t="s">
        <v>1338</v>
      </c>
      <c r="F30" s="663" t="s">
        <v>245</v>
      </c>
      <c r="G30" s="663" t="s">
        <v>192</v>
      </c>
      <c r="H30" s="663" t="s">
        <v>193</v>
      </c>
      <c r="I30" s="663" t="s">
        <v>165</v>
      </c>
      <c r="J30" s="663" t="s">
        <v>167</v>
      </c>
      <c r="K30" s="663" t="s">
        <v>168</v>
      </c>
      <c r="L30" s="663" t="s">
        <v>169</v>
      </c>
      <c r="M30" s="663" t="s">
        <v>170</v>
      </c>
      <c r="N30" s="663" t="s">
        <v>171</v>
      </c>
      <c r="O30" s="664" t="s">
        <v>172</v>
      </c>
      <c r="P30" s="664" t="s">
        <v>173</v>
      </c>
      <c r="Q30" s="664" t="s">
        <v>174</v>
      </c>
    </row>
    <row r="31" spans="1:32" s="1" customFormat="1">
      <c r="A31" s="56"/>
      <c r="B31" s="10"/>
      <c r="C31" s="10"/>
      <c r="D31" s="10"/>
      <c r="E31" s="10"/>
      <c r="F31" s="10"/>
      <c r="G31" s="10"/>
      <c r="H31" s="10"/>
      <c r="I31" s="10"/>
      <c r="J31" s="10"/>
      <c r="K31" s="10"/>
      <c r="L31" s="75"/>
      <c r="M31" s="10"/>
      <c r="N31" s="14"/>
      <c r="O31" s="14"/>
      <c r="P31" s="14"/>
      <c r="Q31" s="14"/>
      <c r="T31" s="3"/>
      <c r="U31" s="22"/>
      <c r="V31" s="23"/>
      <c r="W31" s="23"/>
      <c r="X31" s="23"/>
      <c r="Y31" s="21"/>
      <c r="Z31" s="21"/>
      <c r="AA31" s="21"/>
      <c r="AB31" s="21"/>
      <c r="AC31" s="21"/>
      <c r="AD31" s="21"/>
      <c r="AE31" s="10"/>
    </row>
    <row r="32" spans="1:32" s="1" customFormat="1">
      <c r="A32" s="699" t="s">
        <v>1322</v>
      </c>
      <c r="B32" s="700"/>
      <c r="C32" s="700"/>
      <c r="D32" s="700"/>
      <c r="E32" s="700"/>
      <c r="F32" s="334">
        <f t="shared" ref="F32:Q32" si="7">F6/F$28*$O$28</f>
        <v>116.33257389047881</v>
      </c>
      <c r="G32" s="334">
        <f t="shared" si="7"/>
        <v>119.24370181337669</v>
      </c>
      <c r="H32" s="334">
        <f t="shared" si="7"/>
        <v>122.53431550527192</v>
      </c>
      <c r="I32" s="334">
        <f t="shared" si="7"/>
        <v>126.19371383341074</v>
      </c>
      <c r="J32" s="334">
        <f t="shared" si="7"/>
        <v>128.62603263326619</v>
      </c>
      <c r="K32" s="334">
        <f t="shared" si="7"/>
        <v>132.21419523349155</v>
      </c>
      <c r="L32" s="334">
        <f t="shared" si="7"/>
        <v>135.83893673960466</v>
      </c>
      <c r="M32" s="334">
        <f t="shared" si="7"/>
        <v>134.38941366061877</v>
      </c>
      <c r="N32" s="334">
        <f t="shared" si="7"/>
        <v>142.01356812779227</v>
      </c>
      <c r="O32" s="334">
        <f t="shared" si="7"/>
        <v>139.99</v>
      </c>
      <c r="P32" s="334">
        <f t="shared" si="7"/>
        <v>144.81103500660717</v>
      </c>
      <c r="Q32" s="334">
        <f t="shared" si="7"/>
        <v>145.60981376901526</v>
      </c>
      <c r="R32" s="691"/>
      <c r="S32" s="124"/>
      <c r="T32" s="124"/>
      <c r="U32" s="22"/>
      <c r="V32" s="21"/>
      <c r="W32" s="21"/>
      <c r="X32" s="21"/>
      <c r="Y32" s="21"/>
      <c r="Z32" s="21"/>
      <c r="AA32" s="21"/>
      <c r="AB32" s="21"/>
      <c r="AC32" s="21"/>
      <c r="AD32" s="21"/>
      <c r="AE32" s="10"/>
      <c r="AF32" s="2"/>
    </row>
    <row r="33" spans="1:36" s="1" customFormat="1">
      <c r="A33" s="680" t="s">
        <v>144</v>
      </c>
      <c r="B33" s="10"/>
      <c r="C33" s="10"/>
      <c r="D33" s="10"/>
      <c r="E33" s="10"/>
      <c r="F33" s="10"/>
      <c r="G33" s="10"/>
      <c r="H33" s="10"/>
      <c r="I33" s="10"/>
      <c r="J33" s="10"/>
      <c r="K33" s="334"/>
      <c r="L33" s="334">
        <f t="shared" ref="L33:Q34" si="8">L7/L$28*$O$28</f>
        <v>3.205748082847955</v>
      </c>
      <c r="M33" s="334">
        <f t="shared" si="8"/>
        <v>3.0167173332684349</v>
      </c>
      <c r="N33" s="334">
        <f t="shared" si="8"/>
        <v>3.0377518718241325</v>
      </c>
      <c r="O33" s="334">
        <f t="shared" si="8"/>
        <v>2.851</v>
      </c>
      <c r="P33" s="334">
        <f t="shared" si="8"/>
        <v>2.7807947948287297</v>
      </c>
      <c r="Q33" s="334">
        <f t="shared" si="8"/>
        <v>2.7378244204964912</v>
      </c>
      <c r="R33" s="691"/>
      <c r="S33" s="75"/>
      <c r="U33" s="22"/>
      <c r="V33" s="21"/>
      <c r="W33" s="21"/>
      <c r="X33" s="21"/>
      <c r="Y33" s="21"/>
      <c r="Z33" s="21"/>
      <c r="AA33" s="21"/>
      <c r="AB33" s="21"/>
      <c r="AC33" s="21"/>
      <c r="AD33" s="21"/>
      <c r="AE33" s="10"/>
      <c r="AF33" s="2"/>
    </row>
    <row r="34" spans="1:36" s="1" customFormat="1">
      <c r="A34" s="701" t="s">
        <v>1323</v>
      </c>
      <c r="B34" s="700"/>
      <c r="C34" s="700"/>
      <c r="D34" s="700"/>
      <c r="E34" s="700"/>
      <c r="F34" s="334">
        <f t="shared" ref="F34:K34" si="9">F8/F$28*$O$28</f>
        <v>116.33257389047881</v>
      </c>
      <c r="G34" s="334">
        <f t="shared" si="9"/>
        <v>119.24370181337669</v>
      </c>
      <c r="H34" s="334">
        <f t="shared" si="9"/>
        <v>122.53431550527192</v>
      </c>
      <c r="I34" s="334">
        <f t="shared" si="9"/>
        <v>126.19371383341074</v>
      </c>
      <c r="J34" s="334">
        <f t="shared" si="9"/>
        <v>128.62603263326619</v>
      </c>
      <c r="K34" s="334">
        <f t="shared" si="9"/>
        <v>132.21419523349155</v>
      </c>
      <c r="L34" s="334">
        <f t="shared" si="8"/>
        <v>139.04468482245261</v>
      </c>
      <c r="M34" s="334">
        <f t="shared" si="8"/>
        <v>137.40613099388722</v>
      </c>
      <c r="N34" s="334">
        <f t="shared" si="8"/>
        <v>145.0513199996164</v>
      </c>
      <c r="O34" s="334">
        <f t="shared" si="8"/>
        <v>142.84100000000001</v>
      </c>
      <c r="P34" s="334">
        <f t="shared" si="8"/>
        <v>147.59182980143589</v>
      </c>
      <c r="Q34" s="334">
        <f t="shared" si="8"/>
        <v>148.34763818951174</v>
      </c>
      <c r="R34" s="691"/>
      <c r="Z34" s="691"/>
      <c r="AA34" s="691"/>
      <c r="AB34" s="691"/>
      <c r="AC34" s="691"/>
      <c r="AD34" s="691"/>
      <c r="AE34" s="12"/>
    </row>
    <row r="35" spans="1:36" s="1" customFormat="1">
      <c r="A35" s="680" t="s">
        <v>1316</v>
      </c>
      <c r="B35" s="10"/>
      <c r="C35" s="10"/>
      <c r="D35" s="10"/>
      <c r="E35" s="10"/>
      <c r="F35" s="334"/>
      <c r="G35" s="334"/>
      <c r="H35" s="334"/>
      <c r="I35" s="334"/>
      <c r="J35" s="334"/>
      <c r="K35" s="334"/>
      <c r="L35" s="334"/>
      <c r="M35" s="334">
        <f>M9/M$28*$O$28</f>
        <v>21.149823240045414</v>
      </c>
      <c r="N35" s="334">
        <f>N9/N$28*$O$28</f>
        <v>17.362387496097593</v>
      </c>
      <c r="O35" s="334"/>
      <c r="P35" s="334"/>
      <c r="Q35" s="334"/>
      <c r="R35" s="334"/>
      <c r="Z35" s="691"/>
      <c r="AA35" s="691"/>
      <c r="AB35" s="691"/>
      <c r="AC35" s="691"/>
      <c r="AD35" s="691"/>
      <c r="AE35" s="12"/>
    </row>
    <row r="36" spans="1:36" s="1" customFormat="1">
      <c r="A36" s="677" t="s">
        <v>1324</v>
      </c>
      <c r="B36" s="10"/>
      <c r="C36" s="10"/>
      <c r="D36" s="10"/>
      <c r="E36" s="10"/>
      <c r="F36" s="334"/>
      <c r="G36" s="10"/>
      <c r="H36" s="10"/>
      <c r="I36" s="10"/>
      <c r="J36" s="10"/>
      <c r="K36" s="10"/>
      <c r="L36" s="10"/>
      <c r="M36" s="10"/>
      <c r="N36" s="10"/>
      <c r="O36" s="334">
        <f>O10/O$28*$O$28</f>
        <v>8.9890000000000008</v>
      </c>
      <c r="P36" s="334">
        <f>P10/P$28*$O$28</f>
        <v>5.9351583046414662</v>
      </c>
      <c r="Q36" s="334">
        <f>Q10/Q$28*$O$28</f>
        <v>7.8370344074611937</v>
      </c>
      <c r="R36" s="691"/>
      <c r="U36" s="692"/>
      <c r="V36" s="692"/>
      <c r="W36" s="692"/>
      <c r="X36" s="692"/>
      <c r="Y36" s="692"/>
      <c r="Z36" s="692"/>
      <c r="AA36" s="692"/>
      <c r="AB36" s="692"/>
      <c r="AC36" s="692"/>
      <c r="AD36" s="692"/>
      <c r="AE36" s="692"/>
      <c r="AF36" s="692"/>
      <c r="AG36" s="692"/>
      <c r="AH36" s="692"/>
      <c r="AI36" s="692"/>
      <c r="AJ36" s="692"/>
    </row>
    <row r="37" spans="1:36" s="1" customFormat="1">
      <c r="A37" s="677" t="s">
        <v>1325</v>
      </c>
      <c r="B37" s="10"/>
      <c r="C37" s="10"/>
      <c r="D37" s="10"/>
      <c r="E37" s="10"/>
      <c r="F37" s="334"/>
      <c r="G37" s="334"/>
      <c r="H37" s="334"/>
      <c r="I37" s="334"/>
      <c r="J37" s="334"/>
      <c r="K37" s="334"/>
      <c r="L37" s="334">
        <f t="shared" ref="L37:O38" si="10">L11/L$28*$O$28</f>
        <v>-0.31596464794116991</v>
      </c>
      <c r="M37" s="334">
        <f t="shared" si="10"/>
        <v>-0.39256475995881779</v>
      </c>
      <c r="N37" s="334">
        <f t="shared" si="10"/>
        <v>-1.9722478831099504</v>
      </c>
      <c r="O37" s="334">
        <f t="shared" si="10"/>
        <v>0.76500000000000001</v>
      </c>
      <c r="P37" s="334"/>
      <c r="Q37" s="334"/>
      <c r="R37" s="691"/>
      <c r="Z37" s="691"/>
      <c r="AA37" s="691"/>
      <c r="AB37" s="691"/>
      <c r="AC37" s="691"/>
      <c r="AD37" s="691"/>
      <c r="AE37" s="12"/>
    </row>
    <row r="38" spans="1:36" s="1" customFormat="1">
      <c r="A38" s="701" t="s">
        <v>1326</v>
      </c>
      <c r="B38" s="700"/>
      <c r="C38" s="700"/>
      <c r="D38" s="700"/>
      <c r="E38" s="700"/>
      <c r="F38" s="334">
        <f t="shared" ref="F38:K38" si="11">F12/F$28*$O$28</f>
        <v>116.33257389047881</v>
      </c>
      <c r="G38" s="334">
        <f t="shared" si="11"/>
        <v>119.24370181337669</v>
      </c>
      <c r="H38" s="334">
        <f t="shared" si="11"/>
        <v>122.53431550527192</v>
      </c>
      <c r="I38" s="334">
        <f t="shared" si="11"/>
        <v>126.19371383341074</v>
      </c>
      <c r="J38" s="334">
        <f t="shared" si="11"/>
        <v>128.62603263326619</v>
      </c>
      <c r="K38" s="334">
        <f t="shared" si="11"/>
        <v>132.21419523349155</v>
      </c>
      <c r="L38" s="334">
        <f t="shared" si="10"/>
        <v>138.72872017451144</v>
      </c>
      <c r="M38" s="334">
        <f t="shared" si="10"/>
        <v>158.16338947397381</v>
      </c>
      <c r="N38" s="334">
        <f t="shared" si="10"/>
        <v>160.44145961260404</v>
      </c>
      <c r="O38" s="334">
        <f t="shared" si="10"/>
        <v>152.595</v>
      </c>
      <c r="P38" s="334">
        <f>P12/P$28*$O$28</f>
        <v>153.5269881060774</v>
      </c>
      <c r="Q38" s="334">
        <f>Q12/Q$28*$O$28</f>
        <v>156.18467259697292</v>
      </c>
      <c r="T38" s="10"/>
      <c r="U38" s="692"/>
      <c r="V38" s="10"/>
      <c r="W38" s="10"/>
      <c r="X38" s="10"/>
      <c r="Y38" s="10"/>
      <c r="Z38" s="10"/>
    </row>
    <row r="39" spans="1:36">
      <c r="A39" s="680" t="s">
        <v>1328</v>
      </c>
      <c r="I39" s="334">
        <f t="shared" ref="I39:N41" si="12">I13/I$28*$O$28</f>
        <v>1.1162619669849108</v>
      </c>
      <c r="J39" s="334">
        <f t="shared" si="12"/>
        <v>1.2189035739239182</v>
      </c>
      <c r="K39" s="334">
        <f t="shared" si="12"/>
        <v>0.95293251714932437</v>
      </c>
      <c r="L39" s="334">
        <f t="shared" si="12"/>
        <v>1.1345492162727415</v>
      </c>
      <c r="M39" s="334">
        <f t="shared" si="12"/>
        <v>-0.77454825954138706</v>
      </c>
      <c r="N39" s="334">
        <f t="shared" si="12"/>
        <v>-0.63397487328493807</v>
      </c>
      <c r="O39" s="334"/>
      <c r="P39" s="334"/>
      <c r="Q39" s="334"/>
    </row>
    <row r="40" spans="1:36">
      <c r="A40" s="680" t="s">
        <v>1329</v>
      </c>
      <c r="I40" s="334">
        <f t="shared" si="12"/>
        <v>-1.0768644857972081</v>
      </c>
      <c r="J40" s="334">
        <f t="shared" si="12"/>
        <v>-1.1390524727420046</v>
      </c>
      <c r="K40" s="334">
        <f t="shared" si="12"/>
        <v>-1.0567629366934397</v>
      </c>
      <c r="L40" s="334">
        <f t="shared" si="12"/>
        <v>-0.71513706793802145</v>
      </c>
      <c r="M40" s="334">
        <f t="shared" si="12"/>
        <v>-5.6863693261959201</v>
      </c>
      <c r="N40" s="334">
        <f t="shared" si="12"/>
        <v>-0.7426562801337846</v>
      </c>
      <c r="O40" s="334"/>
      <c r="P40" s="334"/>
      <c r="Q40" s="334"/>
    </row>
    <row r="41" spans="1:36">
      <c r="A41" s="698" t="s">
        <v>1330</v>
      </c>
      <c r="B41" s="702"/>
      <c r="C41" s="702"/>
      <c r="D41" s="702"/>
      <c r="E41" s="702"/>
      <c r="F41" s="334">
        <f>F15/F$28*$O$28</f>
        <v>116.33257389047881</v>
      </c>
      <c r="G41" s="334">
        <f>G15/G$28*$O$28</f>
        <v>119.24370181337669</v>
      </c>
      <c r="H41" s="334">
        <f>H15/H$28*$O$28</f>
        <v>122.53431550527192</v>
      </c>
      <c r="I41" s="334">
        <f t="shared" si="12"/>
        <v>126.23311131459842</v>
      </c>
      <c r="J41" s="334">
        <f t="shared" si="12"/>
        <v>128.70588373444812</v>
      </c>
      <c r="K41" s="334">
        <f t="shared" si="12"/>
        <v>132.11036481394743</v>
      </c>
      <c r="L41" s="334">
        <f t="shared" si="12"/>
        <v>139.14813232284615</v>
      </c>
      <c r="M41" s="334">
        <f t="shared" si="12"/>
        <v>151.70247188823652</v>
      </c>
      <c r="N41" s="334">
        <f t="shared" si="12"/>
        <v>159.06482845918529</v>
      </c>
      <c r="O41" s="334">
        <f>O15/O$28*$O$28</f>
        <v>152.595</v>
      </c>
      <c r="P41" s="334">
        <f>P15/P$28*$O$28</f>
        <v>153.5269881060774</v>
      </c>
      <c r="Q41" s="334">
        <f>Q15/Q$28*$O$28</f>
        <v>156.18467259697292</v>
      </c>
    </row>
    <row r="42" spans="1:36">
      <c r="A42" s="668"/>
      <c r="S42" t="s">
        <v>1339</v>
      </c>
      <c r="T42" t="s">
        <v>1340</v>
      </c>
    </row>
    <row r="43" spans="1:36">
      <c r="A43" s="673" t="s">
        <v>1333</v>
      </c>
      <c r="F43" s="51">
        <f t="shared" ref="F43:Q43" si="13">F19/F28*$O$28</f>
        <v>116.33257389047881</v>
      </c>
      <c r="G43" s="51">
        <f t="shared" si="13"/>
        <v>119.24370181337669</v>
      </c>
      <c r="H43" s="51">
        <f t="shared" si="13"/>
        <v>122.53431550527192</v>
      </c>
      <c r="I43" s="51">
        <f t="shared" si="13"/>
        <v>126.23311131459842</v>
      </c>
      <c r="J43" s="51">
        <f t="shared" si="13"/>
        <v>128.70588373444812</v>
      </c>
      <c r="K43" s="51">
        <f t="shared" si="13"/>
        <v>132.11036481394743</v>
      </c>
      <c r="L43" s="51">
        <f t="shared" si="13"/>
        <v>139.14813232284615</v>
      </c>
      <c r="M43" s="51">
        <f t="shared" si="13"/>
        <v>158.16338947397381</v>
      </c>
      <c r="N43" s="51">
        <f t="shared" si="13"/>
        <v>160.44145961260404</v>
      </c>
      <c r="O43" s="51">
        <f t="shared" si="13"/>
        <v>152.595</v>
      </c>
      <c r="P43" s="51">
        <f t="shared" si="13"/>
        <v>153.5269881060774</v>
      </c>
      <c r="Q43" s="51">
        <f t="shared" si="13"/>
        <v>156.18467259697292</v>
      </c>
      <c r="S43" s="589">
        <f>(Q43/N43)^(1/3)-1</f>
        <v>-8.9232931867102572E-3</v>
      </c>
      <c r="T43" s="589">
        <f>(Q43/O43)^(1/2)-1</f>
        <v>1.1693719607283271E-2</v>
      </c>
    </row>
    <row r="45" spans="1:36">
      <c r="A45" s="705" t="s">
        <v>1336</v>
      </c>
      <c r="F45" s="51">
        <f>F24/F28*$O$28</f>
        <v>116.33257389047881</v>
      </c>
      <c r="G45" s="51">
        <f t="shared" ref="G45:Q45" si="14">G24/G28*$O$28</f>
        <v>119.24370181337669</v>
      </c>
      <c r="H45" s="51">
        <f t="shared" si="14"/>
        <v>122.53431550527192</v>
      </c>
      <c r="I45" s="51">
        <f t="shared" si="14"/>
        <v>126.23311131459842</v>
      </c>
      <c r="J45" s="51">
        <f t="shared" si="14"/>
        <v>128.70588373444812</v>
      </c>
      <c r="K45" s="51">
        <f t="shared" si="14"/>
        <v>132.11036481394743</v>
      </c>
      <c r="L45" s="51">
        <f t="shared" si="14"/>
        <v>139.14813232284615</v>
      </c>
      <c r="M45" s="51">
        <f t="shared" si="14"/>
        <v>156.56350290508502</v>
      </c>
      <c r="N45" s="51">
        <f t="shared" si="14"/>
        <v>157.32166393364895</v>
      </c>
      <c r="O45" s="51">
        <f t="shared" si="14"/>
        <v>151.5</v>
      </c>
      <c r="P45" s="51">
        <f t="shared" si="14"/>
        <v>156.47262131561183</v>
      </c>
      <c r="Q45" s="51">
        <f t="shared" si="14"/>
        <v>159.267245865929</v>
      </c>
      <c r="S45" s="589">
        <f>(Q45/N45)^(1/3)-1</f>
        <v>4.105423800429886E-3</v>
      </c>
      <c r="T45" s="589">
        <f>(Q45/O45)^(1/2)-1</f>
        <v>2.5314073642848545E-2</v>
      </c>
    </row>
    <row r="49" spans="1:19">
      <c r="A49" s="914" t="s">
        <v>1341</v>
      </c>
      <c r="K49" s="663" t="s">
        <v>168</v>
      </c>
      <c r="L49" s="663" t="s">
        <v>169</v>
      </c>
      <c r="M49" s="663" t="s">
        <v>170</v>
      </c>
      <c r="N49" s="663" t="s">
        <v>171</v>
      </c>
      <c r="O49" s="915" t="s">
        <v>1342</v>
      </c>
      <c r="P49" s="914" t="s">
        <v>1343</v>
      </c>
      <c r="Q49" s="914" t="s">
        <v>1344</v>
      </c>
    </row>
    <row r="50" spans="1:19" ht="44">
      <c r="A50" s="916" t="s">
        <v>1345</v>
      </c>
      <c r="K50" s="675">
        <v>114.60299999999999</v>
      </c>
      <c r="L50" s="51">
        <f>L6</f>
        <v>120.807</v>
      </c>
      <c r="M50" s="304">
        <f>M24-M7</f>
        <v>145.11199999999999</v>
      </c>
      <c r="N50" s="51">
        <f>N24</f>
        <v>147.65</v>
      </c>
      <c r="O50" s="918">
        <v>152595</v>
      </c>
      <c r="P50" s="917">
        <v>157403</v>
      </c>
      <c r="Q50" s="917">
        <v>162641</v>
      </c>
    </row>
    <row r="51" spans="1:19" ht="44">
      <c r="A51" s="919" t="s">
        <v>1346</v>
      </c>
      <c r="N51" s="920" t="s">
        <v>1347</v>
      </c>
      <c r="O51" s="920" t="s">
        <v>1347</v>
      </c>
      <c r="P51" s="921">
        <v>-580</v>
      </c>
      <c r="Q51" s="921">
        <v>-590</v>
      </c>
    </row>
    <row r="52" spans="1:19" ht="55">
      <c r="A52" s="919" t="s">
        <v>1348</v>
      </c>
      <c r="N52" s="920" t="s">
        <v>1347</v>
      </c>
      <c r="O52" s="920" t="s">
        <v>1347</v>
      </c>
      <c r="P52" s="922">
        <v>3300</v>
      </c>
      <c r="Q52" s="922">
        <v>3300</v>
      </c>
    </row>
    <row r="53" spans="1:19" ht="44">
      <c r="A53" s="919" t="s">
        <v>1349</v>
      </c>
      <c r="N53" s="920" t="s">
        <v>1347</v>
      </c>
      <c r="O53" s="920" t="s">
        <v>1347</v>
      </c>
      <c r="P53" s="923">
        <v>300</v>
      </c>
      <c r="Q53" s="923">
        <v>500</v>
      </c>
    </row>
    <row r="54" spans="1:19" ht="44">
      <c r="A54" s="916" t="s">
        <v>1350</v>
      </c>
      <c r="K54" s="51">
        <f>K50</f>
        <v>114.60299999999999</v>
      </c>
      <c r="L54" s="51">
        <f t="shared" ref="L54:M54" si="15">L50</f>
        <v>120.807</v>
      </c>
      <c r="M54" s="51">
        <f t="shared" si="15"/>
        <v>145.11199999999999</v>
      </c>
      <c r="N54" s="917">
        <v>150.614</v>
      </c>
      <c r="O54" s="918">
        <v>152.595</v>
      </c>
      <c r="P54" s="917">
        <v>160.423</v>
      </c>
      <c r="Q54" s="917">
        <v>165.851</v>
      </c>
    </row>
    <row r="55" spans="1:19">
      <c r="A55" s="916"/>
      <c r="K55" s="928">
        <f t="shared" ref="K55:P55" si="16">K54-K7</f>
        <v>114.60299999999999</v>
      </c>
      <c r="L55" s="917">
        <f>L54</f>
        <v>120.807</v>
      </c>
      <c r="M55" s="928">
        <f>M54</f>
        <v>145.11199999999999</v>
      </c>
      <c r="N55" s="917">
        <f t="shared" si="16"/>
        <v>147.76300000000001</v>
      </c>
      <c r="O55" s="917">
        <f t="shared" si="16"/>
        <v>149.744</v>
      </c>
      <c r="P55" s="917">
        <f t="shared" si="16"/>
        <v>157.572</v>
      </c>
      <c r="Q55" s="917">
        <f>Q54-Q7</f>
        <v>163</v>
      </c>
    </row>
    <row r="56" spans="1:19" ht="77">
      <c r="A56" s="916" t="s">
        <v>1351</v>
      </c>
      <c r="N56" s="924"/>
      <c r="O56" s="924"/>
      <c r="P56" s="924"/>
      <c r="Q56" s="924"/>
    </row>
    <row r="57" spans="1:19" ht="77">
      <c r="A57" s="919" t="s">
        <v>1352</v>
      </c>
      <c r="N57" s="925">
        <v>-2964</v>
      </c>
      <c r="O57" s="926">
        <v>-1095</v>
      </c>
      <c r="P57" s="920" t="s">
        <v>1347</v>
      </c>
      <c r="Q57" s="920" t="s">
        <v>1347</v>
      </c>
    </row>
    <row r="58" spans="1:19" ht="22">
      <c r="A58" s="916" t="s">
        <v>1353</v>
      </c>
      <c r="N58" s="917">
        <v>147.65</v>
      </c>
      <c r="O58" s="918">
        <v>151.5</v>
      </c>
      <c r="P58" s="917">
        <v>160.423</v>
      </c>
      <c r="Q58" s="917">
        <v>165.851</v>
      </c>
    </row>
    <row r="59" spans="1:19" ht="66">
      <c r="A59" s="927" t="s">
        <v>1354</v>
      </c>
      <c r="K59" s="51">
        <f t="shared" ref="K59:L59" si="17">K50</f>
        <v>114.60299999999999</v>
      </c>
      <c r="L59" s="51">
        <f t="shared" si="17"/>
        <v>120.807</v>
      </c>
      <c r="M59" s="51">
        <f>M50</f>
        <v>145.11199999999999</v>
      </c>
      <c r="N59" s="929">
        <f>N58-N7</f>
        <v>144.79900000000001</v>
      </c>
      <c r="O59" s="929">
        <f>O58-O7</f>
        <v>148.649</v>
      </c>
      <c r="P59" s="930">
        <f>P58-P7</f>
        <v>157.572</v>
      </c>
      <c r="Q59" s="930">
        <f>Q58-Q7</f>
        <v>163</v>
      </c>
    </row>
    <row r="61" spans="1:19">
      <c r="K61" s="663" t="s">
        <v>168</v>
      </c>
      <c r="L61" s="663" t="s">
        <v>169</v>
      </c>
      <c r="M61" s="663" t="s">
        <v>170</v>
      </c>
      <c r="N61" s="663" t="s">
        <v>171</v>
      </c>
      <c r="O61" s="915" t="s">
        <v>1342</v>
      </c>
      <c r="P61" s="914" t="s">
        <v>1343</v>
      </c>
      <c r="Q61" s="914" t="s">
        <v>1344</v>
      </c>
    </row>
    <row r="62" spans="1:19">
      <c r="K62" s="96">
        <f>(K55/K$28)*$K$28</f>
        <v>114.60299999999999</v>
      </c>
      <c r="L62" s="96">
        <f t="shared" ref="L62:M62" si="18">(L55/L$28)*$K$28</f>
        <v>117.74491868801583</v>
      </c>
      <c r="M62" s="96">
        <f t="shared" si="18"/>
        <v>133.09404664007948</v>
      </c>
      <c r="N62" s="96">
        <f t="shared" ref="N62:P62" si="19">(N59/N$28)*$K$28</f>
        <v>133.73298640736562</v>
      </c>
      <c r="O62" s="96">
        <f t="shared" si="19"/>
        <v>128.84865590200002</v>
      </c>
      <c r="P62" s="96">
        <f t="shared" si="19"/>
        <v>133.21976784456174</v>
      </c>
      <c r="Q62" s="96">
        <f>(Q59/Q$28)*$K$28</f>
        <v>135.67938945005801</v>
      </c>
      <c r="R62" s="98">
        <f>(Q62/O62)^(1/COUNTA(P62:Q62))-1</f>
        <v>2.616451846882506E-2</v>
      </c>
      <c r="S62" s="98">
        <f>(Q62/K62)^(1/COUNTA(L62:Q62))-1</f>
        <v>2.8536359745092277E-2</v>
      </c>
    </row>
    <row r="63" spans="1:19">
      <c r="M63">
        <v>134.13999999999999</v>
      </c>
    </row>
  </sheetData>
  <hyperlinks>
    <hyperlink ref="A3" r:id="rId1" xr:uid="{BFE396F3-F475-4EF7-97F5-F7B9FF6901E9}"/>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2DE90-FCF7-4385-89F8-6DC3C81F4047}">
  <dimension ref="A2:J27"/>
  <sheetViews>
    <sheetView workbookViewId="0">
      <selection activeCell="O37" sqref="O37"/>
    </sheetView>
  </sheetViews>
  <sheetFormatPr defaultRowHeight="14.5"/>
  <cols>
    <col min="1" max="1" width="35.1796875" customWidth="1"/>
  </cols>
  <sheetData>
    <row r="2" spans="1:10">
      <c r="A2" s="76" t="s">
        <v>1355</v>
      </c>
      <c r="J2" t="s">
        <v>1356</v>
      </c>
    </row>
    <row r="3" spans="1:10">
      <c r="A3" s="168"/>
      <c r="B3" s="168"/>
      <c r="C3" s="169" t="s">
        <v>1246</v>
      </c>
      <c r="D3" s="169" t="s">
        <v>300</v>
      </c>
      <c r="E3" s="169" t="s">
        <v>274</v>
      </c>
      <c r="F3" s="169" t="s">
        <v>275</v>
      </c>
      <c r="J3">
        <v>1</v>
      </c>
    </row>
    <row r="4" spans="1:10">
      <c r="A4" s="168" t="s">
        <v>1357</v>
      </c>
      <c r="B4" s="168"/>
      <c r="C4" s="168">
        <v>133.28899999999999</v>
      </c>
      <c r="D4" s="168">
        <v>139.99</v>
      </c>
      <c r="E4" s="168">
        <v>148.46700000000001</v>
      </c>
      <c r="F4" s="168">
        <v>156.18700000000001</v>
      </c>
    </row>
    <row r="5" spans="1:10">
      <c r="A5" s="168"/>
      <c r="B5" s="168"/>
      <c r="C5" s="168"/>
      <c r="D5" s="168"/>
      <c r="E5" s="168"/>
      <c r="F5" s="168"/>
    </row>
    <row r="6" spans="1:10">
      <c r="A6" s="168"/>
      <c r="B6" s="168"/>
      <c r="C6" s="168"/>
      <c r="D6" s="168"/>
      <c r="E6" s="168"/>
      <c r="F6" s="168"/>
    </row>
    <row r="7" spans="1:10">
      <c r="A7" s="168" t="s">
        <v>1358</v>
      </c>
      <c r="B7" s="168"/>
      <c r="C7" s="168">
        <v>3.375</v>
      </c>
      <c r="D7" s="168">
        <v>3.38</v>
      </c>
      <c r="E7" s="168">
        <v>3.383</v>
      </c>
      <c r="F7" s="168">
        <v>3.387</v>
      </c>
    </row>
    <row r="8" spans="1:10">
      <c r="A8" s="170" t="s">
        <v>1359</v>
      </c>
      <c r="B8" s="168"/>
      <c r="C8" s="170">
        <v>136.66399999999999</v>
      </c>
      <c r="D8" s="170">
        <v>143.37</v>
      </c>
      <c r="E8" s="170">
        <v>151.85</v>
      </c>
      <c r="F8" s="170">
        <v>159.57400000000001</v>
      </c>
    </row>
    <row r="9" spans="1:10">
      <c r="A9" s="168" t="s">
        <v>1360</v>
      </c>
      <c r="B9" s="168"/>
      <c r="C9" s="168">
        <v>14.542999999999999</v>
      </c>
      <c r="D9" s="168">
        <v>8.9979999999999993</v>
      </c>
      <c r="E9" s="168">
        <v>6.1219999999999999</v>
      </c>
      <c r="F9" s="168">
        <v>3.673</v>
      </c>
    </row>
    <row r="10" spans="1:10">
      <c r="A10" s="170" t="s">
        <v>403</v>
      </c>
      <c r="B10" s="168"/>
      <c r="C10" s="170">
        <v>151.20699999999999</v>
      </c>
      <c r="D10" s="170">
        <v>152.36799999999999</v>
      </c>
      <c r="E10" s="170">
        <v>157.97200000000001</v>
      </c>
      <c r="F10" s="170">
        <v>163.24799999999999</v>
      </c>
    </row>
    <row r="11" spans="1:10">
      <c r="A11" s="136" t="s">
        <v>1361</v>
      </c>
      <c r="C11" s="136">
        <f>C9-C20</f>
        <v>6.42</v>
      </c>
      <c r="D11" s="136">
        <f>D9</f>
        <v>8.9979999999999993</v>
      </c>
      <c r="E11" s="136">
        <f>E9</f>
        <v>6.1219999999999999</v>
      </c>
      <c r="F11" s="136">
        <f>F9</f>
        <v>3.673</v>
      </c>
    </row>
    <row r="13" spans="1:10">
      <c r="A13" t="s">
        <v>1362</v>
      </c>
    </row>
    <row r="15" spans="1:10">
      <c r="D15">
        <f>D10-'Changes since SR2015'!N24</f>
        <v>3.0460000000000207</v>
      </c>
      <c r="E15">
        <f>E10-'Changes since SR2015'!O24</f>
        <v>5.3770000000000095</v>
      </c>
      <c r="F15">
        <f>F10-'Changes since SR2015'!P24</f>
        <v>5.8449999999999704</v>
      </c>
    </row>
    <row r="19" spans="1:5">
      <c r="A19" s="170" t="s">
        <v>1363</v>
      </c>
      <c r="B19" s="170" t="s">
        <v>1257</v>
      </c>
      <c r="C19" s="170" t="s">
        <v>1246</v>
      </c>
      <c r="E19" s="127" t="s">
        <v>1364</v>
      </c>
    </row>
    <row r="20" spans="1:5">
      <c r="A20" s="168" t="s">
        <v>1192</v>
      </c>
      <c r="B20" s="168">
        <v>19.988</v>
      </c>
      <c r="C20" s="168">
        <v>8.1229999999999993</v>
      </c>
    </row>
    <row r="25" spans="1:5">
      <c r="B25" s="96">
        <f>'NHSE details'!N12</f>
        <v>150.57799999999997</v>
      </c>
    </row>
    <row r="26" spans="1:5">
      <c r="B26">
        <v>8.1229999999999993</v>
      </c>
    </row>
    <row r="27" spans="1:5">
      <c r="B27" s="96">
        <f>B25-B26</f>
        <v>142.45499999999998</v>
      </c>
    </row>
  </sheetData>
  <hyperlinks>
    <hyperlink ref="E19" r:id="rId1" xr:uid="{F602D2E3-C21A-4701-B240-5EC4BCACFE6D}"/>
  </hyperlinks>
  <pageMargins left="0.7" right="0.7" top="0.75" bottom="0.75" header="0.3" footer="0.3"/>
  <pageSetup paperSize="9" orientation="portrait"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051D8-9CCE-4570-83C1-5DB61B17F7A7}">
  <dimension ref="A1:CA87"/>
  <sheetViews>
    <sheetView topLeftCell="A15" zoomScale="55" zoomScaleNormal="55" workbookViewId="0">
      <selection activeCell="O37" sqref="O37"/>
    </sheetView>
  </sheetViews>
  <sheetFormatPr defaultRowHeight="14.5"/>
  <cols>
    <col min="1" max="1" width="19.453125" bestFit="1" customWidth="1"/>
    <col min="2" max="8" width="12" bestFit="1" customWidth="1"/>
    <col min="9" max="9" width="12" customWidth="1"/>
    <col min="10" max="10" width="9.453125" bestFit="1" customWidth="1"/>
    <col min="11" max="11" width="21.54296875" bestFit="1" customWidth="1"/>
    <col min="12" max="12" width="12" bestFit="1" customWidth="1"/>
    <col min="14" max="14" width="21.54296875" bestFit="1" customWidth="1"/>
  </cols>
  <sheetData>
    <row r="1" spans="1:15" ht="15" thickBot="1">
      <c r="A1" s="76" t="s">
        <v>138</v>
      </c>
    </row>
    <row r="2" spans="1:15">
      <c r="B2" s="1041" t="s">
        <v>168</v>
      </c>
      <c r="C2" s="1041" t="s">
        <v>169</v>
      </c>
      <c r="D2" s="1051" t="s">
        <v>170</v>
      </c>
      <c r="E2" s="1051" t="s">
        <v>171</v>
      </c>
      <c r="F2" s="1052" t="s">
        <v>172</v>
      </c>
      <c r="G2" s="1052" t="s">
        <v>173</v>
      </c>
      <c r="H2" s="1053" t="s">
        <v>174</v>
      </c>
      <c r="I2" t="s">
        <v>1365</v>
      </c>
      <c r="J2" s="201" t="s">
        <v>1366</v>
      </c>
      <c r="K2" s="201" t="s">
        <v>1367</v>
      </c>
      <c r="L2" s="201" t="s">
        <v>1368</v>
      </c>
      <c r="M2" s="201" t="s">
        <v>1369</v>
      </c>
      <c r="N2" s="201" t="s">
        <v>1370</v>
      </c>
    </row>
    <row r="3" spans="1:15">
      <c r="A3" t="s">
        <v>1371</v>
      </c>
      <c r="B3" s="51">
        <f>'NHSE details'!K6</f>
        <v>114.60299999999999</v>
      </c>
      <c r="C3">
        <v>120.55</v>
      </c>
      <c r="D3">
        <v>126.91</v>
      </c>
      <c r="E3">
        <v>133.15</v>
      </c>
      <c r="F3">
        <v>139.83000000000001</v>
      </c>
      <c r="G3">
        <v>147.76</v>
      </c>
      <c r="H3" s="51">
        <v>151.6</v>
      </c>
      <c r="I3" s="51"/>
      <c r="J3" s="98">
        <f>(G3/B3)^(1/COUNTA(C3:G3))-1</f>
        <v>5.2136723093412662E-2</v>
      </c>
      <c r="K3" s="98">
        <f>(G8/B8)^(1/COUNTA(C8:G8))-1</f>
        <v>8.999999999999897E-3</v>
      </c>
      <c r="L3" s="173">
        <f>(G11/B11)^(1/COUNTA(C11:G11))-1</f>
        <v>1.8012977128240237E-2</v>
      </c>
      <c r="M3" s="172">
        <f>(J3-L3)+K3</f>
        <v>4.3123745965172322E-2</v>
      </c>
      <c r="N3" s="98"/>
      <c r="O3" s="98"/>
    </row>
    <row r="4" spans="1:15">
      <c r="A4" t="s">
        <v>1372</v>
      </c>
      <c r="B4" s="51" t="e">
        <f>'DHSC NHS Budgets'!#REF!</f>
        <v>#REF!</v>
      </c>
      <c r="C4" s="51" t="e">
        <f>'DHSC NHS Budgets'!#REF!</f>
        <v>#REF!</v>
      </c>
      <c r="D4" s="51" t="e">
        <f>'DHSC NHS Budgets'!#REF!</f>
        <v>#REF!</v>
      </c>
      <c r="E4" s="51" t="e">
        <f>'DHSC NHS Budgets'!#REF!</f>
        <v>#REF!</v>
      </c>
      <c r="F4" s="51" t="e">
        <f>'DHSC NHS Budgets'!#REF!</f>
        <v>#REF!</v>
      </c>
      <c r="G4" s="51" t="e">
        <f>'DHSC NHS Budgets'!#REF!</f>
        <v>#REF!</v>
      </c>
      <c r="H4" s="51" t="e">
        <f>'DHSC NHS Budgets'!#REF!</f>
        <v>#REF!</v>
      </c>
      <c r="I4" s="51"/>
      <c r="J4" s="98" t="e">
        <f>(G4/B4)^(1/COUNTA(C4:G4))-1</f>
        <v>#REF!</v>
      </c>
      <c r="K4" s="98">
        <f>(G9/B9)^(1/COUNTA(C9:G9))-1</f>
        <v>6.1869851030498246E-3</v>
      </c>
      <c r="L4" s="173">
        <f>(G13/B13)^(1/COUNTA(C13:G13))-1</f>
        <v>3.8552513475353045E-2</v>
      </c>
      <c r="M4" s="172" t="e">
        <f>(J4-L4)+K4</f>
        <v>#REF!</v>
      </c>
      <c r="N4" s="98"/>
      <c r="O4" s="98"/>
    </row>
    <row r="5" spans="1:15">
      <c r="A5" t="s">
        <v>1373</v>
      </c>
      <c r="B5" s="51" t="e">
        <f>'DHSC NHS Budgets'!#REF!-'DHSC NHS Budgets'!K36</f>
        <v>#REF!</v>
      </c>
      <c r="C5" s="51" t="e">
        <f>'DHSC NHS Budgets'!#REF!-'DHSC NHS Budgets'!L36</f>
        <v>#REF!</v>
      </c>
      <c r="D5" s="51" t="e">
        <f>'DHSC NHS Budgets'!#REF!-'DHSC NHS Budgets'!M36</f>
        <v>#REF!</v>
      </c>
      <c r="E5" s="51" t="e">
        <f>'DHSC NHS Budgets'!#REF!-'DHSC NHS Budgets'!N36</f>
        <v>#REF!</v>
      </c>
      <c r="F5" s="51" t="e">
        <f>'DHSC NHS Budgets'!#REF!-'DHSC NHS Budgets'!O36</f>
        <v>#REF!</v>
      </c>
      <c r="G5" s="51" t="e">
        <f>'DHSC NHS Budgets'!#REF!-'DHSC NHS Budgets'!P36</f>
        <v>#REF!</v>
      </c>
      <c r="H5" s="51" t="e">
        <f>'DHSC NHS Budgets'!#REF!-'DHSC NHS Budgets'!Q36</f>
        <v>#REF!</v>
      </c>
      <c r="I5" s="51"/>
      <c r="J5" s="98" t="e">
        <f>(G5/B5)^(1/COUNTA(C5:G5))-1</f>
        <v>#REF!</v>
      </c>
      <c r="K5" s="173">
        <f>K4</f>
        <v>6.1869851030498246E-3</v>
      </c>
      <c r="L5" s="173">
        <f>(G13/B13)^(1/COUNTA(C13:G13))-1</f>
        <v>3.8552513475353045E-2</v>
      </c>
      <c r="M5" s="172" t="e">
        <f>(J5-L5)+K5</f>
        <v>#REF!</v>
      </c>
      <c r="N5" s="98"/>
      <c r="O5" s="98"/>
    </row>
    <row r="6" spans="1:15">
      <c r="B6" s="51"/>
      <c r="C6" s="51"/>
      <c r="D6" s="51"/>
      <c r="E6" s="51"/>
      <c r="F6" s="51"/>
      <c r="G6" s="51"/>
      <c r="H6" s="51"/>
      <c r="I6" s="51"/>
      <c r="J6" s="98"/>
      <c r="K6" s="173"/>
      <c r="L6" s="173"/>
      <c r="M6" s="172"/>
      <c r="N6" s="98"/>
      <c r="O6" s="98"/>
    </row>
    <row r="7" spans="1:15">
      <c r="B7" s="51"/>
      <c r="C7" s="51"/>
      <c r="D7" s="51"/>
      <c r="E7" s="51"/>
      <c r="F7" s="51"/>
      <c r="G7" s="51"/>
      <c r="H7" s="51"/>
      <c r="I7" s="51"/>
      <c r="J7" s="98"/>
      <c r="K7" s="173"/>
      <c r="L7" s="173"/>
      <c r="M7" s="172"/>
      <c r="N7" s="98"/>
      <c r="O7" s="98"/>
    </row>
    <row r="8" spans="1:15">
      <c r="A8" t="s">
        <v>1374</v>
      </c>
      <c r="B8" s="51">
        <v>100</v>
      </c>
      <c r="C8" s="51">
        <f>B8*(1+0.9%)</f>
        <v>100.89999999999999</v>
      </c>
      <c r="D8" s="51">
        <f t="shared" ref="D8:H8" si="0">C8*(1+0.9%)</f>
        <v>101.80809999999998</v>
      </c>
      <c r="E8" s="51">
        <f t="shared" si="0"/>
        <v>102.72437289999998</v>
      </c>
      <c r="F8" s="51">
        <f t="shared" si="0"/>
        <v>103.64889225609997</v>
      </c>
      <c r="G8" s="51">
        <f t="shared" si="0"/>
        <v>104.58173228640486</v>
      </c>
      <c r="H8" s="51">
        <f t="shared" si="0"/>
        <v>105.52296787698249</v>
      </c>
      <c r="I8" s="51"/>
      <c r="J8" s="98"/>
      <c r="K8" s="173"/>
      <c r="L8" s="173"/>
      <c r="M8" s="172"/>
      <c r="N8" s="98"/>
      <c r="O8" s="98"/>
    </row>
    <row r="9" spans="1:15">
      <c r="A9" t="s">
        <v>1375</v>
      </c>
      <c r="B9" s="51">
        <v>100</v>
      </c>
      <c r="C9" s="51">
        <f>B9*(1+0.9%)</f>
        <v>100.89999999999999</v>
      </c>
      <c r="D9" s="51">
        <f>C9</f>
        <v>100.89999999999999</v>
      </c>
      <c r="E9" s="51">
        <f>D9</f>
        <v>100.89999999999999</v>
      </c>
      <c r="F9" s="51">
        <f>E9*(1+1.1%)</f>
        <v>102.00989999999999</v>
      </c>
      <c r="G9" s="51">
        <f>F9*(1+1.1%)</f>
        <v>103.13200889999997</v>
      </c>
      <c r="H9" s="51"/>
      <c r="I9" s="51"/>
      <c r="J9" s="98"/>
      <c r="K9" s="173"/>
      <c r="L9" s="173"/>
      <c r="M9" s="172"/>
      <c r="N9" s="98"/>
      <c r="O9" s="98"/>
    </row>
    <row r="10" spans="1:15">
      <c r="B10" s="51"/>
      <c r="C10" s="51"/>
      <c r="D10" s="51"/>
      <c r="E10" s="51"/>
      <c r="F10" s="51"/>
      <c r="G10" s="51"/>
      <c r="H10" s="51"/>
      <c r="I10" s="51"/>
      <c r="J10" s="98"/>
      <c r="K10" s="173"/>
      <c r="L10" s="173"/>
      <c r="M10" s="172"/>
      <c r="N10" s="98"/>
      <c r="O10" s="98"/>
    </row>
    <row r="11" spans="1:15">
      <c r="A11" t="s">
        <v>1376</v>
      </c>
      <c r="B11">
        <v>106.07226996207919</v>
      </c>
      <c r="C11">
        <v>107.73801279075911</v>
      </c>
      <c r="D11">
        <v>109.52733834828959</v>
      </c>
      <c r="E11">
        <v>111.43080337664027</v>
      </c>
      <c r="F11">
        <v>113.4795325492256</v>
      </c>
      <c r="G11">
        <f>F11*1.022</f>
        <v>115.97608226530856</v>
      </c>
      <c r="H11">
        <f>G11*1.022</f>
        <v>118.52755607514536</v>
      </c>
      <c r="J11" s="98"/>
      <c r="K11" s="173"/>
      <c r="L11" s="173"/>
      <c r="M11" s="172"/>
      <c r="N11" s="98"/>
      <c r="O11" s="98"/>
    </row>
    <row r="12" spans="1:15">
      <c r="A12" t="s">
        <v>1377</v>
      </c>
      <c r="B12" s="51">
        <f>'DHSC NHS Budgets'!K52</f>
        <v>98.4</v>
      </c>
      <c r="C12" s="51">
        <f>'DHSC NHS Budgets'!L52</f>
        <v>100.72499999999999</v>
      </c>
      <c r="D12" s="51">
        <f>'DHSC NHS Budgets'!M52</f>
        <v>106.19999999999999</v>
      </c>
      <c r="E12" s="51">
        <f>'DHSC NHS Budgets'!N52</f>
        <v>105.375</v>
      </c>
      <c r="F12" s="51">
        <f>'DHSC NHS Budgets'!O52</f>
        <v>112.4</v>
      </c>
      <c r="G12" s="51">
        <f>'DHSC NHS Budgets'!P52</f>
        <v>119.2549027044208</v>
      </c>
      <c r="H12" s="51">
        <f>'DHSC NHS Budgets'!Q52</f>
        <v>121.25506271536932</v>
      </c>
      <c r="I12" s="51"/>
      <c r="J12" s="98"/>
      <c r="K12" s="173"/>
      <c r="L12" s="173"/>
      <c r="M12" s="172"/>
      <c r="N12" s="98"/>
      <c r="O12" s="98"/>
    </row>
    <row r="13" spans="1:15">
      <c r="A13" t="s">
        <v>1378</v>
      </c>
      <c r="B13" s="51">
        <f t="array" ref="B13:H13">TRANSPOSE('ONS intermediate c'!L28:L33)</f>
        <v>100</v>
      </c>
      <c r="C13" s="51">
        <v>103.8</v>
      </c>
      <c r="D13" s="51">
        <v>106.39499999999998</v>
      </c>
      <c r="E13" s="51">
        <v>109.69324499999998</v>
      </c>
      <c r="F13" s="51">
        <v>114.84882751499997</v>
      </c>
      <c r="G13" s="51">
        <v>120.82096654577997</v>
      </c>
      <c r="H13" s="51" t="e">
        <v>#N/A</v>
      </c>
      <c r="I13" s="51"/>
      <c r="J13" s="98"/>
      <c r="K13" s="173"/>
      <c r="L13" s="173"/>
      <c r="M13" s="172"/>
      <c r="N13" s="98"/>
      <c r="O13" s="98"/>
    </row>
    <row r="14" spans="1:15">
      <c r="B14" s="51"/>
      <c r="C14" s="51"/>
      <c r="D14" s="51"/>
      <c r="E14" s="51"/>
      <c r="F14" s="51"/>
      <c r="G14" s="51"/>
      <c r="H14" s="51"/>
      <c r="I14" s="51"/>
      <c r="J14" s="98"/>
      <c r="K14" s="173"/>
      <c r="L14" s="173"/>
      <c r="M14" s="172"/>
      <c r="N14" s="98"/>
      <c r="O14" s="98"/>
    </row>
    <row r="15" spans="1:15">
      <c r="A15" t="s">
        <v>1376</v>
      </c>
      <c r="B15" s="51">
        <f>(B11/$B11)*100</f>
        <v>100</v>
      </c>
      <c r="C15" s="51">
        <f t="shared" ref="C15:H15" si="1">(C11/$B11)*100</f>
        <v>101.57038482279621</v>
      </c>
      <c r="D15" s="51">
        <f t="shared" si="1"/>
        <v>103.25727769137549</v>
      </c>
      <c r="E15" s="51">
        <f t="shared" si="1"/>
        <v>105.05177594151304</v>
      </c>
      <c r="F15" s="51">
        <f t="shared" si="1"/>
        <v>106.98322246690346</v>
      </c>
      <c r="G15" s="51">
        <f t="shared" si="1"/>
        <v>109.33685336117533</v>
      </c>
      <c r="H15" s="51">
        <f t="shared" si="1"/>
        <v>111.7422641351212</v>
      </c>
      <c r="I15" s="51"/>
      <c r="J15" s="98"/>
      <c r="K15" s="173"/>
      <c r="L15" s="173"/>
      <c r="M15" s="172"/>
      <c r="N15" s="98"/>
      <c r="O15" s="98"/>
    </row>
    <row r="16" spans="1:15">
      <c r="A16" t="s">
        <v>1377</v>
      </c>
      <c r="B16" s="51">
        <f>(B12/$B12)*100</f>
        <v>100</v>
      </c>
      <c r="C16" s="51">
        <f t="shared" ref="C16:H17" si="2">(C12/$B12)*100</f>
        <v>102.36280487804876</v>
      </c>
      <c r="D16" s="51">
        <f t="shared" si="2"/>
        <v>107.92682926829266</v>
      </c>
      <c r="E16" s="51">
        <f t="shared" si="2"/>
        <v>107.08841463414633</v>
      </c>
      <c r="F16" s="51">
        <f t="shared" si="2"/>
        <v>114.22764227642277</v>
      </c>
      <c r="G16" s="51">
        <f t="shared" si="2"/>
        <v>121.19400681343578</v>
      </c>
      <c r="H16" s="51">
        <f t="shared" si="2"/>
        <v>123.22668975139158</v>
      </c>
      <c r="I16" s="51"/>
      <c r="J16" s="98"/>
      <c r="K16" s="173"/>
      <c r="L16" s="173"/>
      <c r="M16" s="172"/>
      <c r="N16" s="98"/>
      <c r="O16" s="98"/>
    </row>
    <row r="17" spans="1:15">
      <c r="A17" t="s">
        <v>1378</v>
      </c>
      <c r="B17" s="51">
        <f>(B13/$B13)*100</f>
        <v>100</v>
      </c>
      <c r="C17" s="51">
        <f t="shared" si="2"/>
        <v>103.8</v>
      </c>
      <c r="D17" s="51">
        <f t="shared" si="2"/>
        <v>106.39499999999997</v>
      </c>
      <c r="E17" s="51">
        <f t="shared" si="2"/>
        <v>109.69324499999998</v>
      </c>
      <c r="F17" s="51">
        <f t="shared" si="2"/>
        <v>114.84882751499997</v>
      </c>
      <c r="G17" s="51">
        <f t="shared" si="2"/>
        <v>120.82096654577997</v>
      </c>
      <c r="H17" s="51"/>
      <c r="I17" s="51"/>
      <c r="J17" s="98"/>
      <c r="K17" s="173"/>
      <c r="L17" s="173"/>
      <c r="M17" s="172"/>
      <c r="N17" s="98"/>
      <c r="O17" s="98"/>
    </row>
    <row r="18" spans="1:15">
      <c r="B18" s="51"/>
      <c r="C18" s="51"/>
      <c r="D18" s="51"/>
      <c r="E18" s="51"/>
      <c r="F18" s="51"/>
      <c r="G18" s="51"/>
      <c r="H18" s="51"/>
      <c r="I18" s="51"/>
      <c r="J18" s="98"/>
      <c r="K18" s="173"/>
      <c r="L18" s="173"/>
      <c r="M18" s="172"/>
      <c r="N18" s="98"/>
      <c r="O18" s="98"/>
    </row>
    <row r="19" spans="1:15" ht="15" thickBot="1">
      <c r="A19" s="76" t="s">
        <v>1379</v>
      </c>
      <c r="O19" s="98"/>
    </row>
    <row r="20" spans="1:15">
      <c r="B20" s="1041" t="s">
        <v>168</v>
      </c>
      <c r="C20" s="1041" t="s">
        <v>169</v>
      </c>
      <c r="D20" s="1051" t="s">
        <v>170</v>
      </c>
      <c r="E20" s="1051" t="s">
        <v>171</v>
      </c>
      <c r="F20" s="1052" t="s">
        <v>172</v>
      </c>
      <c r="G20" s="1052" t="s">
        <v>173</v>
      </c>
      <c r="H20" s="1053" t="s">
        <v>174</v>
      </c>
      <c r="I20" s="201"/>
      <c r="J20" s="201" t="s">
        <v>1366</v>
      </c>
      <c r="K20" s="201" t="s">
        <v>1367</v>
      </c>
      <c r="L20" s="201" t="s">
        <v>1368</v>
      </c>
      <c r="M20" s="201" t="s">
        <v>1369</v>
      </c>
      <c r="N20" s="201" t="s">
        <v>1370</v>
      </c>
      <c r="O20" s="98"/>
    </row>
    <row r="21" spans="1:15">
      <c r="A21" t="s">
        <v>1371</v>
      </c>
      <c r="B21" s="51">
        <f>(B3/B11)*$B11</f>
        <v>114.60299999999999</v>
      </c>
      <c r="C21" s="51">
        <f t="shared" ref="C21:H21" si="3">(C3/C11)*$B11</f>
        <v>118.68617039338422</v>
      </c>
      <c r="D21" s="51">
        <f t="shared" si="3"/>
        <v>122.90659102917651</v>
      </c>
      <c r="E21" s="51">
        <f t="shared" si="3"/>
        <v>126.74702431887536</v>
      </c>
      <c r="F21" s="51">
        <f t="shared" si="3"/>
        <v>130.70273709810721</v>
      </c>
      <c r="G21" s="51">
        <f t="shared" si="3"/>
        <v>135.141990516135</v>
      </c>
      <c r="H21" s="51">
        <f t="shared" si="3"/>
        <v>135.66934693276121</v>
      </c>
      <c r="I21" s="51">
        <f>G21-B21</f>
        <v>20.538990516135001</v>
      </c>
      <c r="J21" s="98">
        <f>(G21/B21)^(1/COUNTA(C21:G21))-1</f>
        <v>3.3519951839350304E-2</v>
      </c>
      <c r="K21" s="173"/>
      <c r="L21" s="173"/>
      <c r="M21" s="172"/>
      <c r="N21" s="98"/>
      <c r="O21" s="98"/>
    </row>
    <row r="22" spans="1:15">
      <c r="A22" t="s">
        <v>1372</v>
      </c>
      <c r="B22" s="51" t="e">
        <f>(B4/B11)*$B11</f>
        <v>#REF!</v>
      </c>
      <c r="C22" s="51" t="e">
        <f t="shared" ref="C22:H22" si="4">(C4/C11)*$B11</f>
        <v>#REF!</v>
      </c>
      <c r="D22" s="51" t="e">
        <f t="shared" si="4"/>
        <v>#REF!</v>
      </c>
      <c r="E22" s="51" t="e">
        <f t="shared" si="4"/>
        <v>#REF!</v>
      </c>
      <c r="F22" s="51" t="e">
        <f t="shared" si="4"/>
        <v>#REF!</v>
      </c>
      <c r="G22" s="51" t="e">
        <f t="shared" si="4"/>
        <v>#REF!</v>
      </c>
      <c r="H22" s="51" t="e">
        <f t="shared" si="4"/>
        <v>#REF!</v>
      </c>
      <c r="I22" s="51" t="e">
        <f>G22-B22</f>
        <v>#REF!</v>
      </c>
      <c r="J22" s="98" t="e">
        <f>(G22/B22)^(1/COUNTA(C22:G22))-1</f>
        <v>#REF!</v>
      </c>
      <c r="K22" s="173"/>
      <c r="L22" s="173"/>
      <c r="M22" s="172"/>
      <c r="N22" s="98"/>
      <c r="O22" s="98"/>
    </row>
    <row r="23" spans="1:15">
      <c r="A23" t="s">
        <v>1373</v>
      </c>
      <c r="B23" s="51" t="e">
        <f>(B5/B11)*$B11</f>
        <v>#REF!</v>
      </c>
      <c r="C23" s="51" t="e">
        <f t="shared" ref="C23:H23" si="5">(C5/C11)*$B11</f>
        <v>#REF!</v>
      </c>
      <c r="D23" s="51" t="e">
        <f t="shared" si="5"/>
        <v>#REF!</v>
      </c>
      <c r="E23" s="51" t="e">
        <f t="shared" si="5"/>
        <v>#REF!</v>
      </c>
      <c r="F23" s="51" t="e">
        <f t="shared" si="5"/>
        <v>#REF!</v>
      </c>
      <c r="G23" s="51" t="e">
        <f t="shared" si="5"/>
        <v>#REF!</v>
      </c>
      <c r="H23" s="51" t="e">
        <f t="shared" si="5"/>
        <v>#REF!</v>
      </c>
      <c r="I23" s="51" t="e">
        <f>G23-B23</f>
        <v>#REF!</v>
      </c>
      <c r="J23" s="98" t="e">
        <f>(G23/B23)^(1/COUNTA(C23:G23))-1</f>
        <v>#REF!</v>
      </c>
      <c r="K23" s="173"/>
      <c r="L23" s="173"/>
      <c r="M23" s="172"/>
      <c r="N23" s="98"/>
      <c r="O23" s="98"/>
    </row>
    <row r="24" spans="1:15">
      <c r="B24" s="51"/>
      <c r="C24" s="51"/>
      <c r="D24" s="51"/>
      <c r="E24" s="51"/>
      <c r="F24" s="51"/>
      <c r="G24" s="51"/>
      <c r="H24" s="51"/>
      <c r="I24" s="51"/>
      <c r="J24" s="98"/>
      <c r="K24" s="173"/>
      <c r="L24" s="173"/>
      <c r="M24" s="172"/>
      <c r="N24" s="98"/>
      <c r="O24" s="98"/>
    </row>
    <row r="25" spans="1:15" ht="15" thickBot="1">
      <c r="A25" s="76" t="s">
        <v>1380</v>
      </c>
      <c r="I25" s="51"/>
      <c r="J25" s="98"/>
      <c r="K25" s="173"/>
      <c r="L25" s="173"/>
      <c r="M25" s="172"/>
      <c r="N25" s="98"/>
      <c r="O25" s="98"/>
    </row>
    <row r="26" spans="1:15">
      <c r="B26" s="1041" t="s">
        <v>168</v>
      </c>
      <c r="C26" s="1041" t="s">
        <v>169</v>
      </c>
      <c r="D26" s="1051" t="s">
        <v>170</v>
      </c>
      <c r="E26" s="1051" t="s">
        <v>171</v>
      </c>
      <c r="F26" s="1052" t="s">
        <v>172</v>
      </c>
      <c r="G26" s="1052" t="s">
        <v>173</v>
      </c>
      <c r="H26" s="1053" t="s">
        <v>174</v>
      </c>
      <c r="I26" s="201"/>
      <c r="J26" s="201" t="s">
        <v>1366</v>
      </c>
      <c r="K26" s="201" t="s">
        <v>1367</v>
      </c>
      <c r="L26" s="201" t="s">
        <v>1368</v>
      </c>
      <c r="M26" s="201" t="s">
        <v>1369</v>
      </c>
      <c r="N26" s="201" t="s">
        <v>1370</v>
      </c>
      <c r="O26" s="98"/>
    </row>
    <row r="27" spans="1:15">
      <c r="A27" t="s">
        <v>1371</v>
      </c>
      <c r="B27" s="51">
        <f>(B3/B12)*$B12</f>
        <v>114.60299999999999</v>
      </c>
      <c r="C27" s="51">
        <f t="shared" ref="C27:H27" si="6">(C3/C12)*$B12</f>
        <v>117.76738644825019</v>
      </c>
      <c r="D27" s="51">
        <f t="shared" si="6"/>
        <v>117.58892655367232</v>
      </c>
      <c r="E27" s="51">
        <f t="shared" si="6"/>
        <v>124.33651245551603</v>
      </c>
      <c r="F27" s="51">
        <f t="shared" si="6"/>
        <v>122.41345195729538</v>
      </c>
      <c r="G27" s="51">
        <f t="shared" si="6"/>
        <v>121.92022021968423</v>
      </c>
      <c r="H27" s="51">
        <f t="shared" si="6"/>
        <v>123.02529614797838</v>
      </c>
      <c r="I27" s="51">
        <f>G27-B27</f>
        <v>7.3172202196842306</v>
      </c>
      <c r="J27" s="98">
        <f>(G27/B27)^(1/COUNTA(C27:G27))-1</f>
        <v>1.2455515019770269E-2</v>
      </c>
      <c r="K27" s="173"/>
      <c r="L27" s="173"/>
      <c r="M27" s="172"/>
      <c r="N27" s="98"/>
      <c r="O27" s="98"/>
    </row>
    <row r="28" spans="1:15">
      <c r="A28" t="s">
        <v>1372</v>
      </c>
      <c r="B28" s="51" t="e">
        <f>(B4/B12)*$B12</f>
        <v>#REF!</v>
      </c>
      <c r="C28" s="51" t="e">
        <f t="shared" ref="C28:H28" si="7">(C4/C12)*$B12</f>
        <v>#REF!</v>
      </c>
      <c r="D28" s="51" t="e">
        <f t="shared" si="7"/>
        <v>#REF!</v>
      </c>
      <c r="E28" s="51" t="e">
        <f t="shared" si="7"/>
        <v>#REF!</v>
      </c>
      <c r="F28" s="51" t="e">
        <f t="shared" si="7"/>
        <v>#REF!</v>
      </c>
      <c r="G28" s="51" t="e">
        <f t="shared" si="7"/>
        <v>#REF!</v>
      </c>
      <c r="H28" s="51" t="e">
        <f t="shared" si="7"/>
        <v>#REF!</v>
      </c>
      <c r="I28" s="51" t="e">
        <f>G28-B28</f>
        <v>#REF!</v>
      </c>
      <c r="J28" s="98" t="e">
        <f>(G28/B28)^(1/COUNTA(C28:G28))-1</f>
        <v>#REF!</v>
      </c>
      <c r="K28" s="173"/>
      <c r="L28" s="173"/>
      <c r="M28" s="172"/>
      <c r="N28" s="98"/>
      <c r="O28" s="98"/>
    </row>
    <row r="29" spans="1:15">
      <c r="A29" t="s">
        <v>1373</v>
      </c>
      <c r="B29" s="51" t="e">
        <f>(B5/B12)*$B12</f>
        <v>#REF!</v>
      </c>
      <c r="C29" s="51" t="e">
        <f t="shared" ref="C29:H29" si="8">(C5/C12)*$B12</f>
        <v>#REF!</v>
      </c>
      <c r="D29" s="51" t="e">
        <f t="shared" si="8"/>
        <v>#REF!</v>
      </c>
      <c r="E29" s="51" t="e">
        <f t="shared" si="8"/>
        <v>#REF!</v>
      </c>
      <c r="F29" s="51" t="e">
        <f t="shared" si="8"/>
        <v>#REF!</v>
      </c>
      <c r="G29" s="51" t="e">
        <f t="shared" si="8"/>
        <v>#REF!</v>
      </c>
      <c r="H29" s="51" t="e">
        <f t="shared" si="8"/>
        <v>#REF!</v>
      </c>
      <c r="I29" s="51" t="e">
        <f>G29-B29</f>
        <v>#REF!</v>
      </c>
      <c r="J29" s="98" t="e">
        <f>(G29/B29)^(1/COUNTA(C29:G29))-1</f>
        <v>#REF!</v>
      </c>
      <c r="K29" s="173"/>
      <c r="L29" s="173"/>
      <c r="M29" s="172"/>
      <c r="N29" s="98"/>
      <c r="O29" s="98"/>
    </row>
    <row r="30" spans="1:15">
      <c r="B30" s="51"/>
      <c r="C30" s="51"/>
      <c r="D30" s="51"/>
      <c r="E30" s="51"/>
      <c r="F30" s="51"/>
      <c r="G30" s="51"/>
      <c r="H30" s="51"/>
      <c r="I30" s="51"/>
      <c r="K30" s="51"/>
      <c r="L30" s="51"/>
      <c r="M30" s="172"/>
      <c r="N30" s="98"/>
      <c r="O30" s="98"/>
    </row>
    <row r="31" spans="1:15" ht="15" thickBot="1">
      <c r="A31" s="76" t="s">
        <v>1381</v>
      </c>
      <c r="I31" s="51"/>
      <c r="K31" s="51"/>
      <c r="L31" s="51"/>
      <c r="M31" s="172"/>
      <c r="N31" s="98"/>
      <c r="O31" s="98"/>
    </row>
    <row r="32" spans="1:15">
      <c r="B32" s="1041" t="s">
        <v>168</v>
      </c>
      <c r="C32" s="1041" t="s">
        <v>169</v>
      </c>
      <c r="D32" s="1051" t="s">
        <v>170</v>
      </c>
      <c r="E32" s="1051" t="s">
        <v>171</v>
      </c>
      <c r="F32" s="1052" t="s">
        <v>172</v>
      </c>
      <c r="G32" s="1052" t="s">
        <v>173</v>
      </c>
      <c r="H32" s="1053" t="s">
        <v>174</v>
      </c>
      <c r="I32" s="51"/>
      <c r="K32" s="51"/>
      <c r="L32" s="51"/>
    </row>
    <row r="33" spans="1:14">
      <c r="A33" t="s">
        <v>1371</v>
      </c>
      <c r="B33" s="51">
        <f t="shared" ref="B33:G35" si="9">(B3/B$17)*$B$17</f>
        <v>114.60299999999999</v>
      </c>
      <c r="C33" s="51">
        <f t="shared" si="9"/>
        <v>116.13680154142583</v>
      </c>
      <c r="D33" s="51">
        <f t="shared" si="9"/>
        <v>119.28192114291087</v>
      </c>
      <c r="E33" s="51">
        <f t="shared" si="9"/>
        <v>121.38395577594594</v>
      </c>
      <c r="F33" s="51">
        <f t="shared" si="9"/>
        <v>121.75135177739394</v>
      </c>
      <c r="G33" s="51">
        <f t="shared" si="9"/>
        <v>122.29665448340261</v>
      </c>
      <c r="H33" s="51"/>
      <c r="I33" s="51">
        <f>G33-B33</f>
        <v>7.6936544834026108</v>
      </c>
      <c r="J33" s="98">
        <f>(G33/B33)^(1/COUNTA(C33:G33))-1</f>
        <v>1.3079944867305793E-2</v>
      </c>
      <c r="K33" s="51"/>
      <c r="L33" s="51"/>
      <c r="M33" s="172"/>
      <c r="N33" s="98"/>
    </row>
    <row r="34" spans="1:14">
      <c r="A34" t="s">
        <v>1372</v>
      </c>
      <c r="B34" s="51" t="e">
        <f t="shared" si="9"/>
        <v>#REF!</v>
      </c>
      <c r="C34" s="51" t="e">
        <f t="shared" si="9"/>
        <v>#REF!</v>
      </c>
      <c r="D34" s="51" t="e">
        <f t="shared" si="9"/>
        <v>#REF!</v>
      </c>
      <c r="E34" s="51" t="e">
        <f t="shared" si="9"/>
        <v>#REF!</v>
      </c>
      <c r="F34" s="51" t="e">
        <f t="shared" si="9"/>
        <v>#REF!</v>
      </c>
      <c r="G34" s="51" t="e">
        <f t="shared" si="9"/>
        <v>#REF!</v>
      </c>
      <c r="H34" s="51"/>
      <c r="I34" s="51" t="e">
        <f>G34-B34</f>
        <v>#REF!</v>
      </c>
      <c r="J34" s="98" t="e">
        <f>(G34/B34)^(1/COUNTA(C34:G34))-1</f>
        <v>#REF!</v>
      </c>
      <c r="K34" s="51"/>
      <c r="L34" s="51"/>
      <c r="M34" s="172"/>
      <c r="N34" s="98"/>
    </row>
    <row r="35" spans="1:14">
      <c r="A35" t="s">
        <v>1373</v>
      </c>
      <c r="B35" s="51" t="e">
        <f t="shared" si="9"/>
        <v>#REF!</v>
      </c>
      <c r="C35" s="51" t="e">
        <f t="shared" si="9"/>
        <v>#REF!</v>
      </c>
      <c r="D35" s="51" t="e">
        <f t="shared" si="9"/>
        <v>#REF!</v>
      </c>
      <c r="E35" s="51" t="e">
        <f t="shared" si="9"/>
        <v>#REF!</v>
      </c>
      <c r="F35" s="51" t="e">
        <f t="shared" si="9"/>
        <v>#REF!</v>
      </c>
      <c r="G35" s="51" t="e">
        <f t="shared" si="9"/>
        <v>#REF!</v>
      </c>
      <c r="H35" s="51"/>
      <c r="I35" s="51" t="e">
        <f>G35-B35</f>
        <v>#REF!</v>
      </c>
      <c r="J35" s="98" t="e">
        <f>(G35/B35)^(1/COUNTA(C35:G35))-1</f>
        <v>#REF!</v>
      </c>
      <c r="K35" s="51"/>
      <c r="L35" s="51"/>
      <c r="N35" s="98"/>
    </row>
    <row r="36" spans="1:14">
      <c r="B36" s="51"/>
      <c r="C36" s="51"/>
      <c r="D36" s="51"/>
      <c r="E36" s="51"/>
      <c r="F36" s="51"/>
      <c r="G36" s="51"/>
      <c r="H36" s="51"/>
      <c r="I36" s="51"/>
      <c r="K36" s="51"/>
      <c r="L36" s="51"/>
      <c r="N36" s="98"/>
    </row>
    <row r="37" spans="1:14">
      <c r="F37" s="51"/>
      <c r="G37" s="51"/>
      <c r="H37" s="51"/>
      <c r="I37" s="51"/>
      <c r="K37" s="51"/>
      <c r="L37" s="51"/>
      <c r="N37" s="98"/>
    </row>
    <row r="38" spans="1:14">
      <c r="B38" t="s">
        <v>1382</v>
      </c>
      <c r="C38" t="s">
        <v>1383</v>
      </c>
      <c r="F38" s="51"/>
      <c r="G38" s="51"/>
      <c r="H38" s="51"/>
      <c r="I38" s="51"/>
      <c r="K38" s="51"/>
      <c r="L38" s="51"/>
    </row>
    <row r="39" spans="1:14">
      <c r="A39" t="s">
        <v>1384</v>
      </c>
      <c r="C39">
        <f>B31</f>
        <v>0</v>
      </c>
      <c r="F39" s="51"/>
      <c r="G39" s="51"/>
      <c r="H39" s="51"/>
      <c r="I39" s="51"/>
      <c r="K39" s="51"/>
      <c r="L39" s="51"/>
    </row>
    <row r="40" spans="1:14">
      <c r="A40" t="s">
        <v>1369</v>
      </c>
      <c r="B40" s="172" t="e">
        <f>B46+B47</f>
        <v>#DIV/0!</v>
      </c>
      <c r="C40" s="162" t="e">
        <f>C46+C47</f>
        <v>#DIV/0!</v>
      </c>
      <c r="E40" s="51">
        <f>G31</f>
        <v>0</v>
      </c>
      <c r="F40" s="51"/>
      <c r="G40" s="51"/>
      <c r="H40" s="51"/>
      <c r="I40" s="51"/>
      <c r="K40" s="51"/>
      <c r="L40" s="51"/>
    </row>
    <row r="41" spans="1:14">
      <c r="A41" t="s">
        <v>1385</v>
      </c>
      <c r="B41" s="172">
        <v>2.5000000000000001E-2</v>
      </c>
      <c r="C41" s="51" t="e">
        <f>C43*(B41/B43)</f>
        <v>#DIV/0!</v>
      </c>
      <c r="F41" s="51"/>
      <c r="G41" s="51"/>
      <c r="H41" s="51"/>
      <c r="I41" s="51"/>
      <c r="K41" s="51"/>
      <c r="L41" s="51"/>
    </row>
    <row r="42" spans="1:14">
      <c r="A42" t="s">
        <v>1367</v>
      </c>
      <c r="B42" s="172">
        <v>1.0999999999999999E-2</v>
      </c>
      <c r="C42" s="51" t="e">
        <f>-C43*(B42/B43)</f>
        <v>#DIV/0!</v>
      </c>
      <c r="F42" s="51"/>
      <c r="G42" s="51"/>
      <c r="H42" s="51"/>
      <c r="I42" s="51"/>
      <c r="K42" s="51"/>
      <c r="L42" s="51"/>
      <c r="N42" s="98"/>
    </row>
    <row r="43" spans="1:14">
      <c r="A43" t="s">
        <v>1386</v>
      </c>
      <c r="B43" s="98" t="e">
        <f>(E40/C39)^(1/6)-1</f>
        <v>#DIV/0!</v>
      </c>
      <c r="C43" s="51">
        <f>E40-C39</f>
        <v>0</v>
      </c>
      <c r="F43" s="51"/>
      <c r="G43" s="51"/>
      <c r="H43" s="51"/>
      <c r="I43" s="51"/>
      <c r="K43" s="51"/>
      <c r="L43" s="51"/>
      <c r="N43" s="98"/>
    </row>
    <row r="44" spans="1:14">
      <c r="F44" s="51"/>
      <c r="G44" s="51"/>
      <c r="H44" s="51"/>
      <c r="I44" s="51"/>
      <c r="K44" s="51"/>
      <c r="L44" s="51"/>
    </row>
    <row r="45" spans="1:14">
      <c r="F45" s="51"/>
      <c r="G45" s="51"/>
      <c r="H45" s="51"/>
      <c r="I45" s="51"/>
      <c r="K45" s="51"/>
      <c r="L45" s="51"/>
    </row>
    <row r="46" spans="1:14">
      <c r="A46" t="s">
        <v>1387</v>
      </c>
      <c r="B46" s="172">
        <v>0.03</v>
      </c>
      <c r="C46" s="51" t="e">
        <f>C43*(B46/B43)</f>
        <v>#DIV/0!</v>
      </c>
      <c r="F46" s="51"/>
      <c r="G46" s="51"/>
      <c r="H46" s="51"/>
      <c r="I46" s="51"/>
      <c r="K46" s="51"/>
      <c r="L46" s="51"/>
    </row>
    <row r="47" spans="1:14">
      <c r="A47" t="s">
        <v>1388</v>
      </c>
      <c r="B47" s="172" t="e">
        <f>B43-((B41-B42)+B46)</f>
        <v>#DIV/0!</v>
      </c>
      <c r="C47" s="96" t="e">
        <f>C43*(B47/B43)</f>
        <v>#DIV/0!</v>
      </c>
      <c r="F47" s="51"/>
      <c r="G47" s="51"/>
      <c r="H47" s="51"/>
      <c r="I47" s="51"/>
      <c r="K47" s="51"/>
      <c r="L47" s="51"/>
    </row>
    <row r="48" spans="1:14">
      <c r="F48" s="51"/>
      <c r="G48" s="51"/>
      <c r="H48" s="51"/>
      <c r="I48" s="51"/>
      <c r="K48" s="51"/>
      <c r="L48" s="51"/>
    </row>
    <row r="49" spans="3:12">
      <c r="F49" s="51"/>
      <c r="G49" s="51"/>
      <c r="H49" s="51"/>
      <c r="I49" s="51"/>
      <c r="K49" s="51"/>
      <c r="L49" s="51"/>
    </row>
    <row r="50" spans="3:12">
      <c r="F50" s="51"/>
      <c r="G50" s="51"/>
      <c r="H50" s="51"/>
      <c r="I50" s="51"/>
      <c r="K50" s="51"/>
      <c r="L50" s="51"/>
    </row>
    <row r="51" spans="3:12">
      <c r="C51" s="98"/>
      <c r="E51" s="98"/>
      <c r="F51" s="51"/>
      <c r="G51" s="51"/>
      <c r="H51" s="51"/>
      <c r="I51" s="51"/>
      <c r="K51" s="51"/>
      <c r="L51" s="51"/>
    </row>
    <row r="52" spans="3:12">
      <c r="F52" s="51"/>
      <c r="G52" s="51"/>
      <c r="H52" s="51"/>
      <c r="I52" s="51"/>
      <c r="K52" s="51"/>
      <c r="L52" s="51"/>
    </row>
    <row r="67" spans="6:6">
      <c r="F67" s="98"/>
    </row>
    <row r="86" spans="2:79">
      <c r="B86" s="76"/>
    </row>
    <row r="87" spans="2:79">
      <c r="C87" s="162"/>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2"/>
      <c r="AW87" s="162"/>
      <c r="AX87" s="162"/>
      <c r="AY87" s="162"/>
      <c r="AZ87" s="162"/>
      <c r="BA87" s="162"/>
      <c r="BB87" s="162"/>
      <c r="BC87" s="162"/>
      <c r="BD87" s="162"/>
      <c r="BE87" s="162"/>
      <c r="BF87" s="162"/>
      <c r="BG87" s="162"/>
      <c r="BH87" s="162"/>
      <c r="BI87" s="162"/>
      <c r="BJ87" s="162"/>
      <c r="BK87" s="162"/>
      <c r="BL87" s="162"/>
      <c r="BM87" s="162"/>
      <c r="BN87" s="162"/>
      <c r="BO87" s="162"/>
      <c r="BP87" s="162"/>
      <c r="BQ87" s="162"/>
      <c r="BR87" s="162"/>
      <c r="BS87" s="162"/>
      <c r="BT87" s="162"/>
      <c r="BU87" s="162"/>
      <c r="BV87" s="162"/>
      <c r="BW87" s="162"/>
      <c r="BX87" s="162"/>
      <c r="BY87" s="162"/>
      <c r="BZ87" s="162"/>
      <c r="CA87" s="162"/>
    </row>
  </sheetData>
  <pageMargins left="0.7" right="0.7" top="0.75" bottom="0.75" header="0.3" footer="0.3"/>
  <pageSetup paperSize="9" orientation="portrait" r:id="rId1"/>
  <drawing r:id="rId2"/>
  <legacy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70281-81F5-447E-B7B0-B3E3EB018AE0}">
  <dimension ref="A1:AD51"/>
  <sheetViews>
    <sheetView zoomScale="70" zoomScaleNormal="70" workbookViewId="0">
      <selection activeCell="P2" sqref="P2"/>
    </sheetView>
  </sheetViews>
  <sheetFormatPr defaultRowHeight="14.5"/>
  <sheetData>
    <row r="1" spans="1:30">
      <c r="A1" s="76" t="s">
        <v>1389</v>
      </c>
      <c r="F1" t="s">
        <v>245</v>
      </c>
      <c r="G1" t="s">
        <v>192</v>
      </c>
      <c r="H1" t="s">
        <v>193</v>
      </c>
      <c r="I1" t="s">
        <v>165</v>
      </c>
      <c r="J1" t="s">
        <v>167</v>
      </c>
      <c r="K1" t="s">
        <v>168</v>
      </c>
      <c r="L1" t="s">
        <v>169</v>
      </c>
      <c r="M1" t="s">
        <v>170</v>
      </c>
      <c r="N1" t="s">
        <v>171</v>
      </c>
      <c r="O1" t="s">
        <v>172</v>
      </c>
      <c r="P1" t="s">
        <v>173</v>
      </c>
      <c r="Q1" t="s">
        <v>174</v>
      </c>
      <c r="V1" s="548" t="s">
        <v>1124</v>
      </c>
    </row>
    <row r="2" spans="1:30" ht="15" thickBot="1">
      <c r="A2" t="s">
        <v>1390</v>
      </c>
      <c r="F2">
        <v>93.695999999999998</v>
      </c>
      <c r="G2">
        <v>97.097999999999999</v>
      </c>
      <c r="H2">
        <v>100.572</v>
      </c>
      <c r="I2">
        <v>105.702</v>
      </c>
      <c r="J2">
        <v>109.536</v>
      </c>
      <c r="K2">
        <v>114.60299999999999</v>
      </c>
      <c r="L2">
        <v>120.807</v>
      </c>
      <c r="M2">
        <v>127.00700000000001</v>
      </c>
      <c r="N2">
        <v>133.28299999999999</v>
      </c>
      <c r="O2">
        <v>139.99</v>
      </c>
      <c r="P2">
        <v>148.46700000000001</v>
      </c>
      <c r="Q2">
        <v>151.62899999999999</v>
      </c>
      <c r="R2">
        <f>P2-K2</f>
        <v>33.864000000000019</v>
      </c>
      <c r="V2" s="552"/>
      <c r="W2" s="553" t="s">
        <v>170</v>
      </c>
      <c r="X2" s="553" t="s">
        <v>171</v>
      </c>
      <c r="Y2" s="553" t="s">
        <v>172</v>
      </c>
      <c r="Z2" s="553" t="s">
        <v>173</v>
      </c>
      <c r="AA2" s="553" t="s">
        <v>174</v>
      </c>
    </row>
    <row r="3" spans="1:30" ht="15" thickTop="1">
      <c r="A3" t="s">
        <v>1391</v>
      </c>
      <c r="F3" t="e">
        <f>'DHSC NHS Budgets'!#REF!</f>
        <v>#REF!</v>
      </c>
      <c r="G3" t="e">
        <f>'DHSC NHS Budgets'!#REF!</f>
        <v>#REF!</v>
      </c>
      <c r="H3" t="e">
        <f>'DHSC NHS Budgets'!#REF!</f>
        <v>#REF!</v>
      </c>
      <c r="I3" t="e">
        <f>'DHSC NHS Budgets'!#REF!</f>
        <v>#REF!</v>
      </c>
      <c r="J3" t="e">
        <f>'DHSC NHS Budgets'!#REF!</f>
        <v>#REF!</v>
      </c>
      <c r="K3" t="e">
        <f>'DHSC NHS Budgets'!#REF!</f>
        <v>#REF!</v>
      </c>
      <c r="L3" t="e">
        <f>'DHSC NHS Budgets'!#REF!</f>
        <v>#REF!</v>
      </c>
      <c r="M3" t="e">
        <f>'DHSC NHS Budgets'!#REF!</f>
        <v>#REF!</v>
      </c>
      <c r="N3" t="e">
        <f>'DHSC NHS Budgets'!#REF!</f>
        <v>#REF!</v>
      </c>
      <c r="O3" t="e">
        <f>'DHSC NHS Budgets'!#REF!</f>
        <v>#REF!</v>
      </c>
      <c r="P3" t="e">
        <f>'DHSC NHS Budgets'!#REF!</f>
        <v>#REF!</v>
      </c>
      <c r="Q3" t="e">
        <f>'DHSC NHS Budgets'!#REF!</f>
        <v>#REF!</v>
      </c>
      <c r="V3" s="555" t="s">
        <v>1131</v>
      </c>
      <c r="W3" s="556">
        <v>127.00700000000001</v>
      </c>
      <c r="X3" s="556">
        <v>133.28299999999999</v>
      </c>
      <c r="Y3" s="556">
        <v>139.99</v>
      </c>
      <c r="Z3" s="556">
        <v>148.46700000000001</v>
      </c>
      <c r="AA3" s="557">
        <v>155.06574403270344</v>
      </c>
      <c r="AB3" t="s">
        <v>1392</v>
      </c>
      <c r="AC3" s="556">
        <v>148.46700000000001</v>
      </c>
    </row>
    <row r="4" spans="1:30">
      <c r="A4" t="s">
        <v>1393</v>
      </c>
      <c r="F4">
        <v>91.995550000000009</v>
      </c>
      <c r="G4">
        <v>93.280200000000008</v>
      </c>
      <c r="H4">
        <v>94.083550000000002</v>
      </c>
      <c r="I4">
        <v>96.311149999999998</v>
      </c>
      <c r="J4">
        <v>97.975025000000002</v>
      </c>
      <c r="K4">
        <v>100</v>
      </c>
      <c r="L4">
        <v>101.99928578519363</v>
      </c>
      <c r="M4">
        <v>103.87822140752039</v>
      </c>
      <c r="N4">
        <v>105.8920095859753</v>
      </c>
      <c r="O4">
        <v>107.96137109375513</v>
      </c>
      <c r="P4">
        <v>110.11694431128547</v>
      </c>
      <c r="R4" t="s">
        <v>1394</v>
      </c>
      <c r="V4" s="560" t="s">
        <v>1133</v>
      </c>
      <c r="W4" s="561">
        <v>2.851</v>
      </c>
      <c r="X4" s="561">
        <v>2.851</v>
      </c>
      <c r="Y4" s="561">
        <v>2.851</v>
      </c>
      <c r="Z4" s="561">
        <v>2.851</v>
      </c>
      <c r="AA4" s="561">
        <v>2.851</v>
      </c>
      <c r="AB4" t="s">
        <v>144</v>
      </c>
      <c r="AC4" s="483">
        <f>AD4-AC3</f>
        <v>2.8509999999999991</v>
      </c>
      <c r="AD4" s="556">
        <v>151.31800000000001</v>
      </c>
    </row>
    <row r="5" spans="1:30">
      <c r="A5" t="s">
        <v>1395</v>
      </c>
      <c r="K5">
        <f>(K$2/K4)*$P4</f>
        <v>126.19732168906246</v>
      </c>
      <c r="L5">
        <f t="shared" ref="L5:P5" si="0">(L$2/L4)*$P4</f>
        <v>130.42147882710501</v>
      </c>
      <c r="M5">
        <f t="shared" si="0"/>
        <v>134.63479213103787</v>
      </c>
      <c r="N5">
        <f t="shared" si="0"/>
        <v>138.60079477219492</v>
      </c>
      <c r="O5">
        <f t="shared" si="0"/>
        <v>142.78506171202682</v>
      </c>
      <c r="P5">
        <f t="shared" si="0"/>
        <v>148.46700000000001</v>
      </c>
      <c r="Q5" s="989">
        <f>P5*(1+S5)</f>
        <v>153.3719333179304</v>
      </c>
      <c r="R5">
        <f>P5-K5</f>
        <v>22.26967831093755</v>
      </c>
      <c r="S5" s="98">
        <f>(P5/K5)^(1/COUNTA(L5:P5))-1</f>
        <v>3.3037195591817614E-2</v>
      </c>
      <c r="V5" s="555" t="s">
        <v>1135</v>
      </c>
      <c r="W5" s="556">
        <f>SUM(W3:W4)</f>
        <v>129.858</v>
      </c>
      <c r="X5" s="556">
        <v>136.13399999999999</v>
      </c>
      <c r="Y5" s="556">
        <v>142.84100000000001</v>
      </c>
      <c r="Z5" s="556">
        <v>151.31800000000001</v>
      </c>
      <c r="AA5" s="556">
        <v>157.91674403270343</v>
      </c>
      <c r="AB5" s="564" t="s">
        <v>1139</v>
      </c>
      <c r="AC5" s="483">
        <f>AD5-AD4</f>
        <v>3.061000000000007</v>
      </c>
      <c r="AD5" s="483">
        <f>AD4+Z8</f>
        <v>154.37900000000002</v>
      </c>
    </row>
    <row r="6" spans="1:30">
      <c r="A6" t="s">
        <v>1396</v>
      </c>
      <c r="F6">
        <f>'DHSC NHS Budgets'!F52</f>
        <v>91.025000000000006</v>
      </c>
      <c r="G6">
        <f>'DHSC NHS Budgets'!G52</f>
        <v>92.125</v>
      </c>
      <c r="H6">
        <f>'DHSC NHS Budgets'!H52</f>
        <v>92.8</v>
      </c>
      <c r="I6">
        <f>'DHSC NHS Budgets'!I52</f>
        <v>94.9</v>
      </c>
      <c r="J6">
        <f>'DHSC NHS Budgets'!J52</f>
        <v>96.375</v>
      </c>
      <c r="K6">
        <f>'DHSC NHS Budgets'!K52</f>
        <v>98.4</v>
      </c>
      <c r="L6">
        <f>'DHSC NHS Budgets'!L52</f>
        <v>100.72499999999999</v>
      </c>
      <c r="M6">
        <f>'DHSC NHS Budgets'!M52</f>
        <v>106.19999999999999</v>
      </c>
      <c r="N6">
        <f>'DHSC NHS Budgets'!N52</f>
        <v>105.375</v>
      </c>
      <c r="O6">
        <f>'DHSC NHS Budgets'!O52</f>
        <v>112.4</v>
      </c>
      <c r="P6">
        <f>'DHSC NHS Budgets'!P52</f>
        <v>119.2549027044208</v>
      </c>
      <c r="Q6">
        <f>'DHSC NHS Budgets'!Q52</f>
        <v>121.25506271536932</v>
      </c>
      <c r="S6" s="98"/>
      <c r="V6" s="560" t="s">
        <v>1137</v>
      </c>
      <c r="W6" s="561">
        <f>W11-W5</f>
        <v>19.988</v>
      </c>
      <c r="X6" s="561">
        <f>X11-X5</f>
        <v>16.295000000000016</v>
      </c>
      <c r="Y6" s="561">
        <f>Y11-Y5</f>
        <v>8.9590000000000032</v>
      </c>
      <c r="Z6" s="561">
        <f>Z11-Z5</f>
        <v>6.0819999999999936</v>
      </c>
      <c r="AA6" s="561">
        <f>AA11-AA5</f>
        <v>4.6832559672965601</v>
      </c>
      <c r="AB6" s="564" t="s">
        <v>1141</v>
      </c>
      <c r="AC6" s="483">
        <f t="shared" ref="AC6" si="1">AD6-AD5</f>
        <v>3.0209999999999866</v>
      </c>
      <c r="AD6" s="483">
        <f>AD5+Z9</f>
        <v>157.4</v>
      </c>
    </row>
    <row r="7" spans="1:30">
      <c r="A7" t="s">
        <v>1397</v>
      </c>
      <c r="K7">
        <f>K8</f>
        <v>138.89196762840177</v>
      </c>
      <c r="L7">
        <f>K7*(1+3.4%)</f>
        <v>143.61429452776744</v>
      </c>
      <c r="M7">
        <f t="shared" ref="M7:P7" si="2">L7*(1+3.4%)</f>
        <v>148.49718054171154</v>
      </c>
      <c r="N7">
        <f t="shared" si="2"/>
        <v>153.54608468012975</v>
      </c>
      <c r="O7">
        <f t="shared" si="2"/>
        <v>158.76665155925417</v>
      </c>
      <c r="P7">
        <f t="shared" si="2"/>
        <v>164.16471771226881</v>
      </c>
      <c r="S7" s="98"/>
      <c r="V7" s="560"/>
      <c r="W7" s="561"/>
      <c r="X7" s="561"/>
      <c r="Y7" s="561"/>
      <c r="Z7" s="561"/>
      <c r="AA7" s="561"/>
      <c r="AB7" s="564"/>
      <c r="AC7" s="483"/>
      <c r="AD7" s="483"/>
    </row>
    <row r="8" spans="1:30">
      <c r="A8" t="s">
        <v>1398</v>
      </c>
      <c r="K8">
        <f>(K$2/K6)*$P6</f>
        <v>138.89196762840177</v>
      </c>
      <c r="L8">
        <f t="shared" ref="L8:P8" si="3">(L$2/L6)*$P6</f>
        <v>143.03129343274227</v>
      </c>
      <c r="M8">
        <f t="shared" si="3"/>
        <v>142.61965562881707</v>
      </c>
      <c r="N8">
        <f t="shared" si="3"/>
        <v>150.83892002043478</v>
      </c>
      <c r="O8">
        <f t="shared" si="3"/>
        <v>148.52752517430488</v>
      </c>
      <c r="P8">
        <f t="shared" si="3"/>
        <v>148.46700000000001</v>
      </c>
      <c r="Q8" s="989">
        <f>P8*(1+S8)</f>
        <v>150.45980463244433</v>
      </c>
      <c r="R8">
        <f>P8-K8</f>
        <v>9.5750323715982404</v>
      </c>
      <c r="S8" s="98">
        <f>(P8/K8)^(1/COUNTA(L8:P8))-1</f>
        <v>1.3422542601684739E-2</v>
      </c>
      <c r="V8" s="564" t="s">
        <v>1139</v>
      </c>
      <c r="W8" s="561">
        <f>W6</f>
        <v>19.988</v>
      </c>
      <c r="X8" s="561">
        <f>X6-X9</f>
        <v>14.295000000000016</v>
      </c>
      <c r="Y8" s="561">
        <f>Y6-Y9</f>
        <v>6.6410000000000036</v>
      </c>
      <c r="Z8" s="561">
        <f>Z6-Z9</f>
        <v>3.0609999999999937</v>
      </c>
      <c r="AA8" s="561">
        <f>AA6-AA9</f>
        <v>1.5612559672965602</v>
      </c>
      <c r="AB8" t="s">
        <v>1399</v>
      </c>
      <c r="AC8" s="483">
        <f>AD8-AD6</f>
        <v>3.0229999999999961</v>
      </c>
      <c r="AD8" s="483">
        <f>Z35</f>
        <v>160.423</v>
      </c>
    </row>
    <row r="9" spans="1:30">
      <c r="A9" t="s">
        <v>1400</v>
      </c>
      <c r="K9" t="e">
        <f>(K$3/K6)*$P6</f>
        <v>#REF!</v>
      </c>
      <c r="L9" t="e">
        <f t="shared" ref="L9:P9" si="4">(L$3/L6)*$P6</f>
        <v>#REF!</v>
      </c>
      <c r="M9" t="e">
        <f t="shared" si="4"/>
        <v>#REF!</v>
      </c>
      <c r="N9" t="e">
        <f t="shared" si="4"/>
        <v>#REF!</v>
      </c>
      <c r="O9" t="e">
        <f t="shared" si="4"/>
        <v>#REF!</v>
      </c>
      <c r="P9" t="e">
        <f t="shared" si="4"/>
        <v>#REF!</v>
      </c>
      <c r="Q9" t="e">
        <f>(Q$3/Q6)*$K6</f>
        <v>#REF!</v>
      </c>
      <c r="R9" t="e">
        <f>P9-K9</f>
        <v>#REF!</v>
      </c>
      <c r="S9" s="98" t="e">
        <f>(P9/K9)^(1/COUNTA(L9:P9))-1</f>
        <v>#REF!</v>
      </c>
      <c r="V9" s="564" t="s">
        <v>1141</v>
      </c>
      <c r="W9" s="561"/>
      <c r="X9" s="561">
        <v>2</v>
      </c>
      <c r="Y9" s="561">
        <v>2.3180000000000001</v>
      </c>
      <c r="Z9" s="561">
        <v>3.0209999999999999</v>
      </c>
      <c r="AA9" s="561">
        <v>3.1219999999999999</v>
      </c>
      <c r="AB9" t="s">
        <v>713</v>
      </c>
      <c r="AC9" s="14">
        <v>2.4009999999999998</v>
      </c>
      <c r="AD9" s="483">
        <f>AC9+AD8</f>
        <v>162.82400000000001</v>
      </c>
    </row>
    <row r="10" spans="1:30">
      <c r="S10" s="98"/>
      <c r="V10" s="564"/>
      <c r="W10" s="561"/>
      <c r="X10" s="561"/>
      <c r="Y10" s="561"/>
      <c r="Z10" s="561"/>
      <c r="AA10" s="561"/>
      <c r="AC10" s="14"/>
      <c r="AD10" s="483"/>
    </row>
    <row r="11" spans="1:30">
      <c r="V11" s="567" t="s">
        <v>1143</v>
      </c>
      <c r="W11" s="568">
        <f>-W12+W15</f>
        <v>149.846</v>
      </c>
      <c r="X11" s="568">
        <v>152.429</v>
      </c>
      <c r="Y11" s="569">
        <v>151.80000000000001</v>
      </c>
      <c r="Z11" s="569">
        <v>157.4</v>
      </c>
      <c r="AA11" s="569">
        <v>162.6</v>
      </c>
      <c r="AB11" t="s">
        <v>1401</v>
      </c>
      <c r="AC11" s="483" t="e">
        <f>AD11-AD9</f>
        <v>#REF!</v>
      </c>
      <c r="AD11" t="e">
        <f>P3+2.9</f>
        <v>#REF!</v>
      </c>
    </row>
    <row r="12" spans="1:30">
      <c r="B12" t="str">
        <f t="shared" ref="B12:H12" si="5">K1</f>
        <v>2018-19</v>
      </c>
      <c r="C12" t="str">
        <f t="shared" si="5"/>
        <v>2019-20</v>
      </c>
      <c r="D12" t="str">
        <f t="shared" si="5"/>
        <v>2020-21</v>
      </c>
      <c r="E12" t="str">
        <f t="shared" si="5"/>
        <v>2021-22</v>
      </c>
      <c r="F12" t="str">
        <f t="shared" si="5"/>
        <v>2022-23</v>
      </c>
      <c r="G12" t="str">
        <f t="shared" si="5"/>
        <v>2023-24</v>
      </c>
      <c r="H12" t="str">
        <f t="shared" si="5"/>
        <v>2024-25</v>
      </c>
      <c r="K12">
        <v>100</v>
      </c>
      <c r="L12">
        <v>103.8</v>
      </c>
      <c r="M12">
        <v>106.39499999999998</v>
      </c>
      <c r="N12">
        <v>109.69324499999998</v>
      </c>
      <c r="O12">
        <v>114.84882751499997</v>
      </c>
      <c r="P12">
        <v>120.82096654577997</v>
      </c>
      <c r="V12" s="560" t="s">
        <v>1145</v>
      </c>
      <c r="W12" s="561">
        <v>-0.373</v>
      </c>
      <c r="X12" s="561">
        <v>-1.8149999999999999</v>
      </c>
      <c r="Y12" s="561">
        <v>0.54800000000000004</v>
      </c>
      <c r="Z12" s="561"/>
      <c r="AA12" s="561"/>
      <c r="AB12" t="s">
        <v>1402</v>
      </c>
      <c r="AC12" s="483" t="e">
        <f>AD11</f>
        <v>#REF!</v>
      </c>
    </row>
    <row r="13" spans="1:30">
      <c r="A13" t="str">
        <f>A5</f>
        <v>LTP (real, 2019)</v>
      </c>
      <c r="B13">
        <f t="shared" ref="B13:H13" si="6">K5</f>
        <v>126.19732168906246</v>
      </c>
      <c r="C13">
        <f t="shared" si="6"/>
        <v>130.42147882710501</v>
      </c>
      <c r="D13">
        <f t="shared" si="6"/>
        <v>134.63479213103787</v>
      </c>
      <c r="E13">
        <f t="shared" si="6"/>
        <v>138.60079477219492</v>
      </c>
      <c r="F13">
        <f t="shared" si="6"/>
        <v>142.78506171202682</v>
      </c>
      <c r="G13">
        <f t="shared" si="6"/>
        <v>148.46700000000001</v>
      </c>
      <c r="H13">
        <f t="shared" si="6"/>
        <v>153.3719333179304</v>
      </c>
      <c r="V13" s="560" t="s">
        <v>1147</v>
      </c>
      <c r="W13" s="561"/>
      <c r="X13" s="561"/>
      <c r="Y13" s="561">
        <f>Y16-Y12-Y14</f>
        <v>2.9999999999995419E-2</v>
      </c>
      <c r="Z13" s="561"/>
      <c r="AA13" s="561"/>
    </row>
    <row r="14" spans="1:30">
      <c r="A14" t="str">
        <f>A8</f>
        <v>LTP (real, 2023)</v>
      </c>
      <c r="B14">
        <f t="shared" ref="B14:H15" si="7">K8</f>
        <v>138.89196762840177</v>
      </c>
      <c r="C14">
        <f t="shared" si="7"/>
        <v>143.03129343274227</v>
      </c>
      <c r="D14">
        <f t="shared" si="7"/>
        <v>142.61965562881707</v>
      </c>
      <c r="E14">
        <f t="shared" si="7"/>
        <v>150.83892002043478</v>
      </c>
      <c r="F14">
        <f t="shared" si="7"/>
        <v>148.52752517430488</v>
      </c>
      <c r="G14">
        <f t="shared" si="7"/>
        <v>148.46700000000001</v>
      </c>
      <c r="H14">
        <f t="shared" si="7"/>
        <v>150.45980463244433</v>
      </c>
      <c r="K14">
        <f t="shared" ref="K14:P14" si="8">K5</f>
        <v>126.19732168906246</v>
      </c>
      <c r="L14">
        <f t="shared" si="8"/>
        <v>130.42147882710501</v>
      </c>
      <c r="M14">
        <f t="shared" si="8"/>
        <v>134.63479213103787</v>
      </c>
      <c r="N14">
        <f t="shared" si="8"/>
        <v>138.60079477219492</v>
      </c>
      <c r="O14">
        <f t="shared" si="8"/>
        <v>142.78506171202682</v>
      </c>
      <c r="P14">
        <f t="shared" si="8"/>
        <v>148.46700000000001</v>
      </c>
      <c r="Q14">
        <f>P14-K14</f>
        <v>22.26967831093755</v>
      </c>
      <c r="V14" s="560" t="s">
        <v>1148</v>
      </c>
      <c r="W14" s="561"/>
      <c r="X14" s="561"/>
      <c r="Y14" s="561">
        <v>0.17699999999999999</v>
      </c>
      <c r="Z14" s="561"/>
      <c r="AA14" s="561"/>
    </row>
    <row r="15" spans="1:30" ht="15" thickBot="1">
      <c r="A15" t="str">
        <f>A9</f>
        <v>Actual (real, 2023)</v>
      </c>
      <c r="B15" t="e">
        <f t="shared" si="7"/>
        <v>#REF!</v>
      </c>
      <c r="C15" t="e">
        <f t="shared" si="7"/>
        <v>#REF!</v>
      </c>
      <c r="D15" t="e">
        <f t="shared" si="7"/>
        <v>#REF!</v>
      </c>
      <c r="E15" t="e">
        <f t="shared" si="7"/>
        <v>#REF!</v>
      </c>
      <c r="F15" t="e">
        <f t="shared" si="7"/>
        <v>#REF!</v>
      </c>
      <c r="G15" t="e">
        <f t="shared" si="7"/>
        <v>#REF!</v>
      </c>
      <c r="H15" t="e">
        <f t="shared" si="7"/>
        <v>#REF!</v>
      </c>
      <c r="K15" t="e">
        <f t="shared" ref="K15:P15" si="9">(K3/K12)*$K12</f>
        <v>#REF!</v>
      </c>
      <c r="L15" t="e">
        <f t="shared" si="9"/>
        <v>#REF!</v>
      </c>
      <c r="M15" t="e">
        <f t="shared" si="9"/>
        <v>#REF!</v>
      </c>
      <c r="N15" t="e">
        <f t="shared" si="9"/>
        <v>#REF!</v>
      </c>
      <c r="O15" t="e">
        <f t="shared" si="9"/>
        <v>#REF!</v>
      </c>
      <c r="P15" t="e">
        <f t="shared" si="9"/>
        <v>#REF!</v>
      </c>
      <c r="Q15" t="e">
        <f>P15-K15</f>
        <v>#REF!</v>
      </c>
      <c r="V15" s="572" t="s">
        <v>1149</v>
      </c>
      <c r="W15" s="573">
        <v>149.47300000000001</v>
      </c>
      <c r="X15" s="573">
        <v>150.614</v>
      </c>
      <c r="Y15" s="573">
        <v>152.55500000000001</v>
      </c>
      <c r="Z15" s="573">
        <v>157.40299999999999</v>
      </c>
      <c r="AA15" s="573">
        <v>162.64099999999999</v>
      </c>
    </row>
    <row r="16" spans="1:30" ht="15" thickTop="1">
      <c r="V16" s="574" t="s">
        <v>1151</v>
      </c>
      <c r="W16" s="575">
        <f>W15-W11</f>
        <v>-0.37299999999999045</v>
      </c>
      <c r="X16" s="575">
        <f>X15-X11</f>
        <v>-1.8149999999999977</v>
      </c>
      <c r="Y16" s="575">
        <f>Y15-Y11</f>
        <v>0.75499999999999545</v>
      </c>
      <c r="Z16" s="575">
        <f>Z15-Z11</f>
        <v>2.9999999999859028E-3</v>
      </c>
      <c r="AA16" s="575">
        <f>AA15-AA11</f>
        <v>4.0999999999996817E-2</v>
      </c>
    </row>
    <row r="17" spans="1:27">
      <c r="B17" t="s">
        <v>1395</v>
      </c>
      <c r="C17" t="s">
        <v>1398</v>
      </c>
      <c r="D17" t="s">
        <v>1400</v>
      </c>
      <c r="W17" s="562"/>
      <c r="X17" s="562"/>
      <c r="Y17" s="562"/>
      <c r="Z17" s="562"/>
      <c r="AA17" s="562"/>
    </row>
    <row r="18" spans="1:27">
      <c r="A18" t="s">
        <v>168</v>
      </c>
      <c r="B18">
        <v>114.60299999999999</v>
      </c>
      <c r="C18">
        <v>114.60299999999998</v>
      </c>
      <c r="D18">
        <v>114.5</v>
      </c>
      <c r="K18">
        <v>114.5</v>
      </c>
      <c r="L18">
        <v>114.5</v>
      </c>
      <c r="V18" s="136" t="s">
        <v>1152</v>
      </c>
      <c r="W18" s="576">
        <f>SUM(W11:W14)-W15</f>
        <v>0</v>
      </c>
      <c r="X18" s="576">
        <f>SUM(X11:X14)-X15</f>
        <v>0</v>
      </c>
      <c r="Y18" s="576">
        <f>SUM(Y11:Y14)-Y15</f>
        <v>0</v>
      </c>
      <c r="Z18" s="576">
        <f>SUM(Z11:Z14)-Z15</f>
        <v>-2.9999999999859028E-3</v>
      </c>
      <c r="AA18" s="576">
        <f>SUM(AA11:AA14)-AA15</f>
        <v>-4.0999999999996817E-2</v>
      </c>
    </row>
    <row r="19" spans="1:27">
      <c r="A19" t="s">
        <v>169</v>
      </c>
      <c r="B19">
        <v>118.43906461699609</v>
      </c>
      <c r="C19">
        <v>118.02057716256026</v>
      </c>
      <c r="D19">
        <v>117.74605844938404</v>
      </c>
      <c r="K19">
        <v>116.11368015414259</v>
      </c>
      <c r="L19">
        <v>116.11368015414259</v>
      </c>
      <c r="W19" s="562"/>
      <c r="X19" s="562"/>
      <c r="Y19" s="562"/>
      <c r="Z19" s="562"/>
      <c r="AA19" s="562"/>
    </row>
    <row r="20" spans="1:27">
      <c r="A20" t="s">
        <v>170</v>
      </c>
      <c r="B20">
        <v>122.26528167222277</v>
      </c>
      <c r="C20">
        <v>117.66978576893652</v>
      </c>
      <c r="D20">
        <v>135.84459650715746</v>
      </c>
      <c r="K20">
        <v>137.81098735842852</v>
      </c>
      <c r="L20">
        <v>137.81098735842852</v>
      </c>
    </row>
    <row r="21" spans="1:27" ht="15" thickBot="1">
      <c r="A21" t="s">
        <v>171</v>
      </c>
      <c r="B21">
        <v>125.86690961963993</v>
      </c>
      <c r="C21">
        <v>124.47775134944847</v>
      </c>
      <c r="D21">
        <v>138.0011402252992</v>
      </c>
      <c r="K21">
        <v>134.70565120030864</v>
      </c>
      <c r="L21">
        <v>134.70565120030864</v>
      </c>
      <c r="V21" s="548" t="s">
        <v>1153</v>
      </c>
      <c r="W21" s="553" t="s">
        <v>170</v>
      </c>
      <c r="X21" s="553" t="s">
        <v>171</v>
      </c>
      <c r="Y21" s="553" t="s">
        <v>172</v>
      </c>
      <c r="Z21" s="553" t="s">
        <v>173</v>
      </c>
      <c r="AA21" s="553" t="s">
        <v>174</v>
      </c>
    </row>
    <row r="22" spans="1:27" ht="15" thickTop="1">
      <c r="A22" t="s">
        <v>172</v>
      </c>
      <c r="B22">
        <v>129.66674893229245</v>
      </c>
      <c r="C22">
        <v>122.55984510000002</v>
      </c>
      <c r="D22">
        <v>136.28752830000002</v>
      </c>
      <c r="K22">
        <v>135.54339505962179</v>
      </c>
      <c r="L22">
        <v>135.54339505962179</v>
      </c>
      <c r="V22" s="1728" t="s">
        <v>1154</v>
      </c>
      <c r="W22" s="1729">
        <v>149.47300000000001</v>
      </c>
      <c r="X22" s="1729">
        <v>150.614</v>
      </c>
      <c r="Y22" s="1730">
        <v>152.595</v>
      </c>
      <c r="Z22" s="1729">
        <v>157.40299999999999</v>
      </c>
      <c r="AA22" s="1729">
        <v>162.64099999999999</v>
      </c>
    </row>
    <row r="23" spans="1:27">
      <c r="A23" t="s">
        <v>173</v>
      </c>
      <c r="B23">
        <v>134.82666171729593</v>
      </c>
      <c r="C23">
        <v>126.78061303793451</v>
      </c>
      <c r="D23">
        <v>137.7032478414142</v>
      </c>
      <c r="E23">
        <f>B23</f>
        <v>134.82666171729593</v>
      </c>
      <c r="F23">
        <f t="shared" ref="F23:G23" si="10">C23</f>
        <v>126.78061303793451</v>
      </c>
      <c r="G23">
        <f t="shared" si="10"/>
        <v>137.7032478414142</v>
      </c>
      <c r="K23">
        <v>133.46855650165497</v>
      </c>
      <c r="L23">
        <v>137.02009240033041</v>
      </c>
      <c r="M23">
        <f>L23-B23</f>
        <v>2.1934306830344781</v>
      </c>
      <c r="V23" s="560" t="s">
        <v>1155</v>
      </c>
      <c r="W23" s="561">
        <f>W24-W22</f>
        <v>-1.5100000000000193</v>
      </c>
      <c r="X23" s="561">
        <f t="shared" ref="X23:Z23" si="11">X24-X22</f>
        <v>-2.9639999999999986</v>
      </c>
      <c r="Y23" s="561">
        <f t="shared" si="11"/>
        <v>-1.0949999999999989</v>
      </c>
      <c r="Z23" s="561">
        <f t="shared" si="11"/>
        <v>0</v>
      </c>
      <c r="AA23" s="561">
        <f>AA24-AA22</f>
        <v>0</v>
      </c>
    </row>
    <row r="24" spans="1:27" ht="15" thickBot="1">
      <c r="A24" t="s">
        <v>174</v>
      </c>
      <c r="E24">
        <v>139.28095651144207</v>
      </c>
      <c r="F24">
        <v>129.36721226562881</v>
      </c>
      <c r="G24">
        <v>137.03153582278432</v>
      </c>
      <c r="V24" s="577" t="s">
        <v>1156</v>
      </c>
      <c r="W24" s="578">
        <v>147.96299999999999</v>
      </c>
      <c r="X24" s="578">
        <v>147.65</v>
      </c>
      <c r="Y24" s="578">
        <v>151.5</v>
      </c>
      <c r="Z24" s="578">
        <v>157.40299999999999</v>
      </c>
      <c r="AA24" s="578">
        <v>162.64099999999999</v>
      </c>
    </row>
    <row r="25" spans="1:27" ht="15" thickTop="1">
      <c r="V25" s="136" t="s">
        <v>1157</v>
      </c>
      <c r="W25" s="76"/>
      <c r="X25" s="579">
        <f>X144</f>
        <v>0</v>
      </c>
      <c r="Y25" s="579">
        <f>Y144</f>
        <v>0</v>
      </c>
      <c r="Z25" s="579">
        <f>Z144</f>
        <v>0</v>
      </c>
      <c r="AA25" s="579">
        <f>AA144</f>
        <v>0</v>
      </c>
    </row>
    <row r="26" spans="1:27">
      <c r="V26" s="1805" t="s">
        <v>1158</v>
      </c>
      <c r="W26" s="1805"/>
      <c r="X26" s="1805"/>
      <c r="Y26" s="1805"/>
      <c r="Z26" s="1805"/>
      <c r="AA26" s="1805"/>
    </row>
    <row r="27" spans="1:27">
      <c r="V27" s="1805"/>
      <c r="W27" s="1805"/>
      <c r="X27" s="1805"/>
      <c r="Y27" s="1805"/>
      <c r="Z27" s="1805"/>
      <c r="AA27" s="1805"/>
    </row>
    <row r="28" spans="1:27">
      <c r="W28" s="562"/>
      <c r="X28" s="583"/>
      <c r="Y28" s="562"/>
      <c r="Z28" s="562"/>
      <c r="AA28" s="562"/>
    </row>
    <row r="30" spans="1:27" ht="15" thickBot="1">
      <c r="V30" s="548" t="s">
        <v>1163</v>
      </c>
      <c r="W30" s="553" t="s">
        <v>170</v>
      </c>
      <c r="X30" s="553" t="s">
        <v>171</v>
      </c>
      <c r="Y30" s="553" t="s">
        <v>172</v>
      </c>
      <c r="Z30" s="553" t="s">
        <v>173</v>
      </c>
      <c r="AA30" s="553" t="s">
        <v>174</v>
      </c>
    </row>
    <row r="31" spans="1:27" ht="15" thickTop="1">
      <c r="V31" s="555" t="s">
        <v>1165</v>
      </c>
      <c r="W31" s="560"/>
      <c r="X31" s="626">
        <f>X22</f>
        <v>150.614</v>
      </c>
      <c r="Y31" s="626">
        <f>Y22</f>
        <v>152.595</v>
      </c>
      <c r="Z31" s="626">
        <f>Z22</f>
        <v>157.40299999999999</v>
      </c>
      <c r="AA31" s="626">
        <f>AA22</f>
        <v>162.64099999999999</v>
      </c>
    </row>
    <row r="32" spans="1:27">
      <c r="V32" s="560" t="s">
        <v>1166</v>
      </c>
      <c r="W32" s="560"/>
      <c r="X32" s="560"/>
      <c r="Y32" s="560"/>
      <c r="Z32" s="560">
        <v>-0.57999999999999996</v>
      </c>
      <c r="AA32" s="560">
        <v>-0.59</v>
      </c>
    </row>
    <row r="33" spans="22:27">
      <c r="V33" s="560" t="s">
        <v>1167</v>
      </c>
      <c r="W33" s="560"/>
      <c r="X33" s="560"/>
      <c r="Y33" s="560"/>
      <c r="Z33" s="560">
        <v>3.3</v>
      </c>
      <c r="AA33" s="560">
        <v>3.3</v>
      </c>
    </row>
    <row r="34" spans="22:27">
      <c r="V34" s="560" t="s">
        <v>1169</v>
      </c>
      <c r="W34" s="560"/>
      <c r="X34" s="560"/>
      <c r="Y34" s="560"/>
      <c r="Z34" s="560">
        <v>0.3</v>
      </c>
      <c r="AA34" s="560">
        <v>0.5</v>
      </c>
    </row>
    <row r="35" spans="22:27">
      <c r="V35" s="555" t="s">
        <v>1172</v>
      </c>
      <c r="W35" s="555"/>
      <c r="X35" s="626">
        <f>SUM(X31:X34)</f>
        <v>150.614</v>
      </c>
      <c r="Y35" s="626">
        <f t="shared" ref="Y35:AA35" si="12">SUM(Y31:Y34)</f>
        <v>152.595</v>
      </c>
      <c r="Z35" s="626">
        <f t="shared" si="12"/>
        <v>160.423</v>
      </c>
      <c r="AA35" s="626">
        <f t="shared" si="12"/>
        <v>165.851</v>
      </c>
    </row>
    <row r="36" spans="22:27" ht="15" thickBot="1">
      <c r="V36" s="624" t="s">
        <v>690</v>
      </c>
      <c r="W36" s="624"/>
      <c r="X36" s="624"/>
      <c r="Y36" s="625">
        <f>Y35-'Comparison across fiscal events'!AA10</f>
        <v>152.595</v>
      </c>
      <c r="Z36" s="625">
        <f>Z35-'Comparison across fiscal events'!AB10</f>
        <v>160.423</v>
      </c>
      <c r="AA36" s="625">
        <f>AA35-'Comparison across fiscal events'!AC10</f>
        <v>165.851</v>
      </c>
    </row>
    <row r="37" spans="22:27" ht="15" thickTop="1"/>
    <row r="38" spans="22:27">
      <c r="V38" s="627" t="s">
        <v>1173</v>
      </c>
      <c r="W38" s="627"/>
      <c r="X38" s="628">
        <v>-2.964</v>
      </c>
      <c r="Y38" s="628">
        <v>-1.095</v>
      </c>
      <c r="Z38" s="627"/>
      <c r="AA38" s="627"/>
    </row>
    <row r="39" spans="22:27">
      <c r="V39" s="629" t="s">
        <v>1174</v>
      </c>
      <c r="W39" s="629"/>
      <c r="X39" s="630">
        <f>X35+X38</f>
        <v>147.65</v>
      </c>
      <c r="Y39" s="630">
        <f t="shared" ref="Y39:AA39" si="13">Y35+Y38</f>
        <v>151.5</v>
      </c>
      <c r="Z39" s="630">
        <f t="shared" si="13"/>
        <v>160.423</v>
      </c>
      <c r="AA39" s="630">
        <f t="shared" si="13"/>
        <v>165.851</v>
      </c>
    </row>
    <row r="40" spans="22:27">
      <c r="V40" s="627" t="s">
        <v>1175</v>
      </c>
      <c r="W40" s="627"/>
      <c r="X40" s="631" t="e">
        <f>X39/'DHSC NHS Budgets'!AH50*'DHSC NHS Budgets'!$O$52</f>
        <v>#DIV/0!</v>
      </c>
      <c r="Y40" s="631" t="e">
        <f>Y39/'DHSC NHS Budgets'!AI50*'DHSC NHS Budgets'!$O$52</f>
        <v>#DIV/0!</v>
      </c>
      <c r="Z40" s="631" t="e">
        <f>Z39/'DHSC NHS Budgets'!AJ50*'DHSC NHS Budgets'!$O$52</f>
        <v>#DIV/0!</v>
      </c>
      <c r="AA40" s="631" t="e">
        <f>AA39/'DHSC NHS Budgets'!AK50*'DHSC NHS Budgets'!$O$52</f>
        <v>#DIV/0!</v>
      </c>
    </row>
    <row r="41" spans="22:27" ht="15" thickBot="1">
      <c r="V41" s="632" t="s">
        <v>1176</v>
      </c>
      <c r="W41" s="632"/>
      <c r="X41" s="632"/>
      <c r="Y41" s="633" t="e">
        <f>Y40/X40-1</f>
        <v>#DIV/0!</v>
      </c>
      <c r="Z41" s="633" t="e">
        <f t="shared" ref="Z41:AA41" si="14">Z40/Y40-1</f>
        <v>#DIV/0!</v>
      </c>
      <c r="AA41" s="633" t="e">
        <f t="shared" si="14"/>
        <v>#DIV/0!</v>
      </c>
    </row>
    <row r="42" spans="22:27" ht="15" thickTop="1"/>
    <row r="43" spans="22:27">
      <c r="X43" s="481" t="s">
        <v>1177</v>
      </c>
    </row>
    <row r="48" spans="22:27">
      <c r="V48" s="586" t="s">
        <v>1179</v>
      </c>
      <c r="W48" s="562"/>
      <c r="X48" s="562" t="s">
        <v>171</v>
      </c>
      <c r="Y48" s="562" t="s">
        <v>172</v>
      </c>
      <c r="Z48" s="562" t="s">
        <v>173</v>
      </c>
      <c r="AA48" s="562" t="s">
        <v>174</v>
      </c>
    </row>
    <row r="49" spans="22:27">
      <c r="V49" s="1728" t="s">
        <v>655</v>
      </c>
      <c r="W49" s="1729">
        <v>143.36699999999999</v>
      </c>
      <c r="X49" s="1729">
        <v>149.40299999999999</v>
      </c>
      <c r="Y49" s="1729">
        <v>152.595</v>
      </c>
      <c r="Z49" s="1729">
        <v>157.40299999999999</v>
      </c>
      <c r="AA49" s="1729">
        <v>162.64099999999999</v>
      </c>
    </row>
    <row r="50" spans="22:27" ht="15" thickBot="1">
      <c r="V50" s="587" t="s">
        <v>1180</v>
      </c>
      <c r="W50" s="588">
        <f>W49-W15</f>
        <v>-6.106000000000023</v>
      </c>
      <c r="X50" s="588">
        <f>X49-X15</f>
        <v>-1.2110000000000127</v>
      </c>
      <c r="Y50" s="588">
        <f>Y49-Y15</f>
        <v>3.9999999999992042E-2</v>
      </c>
      <c r="Z50" s="588">
        <f>Z49-Z15</f>
        <v>0</v>
      </c>
      <c r="AA50" s="588">
        <f>AA49-AA15</f>
        <v>0</v>
      </c>
    </row>
    <row r="51" spans="22:27" ht="15" thickTop="1"/>
  </sheetData>
  <mergeCells count="1">
    <mergeCell ref="V26:AA27"/>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B7B04-F26C-47C3-A194-B47F9F15D083}">
  <sheetPr>
    <tabColor theme="4"/>
  </sheetPr>
  <dimension ref="A1"/>
  <sheetViews>
    <sheetView workbookViewId="0">
      <selection activeCell="H36" sqref="H36"/>
    </sheetView>
  </sheetViews>
  <sheetFormatPr defaultRowHeight="14.5"/>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04858-1CB9-4D28-95BC-C33C0410A9F4}">
  <dimension ref="A1:AR142"/>
  <sheetViews>
    <sheetView zoomScale="40" zoomScaleNormal="40" workbookViewId="0">
      <selection activeCell="R100" sqref="R100"/>
    </sheetView>
  </sheetViews>
  <sheetFormatPr defaultColWidth="8.81640625" defaultRowHeight="12.5"/>
  <cols>
    <col min="1" max="1" width="23.54296875" style="41" customWidth="1"/>
    <col min="2" max="2" width="11.1796875" style="41" customWidth="1"/>
    <col min="3" max="3" width="11.54296875" style="295" customWidth="1"/>
    <col min="4" max="4" width="11.54296875" style="296" customWidth="1"/>
    <col min="5" max="8" width="11.54296875" style="41" customWidth="1"/>
    <col min="9" max="9" width="12.54296875" style="41" customWidth="1"/>
    <col min="10" max="16" width="11.54296875" style="41" customWidth="1"/>
    <col min="17" max="17" width="12.81640625" style="41" customWidth="1"/>
    <col min="18" max="18" width="11.54296875" style="41" customWidth="1"/>
    <col min="19" max="19" width="12.453125" style="41" bestFit="1" customWidth="1"/>
    <col min="20" max="20" width="13.54296875" style="41" bestFit="1" customWidth="1"/>
    <col min="21" max="21" width="21.54296875" style="41" bestFit="1" customWidth="1"/>
    <col min="22" max="23" width="24.1796875" style="41" bestFit="1" customWidth="1"/>
    <col min="24" max="24" width="30.54296875" style="41" customWidth="1"/>
    <col min="25" max="16384" width="8.81640625" style="41"/>
  </cols>
  <sheetData>
    <row r="1" spans="1:44" s="40" customFormat="1" ht="16" thickBot="1">
      <c r="A1" s="1005" t="s">
        <v>598</v>
      </c>
      <c r="B1" s="749"/>
      <c r="C1" s="749"/>
      <c r="D1" s="749"/>
      <c r="E1" s="749"/>
      <c r="F1" s="749"/>
      <c r="G1" s="749"/>
      <c r="H1" s="749"/>
      <c r="I1" s="750"/>
      <c r="J1" s="751"/>
      <c r="K1" s="752"/>
      <c r="L1" s="752"/>
      <c r="M1" s="752"/>
      <c r="N1" s="752"/>
      <c r="O1" s="753"/>
      <c r="P1" s="753"/>
      <c r="Q1"/>
      <c r="R1"/>
      <c r="S1"/>
      <c r="T1"/>
      <c r="U1"/>
      <c r="V1"/>
      <c r="W1"/>
      <c r="X1"/>
      <c r="Y1"/>
      <c r="Z1"/>
      <c r="AA1" s="438"/>
      <c r="AB1" s="438"/>
      <c r="AC1" s="438"/>
      <c r="AD1" s="438"/>
      <c r="AE1" s="438"/>
      <c r="AF1" s="438"/>
      <c r="AG1" s="438"/>
      <c r="AH1" s="438"/>
      <c r="AI1" s="438"/>
      <c r="AJ1" s="438"/>
      <c r="AK1" s="438"/>
      <c r="AL1" s="438"/>
      <c r="AM1" s="438"/>
      <c r="AN1" s="438"/>
      <c r="AO1" s="438"/>
      <c r="AP1" s="438"/>
      <c r="AQ1" s="438"/>
      <c r="AR1" s="438"/>
    </row>
    <row r="2" spans="1:44" s="40" customFormat="1" ht="19" thickBot="1">
      <c r="A2" s="756"/>
      <c r="B2" s="1818" t="s">
        <v>1403</v>
      </c>
      <c r="C2" s="1819"/>
      <c r="D2" s="1819"/>
      <c r="E2" s="1819"/>
      <c r="F2" s="1819"/>
      <c r="G2" s="1819"/>
      <c r="H2" s="1819"/>
      <c r="I2" s="1819"/>
      <c r="J2" s="1819"/>
      <c r="K2" s="1819"/>
      <c r="L2" s="1819"/>
      <c r="M2" s="1819"/>
      <c r="N2" s="1819"/>
      <c r="O2" s="1819"/>
      <c r="P2" s="1820"/>
      <c r="Q2"/>
      <c r="R2"/>
      <c r="S2"/>
      <c r="T2"/>
      <c r="U2"/>
      <c r="V2"/>
      <c r="W2"/>
      <c r="X2"/>
      <c r="Y2"/>
      <c r="Z2"/>
      <c r="AA2" s="438"/>
      <c r="AB2" s="438"/>
      <c r="AC2" s="438"/>
      <c r="AD2" s="438"/>
      <c r="AE2" s="438"/>
      <c r="AF2" s="438"/>
      <c r="AG2" s="438"/>
      <c r="AH2" s="438"/>
      <c r="AI2" s="438"/>
      <c r="AJ2" s="438"/>
      <c r="AK2" s="438"/>
      <c r="AL2" s="438"/>
      <c r="AM2" s="438"/>
      <c r="AN2" s="438"/>
      <c r="AO2" s="438"/>
      <c r="AP2" s="438"/>
      <c r="AQ2" s="438"/>
      <c r="AR2" s="438"/>
    </row>
    <row r="3" spans="1:44" ht="15.5">
      <c r="A3" s="756"/>
      <c r="B3" s="757"/>
      <c r="C3" s="1821" t="s">
        <v>1404</v>
      </c>
      <c r="D3" s="1821"/>
      <c r="E3" s="1821"/>
      <c r="F3" s="1821"/>
      <c r="G3" s="1821"/>
      <c r="H3" s="1821"/>
      <c r="I3" s="1822"/>
      <c r="J3" s="758" t="s">
        <v>1405</v>
      </c>
      <c r="K3" s="758" t="s">
        <v>1405</v>
      </c>
      <c r="L3" s="758" t="s">
        <v>1406</v>
      </c>
      <c r="M3" s="758" t="s">
        <v>1405</v>
      </c>
      <c r="N3" s="758" t="s">
        <v>1407</v>
      </c>
      <c r="O3" s="758" t="s">
        <v>1408</v>
      </c>
      <c r="P3" s="759" t="s">
        <v>1408</v>
      </c>
      <c r="Q3"/>
      <c r="R3"/>
      <c r="S3"/>
      <c r="T3"/>
      <c r="U3"/>
      <c r="V3"/>
      <c r="W3"/>
      <c r="X3"/>
      <c r="Y3"/>
      <c r="Z3"/>
      <c r="AA3" s="438"/>
      <c r="AB3" s="438"/>
      <c r="AC3" s="438"/>
      <c r="AD3" s="438"/>
      <c r="AE3" s="438"/>
      <c r="AF3" s="438"/>
      <c r="AG3" s="438"/>
      <c r="AH3" s="438"/>
      <c r="AI3" s="438"/>
      <c r="AJ3" s="438"/>
      <c r="AK3" s="438"/>
      <c r="AL3" s="438"/>
      <c r="AM3" s="438"/>
      <c r="AN3" s="438"/>
      <c r="AO3" s="438"/>
      <c r="AP3" s="438"/>
      <c r="AQ3" s="438"/>
      <c r="AR3" s="438"/>
    </row>
    <row r="4" spans="1:44" ht="47" thickBot="1">
      <c r="A4" s="756"/>
      <c r="B4" s="757"/>
      <c r="C4" s="1740" t="s">
        <v>1409</v>
      </c>
      <c r="D4" s="1740" t="s">
        <v>1410</v>
      </c>
      <c r="E4" s="1740" t="s">
        <v>1411</v>
      </c>
      <c r="F4" s="760" t="s">
        <v>1412</v>
      </c>
      <c r="G4" s="760" t="s">
        <v>1413</v>
      </c>
      <c r="H4" s="761" t="s">
        <v>1414</v>
      </c>
      <c r="I4" s="762" t="s">
        <v>226</v>
      </c>
      <c r="J4" s="763" t="s">
        <v>1409</v>
      </c>
      <c r="K4" s="763" t="s">
        <v>1410</v>
      </c>
      <c r="L4" s="763" t="s">
        <v>1411</v>
      </c>
      <c r="M4" s="760" t="s">
        <v>1412</v>
      </c>
      <c r="N4" s="760" t="s">
        <v>1413</v>
      </c>
      <c r="O4" s="763" t="s">
        <v>1414</v>
      </c>
      <c r="P4" s="764" t="s">
        <v>226</v>
      </c>
      <c r="Q4"/>
      <c r="R4"/>
      <c r="S4"/>
      <c r="T4"/>
      <c r="U4"/>
      <c r="V4"/>
      <c r="W4"/>
      <c r="X4"/>
      <c r="Y4"/>
      <c r="Z4"/>
      <c r="AA4" s="438"/>
      <c r="AB4" s="438"/>
      <c r="AC4" s="438"/>
      <c r="AD4" s="438"/>
      <c r="AE4" s="438"/>
      <c r="AF4" s="438"/>
      <c r="AG4" s="438"/>
      <c r="AH4" s="438"/>
      <c r="AI4" s="438"/>
      <c r="AJ4" s="438"/>
      <c r="AK4" s="438"/>
      <c r="AL4" s="438"/>
      <c r="AM4" s="438"/>
      <c r="AN4" s="438"/>
      <c r="AO4" s="438"/>
      <c r="AP4" s="438"/>
      <c r="AQ4" s="438"/>
      <c r="AR4" s="438"/>
    </row>
    <row r="5" spans="1:44" ht="16" thickBot="1">
      <c r="A5" s="756"/>
      <c r="B5" s="765" t="s">
        <v>1415</v>
      </c>
      <c r="C5" s="766">
        <v>3.9901477832512189</v>
      </c>
      <c r="D5" s="766">
        <v>3.4989874029099477</v>
      </c>
      <c r="E5" s="766">
        <v>2.3757201646090742</v>
      </c>
      <c r="F5" s="766">
        <v>11.749539594843462</v>
      </c>
      <c r="G5" s="1006">
        <v>3.2925821906492514</v>
      </c>
      <c r="H5" s="766">
        <v>3.8234596884948902</v>
      </c>
      <c r="I5" s="768">
        <v>2.9150803924467894</v>
      </c>
      <c r="J5" s="766">
        <v>211.1</v>
      </c>
      <c r="K5" s="766">
        <v>204.1</v>
      </c>
      <c r="L5" s="766">
        <v>82.924333333333351</v>
      </c>
      <c r="M5" s="766">
        <v>404.5333333333333</v>
      </c>
      <c r="N5" s="1007">
        <v>83.36399999999999</v>
      </c>
      <c r="O5" s="766">
        <v>82.906421208423126</v>
      </c>
      <c r="P5" s="768">
        <v>81.2</v>
      </c>
      <c r="Q5"/>
      <c r="R5" s="769"/>
      <c r="S5"/>
      <c r="T5"/>
      <c r="U5"/>
      <c r="V5"/>
      <c r="W5"/>
      <c r="X5"/>
      <c r="Y5"/>
      <c r="Z5"/>
      <c r="AA5" s="438"/>
      <c r="AB5" s="438"/>
      <c r="AC5" s="438"/>
      <c r="AD5" s="438"/>
      <c r="AE5" s="438"/>
      <c r="AF5" s="438"/>
      <c r="AG5" s="438"/>
      <c r="AH5" s="438"/>
      <c r="AI5" s="438"/>
      <c r="AJ5" s="438"/>
      <c r="AK5" s="438"/>
      <c r="AL5" s="438"/>
      <c r="AM5" s="438"/>
      <c r="AN5" s="438"/>
      <c r="AO5" s="438"/>
      <c r="AP5" s="438"/>
      <c r="AQ5" s="438"/>
      <c r="AR5" s="438"/>
    </row>
    <row r="6" spans="1:44" s="40" customFormat="1" ht="16" thickBot="1">
      <c r="A6" s="756"/>
      <c r="B6" s="770" t="s">
        <v>1416</v>
      </c>
      <c r="C6" s="766">
        <v>4.3625772249670014</v>
      </c>
      <c r="D6" s="766">
        <v>4.3833333333333169</v>
      </c>
      <c r="E6" s="766">
        <v>3.4197190430488744</v>
      </c>
      <c r="F6" s="766">
        <v>4.1721812714559769</v>
      </c>
      <c r="G6" s="767">
        <v>3.4293759333330787</v>
      </c>
      <c r="H6" s="766">
        <v>3.7523474245336974</v>
      </c>
      <c r="I6" s="768">
        <v>2.490656129804969</v>
      </c>
      <c r="J6" s="766">
        <v>215.30000000000004</v>
      </c>
      <c r="K6" s="766">
        <v>208.76666666666665</v>
      </c>
      <c r="L6" s="766">
        <v>84.597333333333339</v>
      </c>
      <c r="M6" s="766">
        <v>393.66666666666674</v>
      </c>
      <c r="N6" s="766">
        <v>84.728999999999999</v>
      </c>
      <c r="O6" s="766">
        <v>84.12021254934416</v>
      </c>
      <c r="P6" s="768">
        <v>82.3</v>
      </c>
      <c r="Q6" s="771"/>
      <c r="R6" s="771"/>
      <c r="S6"/>
      <c r="T6" s="771"/>
      <c r="U6" s="771"/>
      <c r="V6" s="771"/>
      <c r="W6" s="771"/>
      <c r="X6" s="771"/>
      <c r="Y6" s="436"/>
      <c r="Z6" s="436"/>
      <c r="AA6" s="438"/>
      <c r="AB6" s="438"/>
      <c r="AC6" s="438"/>
      <c r="AD6" s="438"/>
      <c r="AE6" s="438"/>
      <c r="AF6" s="438"/>
      <c r="AG6" s="438"/>
      <c r="AH6" s="438"/>
      <c r="AI6" s="438"/>
      <c r="AJ6" s="438"/>
      <c r="AK6" s="438"/>
      <c r="AL6" s="438"/>
      <c r="AM6" s="438"/>
      <c r="AN6" s="438"/>
      <c r="AO6" s="438"/>
      <c r="AP6" s="438"/>
      <c r="AQ6" s="438"/>
      <c r="AR6" s="438"/>
    </row>
    <row r="7" spans="1:44" s="42" customFormat="1" ht="51" customHeight="1" thickBot="1">
      <c r="A7" s="756"/>
      <c r="B7" s="770" t="s">
        <v>1417</v>
      </c>
      <c r="C7" s="766">
        <v>4.957344403949171</v>
      </c>
      <c r="D7" s="766">
        <v>5.3473231234930862</v>
      </c>
      <c r="E7" s="766">
        <v>4.8388452053377939</v>
      </c>
      <c r="F7" s="766">
        <v>-1.6894409937888266</v>
      </c>
      <c r="G7" s="767">
        <v>3.0344883288910385</v>
      </c>
      <c r="H7" s="766">
        <v>4.8571346189522524</v>
      </c>
      <c r="I7" s="768">
        <v>3.7359860949301771</v>
      </c>
      <c r="J7" s="766">
        <v>217.36666666666667</v>
      </c>
      <c r="K7" s="766">
        <v>210.80000000000004</v>
      </c>
      <c r="L7" s="766">
        <v>85.653333333333322</v>
      </c>
      <c r="M7" s="766">
        <v>395.7</v>
      </c>
      <c r="N7" s="766">
        <v>85.044666666666672</v>
      </c>
      <c r="O7" s="766">
        <v>85.377445074474451</v>
      </c>
      <c r="P7" s="768">
        <v>83.3</v>
      </c>
      <c r="Q7" s="771"/>
      <c r="R7" s="771"/>
      <c r="S7"/>
      <c r="T7" s="771"/>
      <c r="U7" s="771"/>
      <c r="V7"/>
      <c r="W7"/>
      <c r="X7"/>
      <c r="Y7"/>
      <c r="Z7"/>
      <c r="AA7" s="438"/>
      <c r="AB7" s="438"/>
      <c r="AC7" s="438"/>
      <c r="AD7" s="438"/>
      <c r="AE7" s="438"/>
      <c r="AF7" s="438"/>
      <c r="AG7" s="438"/>
      <c r="AH7" s="438"/>
      <c r="AI7" s="438"/>
      <c r="AJ7" s="438"/>
      <c r="AK7" s="438"/>
      <c r="AL7" s="438"/>
      <c r="AM7" s="438"/>
      <c r="AN7" s="438"/>
      <c r="AO7" s="438"/>
      <c r="AP7" s="438"/>
      <c r="AQ7" s="438"/>
      <c r="AR7" s="438"/>
    </row>
    <row r="8" spans="1:44" ht="15" customHeight="1" thickBot="1">
      <c r="A8" s="756"/>
      <c r="B8" s="770" t="s">
        <v>1418</v>
      </c>
      <c r="C8" s="766">
        <v>2.7327598656712748</v>
      </c>
      <c r="D8" s="766">
        <v>3.7860082304526532</v>
      </c>
      <c r="E8" s="766">
        <v>3.8240535725132974</v>
      </c>
      <c r="F8" s="766">
        <v>-13.529836850031407</v>
      </c>
      <c r="G8" s="767">
        <v>3.5605923603994505</v>
      </c>
      <c r="H8" s="766">
        <v>3.7731826168831084</v>
      </c>
      <c r="I8" s="768">
        <v>4.6019880645526534</v>
      </c>
      <c r="J8" s="766">
        <v>215.53333333333336</v>
      </c>
      <c r="K8" s="766">
        <v>210.16666666666663</v>
      </c>
      <c r="L8" s="766">
        <v>85.75866666666667</v>
      </c>
      <c r="M8" s="766">
        <v>357.90000000000009</v>
      </c>
      <c r="N8" s="766">
        <v>85.898333333333326</v>
      </c>
      <c r="O8" s="766">
        <v>84.797159792456895</v>
      </c>
      <c r="P8" s="768">
        <v>84.1</v>
      </c>
      <c r="Q8" s="771"/>
      <c r="R8" s="771"/>
      <c r="S8"/>
      <c r="T8" s="771"/>
      <c r="U8" s="771"/>
      <c r="V8"/>
      <c r="W8"/>
      <c r="X8"/>
      <c r="Y8"/>
      <c r="Z8"/>
      <c r="AA8" s="438"/>
      <c r="AB8" s="438"/>
      <c r="AC8" s="438"/>
      <c r="AD8" s="438"/>
      <c r="AE8" s="438"/>
      <c r="AF8" s="438"/>
      <c r="AG8" s="438"/>
      <c r="AH8" s="438"/>
      <c r="AI8" s="438"/>
      <c r="AJ8" s="438"/>
      <c r="AK8" s="438"/>
      <c r="AL8" s="438"/>
      <c r="AM8" s="438"/>
      <c r="AN8" s="438"/>
      <c r="AO8" s="438"/>
      <c r="AP8" s="438"/>
      <c r="AQ8" s="438"/>
      <c r="AR8" s="438"/>
    </row>
    <row r="9" spans="1:44" ht="15" customHeight="1" thickBot="1">
      <c r="A9" s="756"/>
      <c r="B9" s="770" t="s">
        <v>1419</v>
      </c>
      <c r="C9" s="766">
        <v>-7.89515237644145E-2</v>
      </c>
      <c r="D9" s="766">
        <v>2.3844520659807245</v>
      </c>
      <c r="E9" s="766">
        <v>3.0055512455129607</v>
      </c>
      <c r="F9" s="766">
        <v>-38.900791034937377</v>
      </c>
      <c r="G9" s="767">
        <v>2.9169265710218717</v>
      </c>
      <c r="H9" s="766">
        <v>2.5731000261426606</v>
      </c>
      <c r="I9" s="768">
        <v>3.5714285714285587</v>
      </c>
      <c r="J9" s="766">
        <v>210.93333333333331</v>
      </c>
      <c r="K9" s="766">
        <v>208.96666666666664</v>
      </c>
      <c r="L9" s="766">
        <v>85.416666666666671</v>
      </c>
      <c r="M9" s="766">
        <v>247.16666666666663</v>
      </c>
      <c r="N9" s="766">
        <v>85.795666666666662</v>
      </c>
      <c r="O9" s="766">
        <v>85.039686354211014</v>
      </c>
      <c r="P9" s="768">
        <v>84.1</v>
      </c>
      <c r="Q9" s="771"/>
      <c r="R9" s="771"/>
      <c r="S9"/>
      <c r="T9" s="771"/>
      <c r="U9" s="771"/>
      <c r="V9"/>
      <c r="W9"/>
      <c r="X9"/>
      <c r="Y9"/>
      <c r="Z9"/>
      <c r="AA9" s="438"/>
      <c r="AB9" s="438"/>
      <c r="AC9" s="438"/>
      <c r="AD9" s="438"/>
      <c r="AE9" s="438"/>
      <c r="AF9" s="438"/>
      <c r="AG9" s="438"/>
      <c r="AH9" s="438"/>
      <c r="AI9" s="438"/>
      <c r="AJ9" s="438"/>
      <c r="AK9" s="438"/>
      <c r="AL9" s="438"/>
      <c r="AM9" s="438"/>
      <c r="AN9" s="438"/>
      <c r="AO9" s="438"/>
      <c r="AP9" s="438"/>
      <c r="AQ9" s="438"/>
      <c r="AR9" s="438"/>
    </row>
    <row r="10" spans="1:44" ht="15" customHeight="1" thickBot="1">
      <c r="A10" s="756"/>
      <c r="B10" s="770" t="s">
        <v>1420</v>
      </c>
      <c r="C10" s="766">
        <v>-1.2695463694070375</v>
      </c>
      <c r="D10" s="766">
        <v>1.4370110170844663</v>
      </c>
      <c r="E10" s="766">
        <v>2.0887183205144266</v>
      </c>
      <c r="F10" s="766">
        <v>-45.791701947502126</v>
      </c>
      <c r="G10" s="767">
        <v>1.5846601124368975</v>
      </c>
      <c r="H10" s="766">
        <v>1.3286581240369078</v>
      </c>
      <c r="I10" s="768">
        <v>2.4301336573511634</v>
      </c>
      <c r="J10" s="766">
        <v>212.56666666666669</v>
      </c>
      <c r="K10" s="766">
        <v>211.76666666666665</v>
      </c>
      <c r="L10" s="766">
        <v>86.364333333333335</v>
      </c>
      <c r="M10" s="766">
        <v>213.4</v>
      </c>
      <c r="N10" s="766">
        <v>86.071666666666658</v>
      </c>
      <c r="O10" s="766">
        <v>85.237882587338134</v>
      </c>
      <c r="P10" s="768">
        <v>84.3</v>
      </c>
      <c r="Q10" s="771"/>
      <c r="R10" s="771"/>
      <c r="S10"/>
      <c r="T10" s="771"/>
      <c r="U10" s="771"/>
      <c r="V10"/>
      <c r="W10"/>
      <c r="X10"/>
      <c r="Y10"/>
      <c r="Z10"/>
      <c r="AA10" s="438"/>
      <c r="AB10" s="438"/>
      <c r="AC10" s="438"/>
      <c r="AD10" s="438"/>
      <c r="AE10" s="438"/>
      <c r="AF10" s="438"/>
      <c r="AG10" s="438"/>
      <c r="AH10" s="438"/>
      <c r="AI10" s="438"/>
      <c r="AJ10" s="438"/>
      <c r="AK10" s="438"/>
      <c r="AL10" s="438"/>
      <c r="AM10" s="438"/>
      <c r="AN10" s="438"/>
      <c r="AO10" s="438"/>
      <c r="AP10" s="438"/>
      <c r="AQ10" s="438"/>
      <c r="AR10" s="438"/>
    </row>
    <row r="11" spans="1:44" ht="15" customHeight="1" thickBot="1">
      <c r="A11" s="756"/>
      <c r="B11" s="770" t="s">
        <v>1421</v>
      </c>
      <c r="C11" s="766">
        <v>-1.3801564177273407</v>
      </c>
      <c r="D11" s="766">
        <v>1.3124604680581742</v>
      </c>
      <c r="E11" s="766">
        <v>1.4897260273972979</v>
      </c>
      <c r="F11" s="766">
        <v>-45.539550164265854</v>
      </c>
      <c r="G11" s="767">
        <v>1.9170318342518033</v>
      </c>
      <c r="H11" s="766">
        <v>-0.17849305294252993</v>
      </c>
      <c r="I11" s="768">
        <v>1.6806722689075793</v>
      </c>
      <c r="J11" s="766">
        <v>214.36666666666667</v>
      </c>
      <c r="K11" s="766">
        <v>213.56666666666669</v>
      </c>
      <c r="L11" s="766">
        <v>86.929333333333346</v>
      </c>
      <c r="M11" s="766">
        <v>215.5</v>
      </c>
      <c r="N11" s="766">
        <v>86.674999999999997</v>
      </c>
      <c r="O11" s="766">
        <v>85.225052266236688</v>
      </c>
      <c r="P11" s="768">
        <v>84.7</v>
      </c>
      <c r="Q11" s="771"/>
      <c r="R11" s="771"/>
      <c r="S11"/>
      <c r="T11" s="771"/>
      <c r="U11" s="771"/>
      <c r="V11"/>
      <c r="W11"/>
      <c r="X11"/>
      <c r="Y11"/>
      <c r="Z11"/>
      <c r="AA11" s="438"/>
      <c r="AB11" s="438"/>
      <c r="AC11" s="438"/>
      <c r="AD11" s="438"/>
      <c r="AE11" s="438"/>
      <c r="AF11" s="438"/>
      <c r="AG11" s="438"/>
      <c r="AH11" s="438"/>
      <c r="AI11" s="438"/>
      <c r="AJ11" s="438"/>
      <c r="AK11" s="438"/>
      <c r="AL11" s="438"/>
      <c r="AM11" s="438"/>
      <c r="AN11" s="438"/>
      <c r="AO11" s="438"/>
      <c r="AP11" s="438"/>
      <c r="AQ11" s="438"/>
      <c r="AR11" s="438"/>
    </row>
    <row r="12" spans="1:44" ht="15" customHeight="1" thickBot="1">
      <c r="A12" s="756"/>
      <c r="B12" s="770" t="s">
        <v>1422</v>
      </c>
      <c r="C12" s="766">
        <v>0.61862047633776118</v>
      </c>
      <c r="D12" s="766">
        <v>2.7914353687549687</v>
      </c>
      <c r="E12" s="766">
        <v>2.1031887933581128</v>
      </c>
      <c r="F12" s="766">
        <v>-39.051876688087937</v>
      </c>
      <c r="G12" s="767">
        <v>0.99303440113314156</v>
      </c>
      <c r="H12" s="766">
        <v>0.10618598634191123</v>
      </c>
      <c r="I12" s="768">
        <v>0</v>
      </c>
      <c r="J12" s="766">
        <v>216.86666666666667</v>
      </c>
      <c r="K12" s="766">
        <v>216.03333333333333</v>
      </c>
      <c r="L12" s="766">
        <v>87.562333333333342</v>
      </c>
      <c r="M12" s="766">
        <v>218.13333333333333</v>
      </c>
      <c r="N12" s="766">
        <v>86.751333333333335</v>
      </c>
      <c r="O12" s="766">
        <v>84.887202492972435</v>
      </c>
      <c r="P12" s="768">
        <v>84.1</v>
      </c>
      <c r="Q12" s="771"/>
      <c r="R12" s="771"/>
      <c r="S12"/>
      <c r="T12" s="771"/>
      <c r="U12" s="771"/>
      <c r="V12"/>
      <c r="W12"/>
      <c r="X12"/>
      <c r="Y12"/>
      <c r="Z12"/>
      <c r="AA12" s="438"/>
      <c r="AB12" s="438"/>
      <c r="AC12" s="438"/>
      <c r="AD12" s="438"/>
      <c r="AE12" s="438"/>
      <c r="AF12" s="438"/>
      <c r="AG12" s="438"/>
      <c r="AH12" s="438"/>
      <c r="AI12" s="438"/>
      <c r="AJ12" s="438"/>
      <c r="AK12" s="438"/>
      <c r="AL12" s="438"/>
      <c r="AM12" s="438"/>
      <c r="AN12" s="438"/>
      <c r="AO12" s="438"/>
      <c r="AP12" s="438"/>
      <c r="AQ12" s="438"/>
      <c r="AR12" s="438"/>
    </row>
    <row r="13" spans="1:44" ht="15" customHeight="1" thickBot="1">
      <c r="A13" s="756"/>
      <c r="B13" s="770" t="s">
        <v>1423</v>
      </c>
      <c r="C13" s="766">
        <v>3.9506953223767516</v>
      </c>
      <c r="D13" s="766">
        <v>4.5461796139735222</v>
      </c>
      <c r="E13" s="766">
        <v>3.2745365853658281</v>
      </c>
      <c r="F13" s="766">
        <v>-10.923803101820639</v>
      </c>
      <c r="G13" s="767">
        <v>1.132924351268727</v>
      </c>
      <c r="H13" s="766">
        <v>-0.16136912606272702</v>
      </c>
      <c r="I13" s="768">
        <v>1.4268727705113005</v>
      </c>
      <c r="J13" s="766">
        <v>219.26666666666665</v>
      </c>
      <c r="K13" s="766">
        <v>218.46666666666664</v>
      </c>
      <c r="L13" s="766">
        <v>88.213666666666654</v>
      </c>
      <c r="M13" s="766">
        <v>220.16666666666663</v>
      </c>
      <c r="N13" s="766">
        <v>86.76766666666667</v>
      </c>
      <c r="O13" s="766">
        <v>84.902458555534736</v>
      </c>
      <c r="P13" s="768">
        <v>85.3</v>
      </c>
      <c r="Q13" s="771"/>
      <c r="R13" s="771"/>
      <c r="S13"/>
      <c r="T13" s="771"/>
      <c r="U13" s="771"/>
      <c r="V13"/>
      <c r="W13"/>
      <c r="X13"/>
      <c r="Y13"/>
      <c r="Z13"/>
      <c r="AA13" s="438"/>
      <c r="AB13" s="438"/>
      <c r="AC13" s="438"/>
      <c r="AD13" s="438"/>
      <c r="AE13" s="438"/>
      <c r="AF13" s="438"/>
      <c r="AG13" s="438"/>
      <c r="AH13" s="438"/>
      <c r="AI13" s="438"/>
      <c r="AJ13" s="438"/>
      <c r="AK13" s="438"/>
      <c r="AL13" s="438"/>
      <c r="AM13" s="438"/>
      <c r="AN13" s="438"/>
      <c r="AO13" s="438"/>
      <c r="AP13" s="438"/>
      <c r="AQ13" s="438"/>
      <c r="AR13" s="438"/>
    </row>
    <row r="14" spans="1:44" ht="15" customHeight="1" thickBot="1">
      <c r="A14" s="756"/>
      <c r="B14" s="770" t="s">
        <v>1424</v>
      </c>
      <c r="C14" s="766">
        <v>5.1434843970519006</v>
      </c>
      <c r="D14" s="766">
        <v>5.1629151581929822</v>
      </c>
      <c r="E14" s="766">
        <v>3.4566738584214773</v>
      </c>
      <c r="F14" s="766">
        <v>4.6391752577319645</v>
      </c>
      <c r="G14" s="767">
        <v>1.6443661290010514</v>
      </c>
      <c r="H14" s="766">
        <v>0.48034983617215588</v>
      </c>
      <c r="I14" s="768">
        <v>1.4234875444839812</v>
      </c>
      <c r="J14" s="766">
        <v>223.5</v>
      </c>
      <c r="K14" s="766">
        <v>222.7</v>
      </c>
      <c r="L14" s="766">
        <v>89.34966666666665</v>
      </c>
      <c r="M14" s="766">
        <v>223.3</v>
      </c>
      <c r="N14" s="766">
        <v>87.487000000000009</v>
      </c>
      <c r="O14" s="766">
        <v>85.647322616703036</v>
      </c>
      <c r="P14" s="768">
        <v>85.5</v>
      </c>
      <c r="Q14" s="771"/>
      <c r="R14" s="771"/>
      <c r="S14"/>
      <c r="T14" s="771"/>
      <c r="U14" s="771"/>
      <c r="V14"/>
      <c r="W14"/>
      <c r="X14"/>
      <c r="Y14"/>
      <c r="Z14"/>
      <c r="AA14" s="438"/>
      <c r="AB14" s="438"/>
      <c r="AC14" s="438"/>
      <c r="AD14" s="438"/>
      <c r="AE14" s="438"/>
      <c r="AF14" s="438"/>
      <c r="AG14" s="438"/>
      <c r="AH14" s="438"/>
      <c r="AI14" s="438"/>
      <c r="AJ14" s="438"/>
      <c r="AK14" s="438"/>
      <c r="AL14" s="438"/>
      <c r="AM14" s="438"/>
      <c r="AN14" s="438"/>
      <c r="AO14" s="438"/>
      <c r="AP14" s="438"/>
      <c r="AQ14" s="438"/>
      <c r="AR14" s="438"/>
    </row>
    <row r="15" spans="1:44" ht="15" customHeight="1" thickBot="1">
      <c r="A15" s="756"/>
      <c r="B15" s="770" t="s">
        <v>1425</v>
      </c>
      <c r="C15" s="766">
        <v>4.7115534131550341</v>
      </c>
      <c r="D15" s="766">
        <v>4.6823786483533469</v>
      </c>
      <c r="E15" s="766">
        <v>3.0852646594168531</v>
      </c>
      <c r="F15" s="766">
        <v>5.2436194895591814</v>
      </c>
      <c r="G15" s="767">
        <v>1.1952696856071698</v>
      </c>
      <c r="H15" s="766">
        <v>1.1541318261758526</v>
      </c>
      <c r="I15" s="768">
        <v>1.0625737898465104</v>
      </c>
      <c r="J15" s="766">
        <v>224.46666666666667</v>
      </c>
      <c r="K15" s="766">
        <v>223.56666666666663</v>
      </c>
      <c r="L15" s="766">
        <v>89.611333333333349</v>
      </c>
      <c r="M15" s="766">
        <v>226.80000000000004</v>
      </c>
      <c r="N15" s="766">
        <v>87.711000000000013</v>
      </c>
      <c r="O15" s="766">
        <v>86.208661718316321</v>
      </c>
      <c r="P15" s="768">
        <v>85.6</v>
      </c>
      <c r="Q15" s="771"/>
      <c r="R15" s="771"/>
      <c r="S15"/>
      <c r="T15" s="771"/>
      <c r="U15" s="771"/>
      <c r="V15"/>
      <c r="W15"/>
      <c r="X15"/>
      <c r="Y15"/>
      <c r="Z15"/>
      <c r="AA15" s="438"/>
      <c r="AB15" s="438"/>
      <c r="AC15" s="438"/>
      <c r="AD15" s="438"/>
      <c r="AE15" s="438"/>
      <c r="AF15" s="438"/>
      <c r="AG15" s="438"/>
      <c r="AH15" s="438"/>
      <c r="AI15" s="438"/>
      <c r="AJ15" s="438"/>
      <c r="AK15" s="438"/>
      <c r="AL15" s="438"/>
      <c r="AM15" s="438"/>
      <c r="AN15" s="438"/>
      <c r="AO15" s="438"/>
      <c r="AP15" s="438"/>
      <c r="AQ15" s="438"/>
      <c r="AR15" s="438"/>
    </row>
    <row r="16" spans="1:44" ht="15" customHeight="1" thickBot="1">
      <c r="A16" s="756"/>
      <c r="B16" s="770" t="s">
        <v>1426</v>
      </c>
      <c r="C16" s="766">
        <v>4.6726098985551801</v>
      </c>
      <c r="D16" s="766">
        <v>4.659774726122512</v>
      </c>
      <c r="E16" s="766">
        <v>3.3762614822964165</v>
      </c>
      <c r="F16" s="766">
        <v>4.7677261613692012</v>
      </c>
      <c r="G16" s="767">
        <v>1.5177480461395332</v>
      </c>
      <c r="H16" s="766">
        <v>2.4338229133176181</v>
      </c>
      <c r="I16" s="768">
        <v>2.378121284185486</v>
      </c>
      <c r="J16" s="766">
        <v>227</v>
      </c>
      <c r="K16" s="766">
        <v>226.1</v>
      </c>
      <c r="L16" s="766">
        <v>90.518666666666675</v>
      </c>
      <c r="M16" s="766">
        <v>228.53333333333336</v>
      </c>
      <c r="N16" s="766">
        <v>88.067999999999998</v>
      </c>
      <c r="O16" s="766">
        <v>86.953206677720715</v>
      </c>
      <c r="P16" s="768">
        <v>86.1</v>
      </c>
      <c r="Q16" s="771"/>
      <c r="R16" s="771"/>
      <c r="S16"/>
      <c r="T16" s="771"/>
      <c r="U16" s="771"/>
      <c r="V16"/>
      <c r="W16"/>
      <c r="X16"/>
      <c r="Y16"/>
      <c r="Z16"/>
      <c r="AA16" s="438"/>
      <c r="AB16" s="438"/>
      <c r="AC16" s="438"/>
      <c r="AD16" s="438"/>
      <c r="AE16" s="438"/>
      <c r="AF16" s="438"/>
      <c r="AG16" s="438"/>
      <c r="AH16" s="438"/>
      <c r="AI16" s="438"/>
      <c r="AJ16" s="438"/>
      <c r="AK16" s="438"/>
      <c r="AL16" s="438"/>
      <c r="AM16" s="438"/>
      <c r="AN16" s="438"/>
      <c r="AO16" s="438"/>
      <c r="AP16" s="438"/>
      <c r="AQ16" s="438"/>
      <c r="AR16" s="438"/>
    </row>
    <row r="17" spans="1:44" ht="15" customHeight="1" thickBot="1">
      <c r="A17" s="756"/>
      <c r="B17" s="770" t="s">
        <v>1427</v>
      </c>
      <c r="C17" s="766">
        <v>5.3207661903313941</v>
      </c>
      <c r="D17" s="766">
        <v>5.3402502288678821</v>
      </c>
      <c r="E17" s="766">
        <v>4.1184094679206806</v>
      </c>
      <c r="F17" s="766">
        <v>4.6025738077214662</v>
      </c>
      <c r="G17" s="767">
        <v>1.8666707644552805</v>
      </c>
      <c r="H17" s="766">
        <v>4.2832576298592384</v>
      </c>
      <c r="I17" s="768">
        <v>2.5791324736225141</v>
      </c>
      <c r="J17" s="766">
        <v>230.93333333333331</v>
      </c>
      <c r="K17" s="766">
        <v>230.13333333333333</v>
      </c>
      <c r="L17" s="766">
        <v>91.846666666666636</v>
      </c>
      <c r="M17" s="766">
        <v>230.30000000000004</v>
      </c>
      <c r="N17" s="766">
        <v>88.387333333333345</v>
      </c>
      <c r="O17" s="766">
        <v>88.539049589552747</v>
      </c>
      <c r="P17" s="768">
        <v>87.5</v>
      </c>
      <c r="Q17" s="771"/>
      <c r="R17" s="771"/>
      <c r="S17"/>
      <c r="T17" s="771"/>
      <c r="U17" s="771"/>
      <c r="V17" s="436"/>
      <c r="W17" s="436"/>
      <c r="X17" s="438"/>
      <c r="Y17" s="438"/>
      <c r="Z17" s="438"/>
      <c r="AA17" s="438"/>
      <c r="AB17" s="438"/>
      <c r="AC17" s="438"/>
      <c r="AD17" s="438"/>
      <c r="AE17" s="438"/>
      <c r="AF17" s="438"/>
      <c r="AG17" s="438"/>
      <c r="AH17" s="438"/>
      <c r="AI17" s="438"/>
      <c r="AJ17" s="438"/>
      <c r="AK17" s="438"/>
      <c r="AL17" s="438"/>
      <c r="AM17" s="438"/>
      <c r="AN17" s="438"/>
      <c r="AO17" s="438"/>
      <c r="AP17" s="438"/>
      <c r="AQ17" s="438"/>
      <c r="AR17" s="438"/>
    </row>
    <row r="18" spans="1:44" ht="15" customHeight="1" thickBot="1">
      <c r="A18" s="756"/>
      <c r="B18" s="770" t="s">
        <v>1428</v>
      </c>
      <c r="C18" s="766">
        <v>5.1155853840417542</v>
      </c>
      <c r="D18" s="766">
        <v>5.1788654393055022</v>
      </c>
      <c r="E18" s="766">
        <v>4.3771847684565213</v>
      </c>
      <c r="F18" s="766">
        <v>3.9259590983728998</v>
      </c>
      <c r="G18" s="767">
        <v>2.2879589729521754</v>
      </c>
      <c r="H18" s="766">
        <v>3.7058564512209902</v>
      </c>
      <c r="I18" s="768">
        <v>1.637426900584793</v>
      </c>
      <c r="J18" s="766">
        <v>234.93333333333331</v>
      </c>
      <c r="K18" s="766">
        <v>234.23333333333335</v>
      </c>
      <c r="L18" s="766">
        <v>93.260666666666651</v>
      </c>
      <c r="M18" s="766">
        <v>232.06666666666669</v>
      </c>
      <c r="N18" s="766">
        <v>89.488666666666674</v>
      </c>
      <c r="O18" s="766">
        <v>88.821289447192186</v>
      </c>
      <c r="P18" s="768">
        <v>86.9</v>
      </c>
      <c r="Q18" s="771"/>
      <c r="R18" s="771"/>
      <c r="S18"/>
      <c r="T18" s="771"/>
      <c r="U18" s="771"/>
      <c r="V18" s="436"/>
      <c r="W18" s="436"/>
      <c r="X18" s="438"/>
      <c r="Y18" s="438"/>
      <c r="Z18" s="438"/>
      <c r="AA18" s="438"/>
      <c r="AB18" s="438"/>
      <c r="AC18" s="438"/>
      <c r="AD18" s="438"/>
      <c r="AE18" s="438"/>
      <c r="AF18" s="438"/>
      <c r="AG18" s="438"/>
      <c r="AH18" s="438"/>
      <c r="AI18" s="438"/>
      <c r="AJ18" s="438"/>
      <c r="AK18" s="438"/>
      <c r="AL18" s="438"/>
      <c r="AM18" s="438"/>
      <c r="AN18" s="438"/>
      <c r="AO18" s="438"/>
      <c r="AP18" s="438"/>
      <c r="AQ18" s="438"/>
      <c r="AR18" s="438"/>
    </row>
    <row r="19" spans="1:44" ht="15" customHeight="1" thickBot="1">
      <c r="A19" s="756"/>
      <c r="B19" s="770" t="s">
        <v>1429</v>
      </c>
      <c r="C19" s="766">
        <v>5.2420552420552324</v>
      </c>
      <c r="D19" s="766">
        <v>5.3526166691516552</v>
      </c>
      <c r="E19" s="766">
        <v>4.7058779767440218</v>
      </c>
      <c r="F19" s="766">
        <v>2.3956496178718201</v>
      </c>
      <c r="G19" s="767">
        <v>2.988222685866071</v>
      </c>
      <c r="H19" s="766">
        <v>3.8375817540319934</v>
      </c>
      <c r="I19" s="768">
        <v>2.1028037383177711</v>
      </c>
      <c r="J19" s="766">
        <v>236.23333333333332</v>
      </c>
      <c r="K19" s="766">
        <v>235.53333333333336</v>
      </c>
      <c r="L19" s="766">
        <v>93.828333333333347</v>
      </c>
      <c r="M19" s="766">
        <v>232.23333333333335</v>
      </c>
      <c r="N19" s="766">
        <v>90.331999999999994</v>
      </c>
      <c r="O19" s="766">
        <v>89.516989590813594</v>
      </c>
      <c r="P19" s="768">
        <v>87.4</v>
      </c>
      <c r="Q19" s="771"/>
      <c r="R19" s="772"/>
      <c r="S19"/>
      <c r="T19" s="771"/>
      <c r="U19" s="771"/>
      <c r="V19" s="436"/>
      <c r="W19" s="436"/>
      <c r="X19" s="438"/>
      <c r="Y19" s="438"/>
      <c r="Z19" s="438"/>
      <c r="AA19" s="438"/>
      <c r="AB19" s="438"/>
      <c r="AC19" s="438"/>
      <c r="AD19" s="438"/>
      <c r="AE19" s="438"/>
      <c r="AF19" s="438"/>
      <c r="AG19" s="438"/>
      <c r="AH19" s="438"/>
      <c r="AI19" s="438"/>
      <c r="AJ19" s="438"/>
      <c r="AK19" s="438"/>
      <c r="AL19" s="438"/>
      <c r="AM19" s="438"/>
      <c r="AN19" s="438"/>
      <c r="AO19" s="438"/>
      <c r="AP19" s="438"/>
      <c r="AQ19" s="438"/>
      <c r="AR19" s="438"/>
    </row>
    <row r="20" spans="1:44" ht="15" customHeight="1" thickBot="1">
      <c r="A20" s="756"/>
      <c r="B20" s="770" t="s">
        <v>1430</v>
      </c>
      <c r="C20" s="766">
        <v>5.1248164464023471</v>
      </c>
      <c r="D20" s="766">
        <v>5.2779006339378043</v>
      </c>
      <c r="E20" s="766">
        <v>4.6458189102800196</v>
      </c>
      <c r="F20" s="766">
        <v>1.3710618436405753</v>
      </c>
      <c r="G20" s="767">
        <v>2.8852704728164591</v>
      </c>
      <c r="H20" s="766">
        <v>3.7400575937989622</v>
      </c>
      <c r="I20" s="768">
        <v>2.2067363530778206</v>
      </c>
      <c r="J20" s="766">
        <v>238.63333333333333</v>
      </c>
      <c r="K20" s="766">
        <v>238.03333333333336</v>
      </c>
      <c r="L20" s="766">
        <v>94.724000000000004</v>
      </c>
      <c r="M20" s="766">
        <v>231.66666666666663</v>
      </c>
      <c r="N20" s="766">
        <v>90.608999999999995</v>
      </c>
      <c r="O20" s="766">
        <v>90.205306687122516</v>
      </c>
      <c r="P20" s="768">
        <v>88</v>
      </c>
      <c r="Q20" s="771"/>
      <c r="R20" s="772"/>
      <c r="S20"/>
      <c r="T20" s="771"/>
      <c r="U20" s="771"/>
      <c r="V20" s="436"/>
      <c r="W20" s="436"/>
      <c r="X20" s="438"/>
      <c r="Y20" s="438"/>
      <c r="Z20" s="438"/>
      <c r="AA20" s="438"/>
      <c r="AB20" s="438"/>
      <c r="AC20" s="438"/>
      <c r="AD20" s="438"/>
      <c r="AE20" s="438"/>
      <c r="AF20" s="438"/>
      <c r="AG20" s="438"/>
      <c r="AH20" s="438"/>
      <c r="AI20" s="438"/>
      <c r="AJ20" s="438"/>
      <c r="AK20" s="438"/>
      <c r="AL20" s="438"/>
      <c r="AM20" s="438"/>
      <c r="AN20" s="438"/>
      <c r="AO20" s="438"/>
      <c r="AP20" s="438"/>
      <c r="AQ20" s="438"/>
      <c r="AR20" s="438"/>
    </row>
    <row r="21" spans="1:44" ht="15" customHeight="1" thickBot="1">
      <c r="A21" s="756"/>
      <c r="B21" s="770" t="s">
        <v>1431</v>
      </c>
      <c r="C21" s="766">
        <v>3.7384526558891684</v>
      </c>
      <c r="D21" s="766">
        <v>3.8238702201622177</v>
      </c>
      <c r="E21" s="766">
        <v>3.490237352108605</v>
      </c>
      <c r="F21" s="766">
        <v>0.83948473006223434</v>
      </c>
      <c r="G21" s="767">
        <v>2.9868533198572855</v>
      </c>
      <c r="H21" s="766">
        <v>1.9640030215138271</v>
      </c>
      <c r="I21" s="768">
        <v>1.0285714285714453</v>
      </c>
      <c r="J21" s="766">
        <v>239.56666666666669</v>
      </c>
      <c r="K21" s="766">
        <v>238.93333333333331</v>
      </c>
      <c r="L21" s="766">
        <v>95.052333333333323</v>
      </c>
      <c r="M21" s="766">
        <v>232.23333333333335</v>
      </c>
      <c r="N21" s="766">
        <v>91.027333333333331</v>
      </c>
      <c r="O21" s="766">
        <v>90.277959198711187</v>
      </c>
      <c r="P21" s="768">
        <v>88.4</v>
      </c>
      <c r="Q21" s="771"/>
      <c r="R21" s="772"/>
      <c r="S21"/>
      <c r="T21" s="771"/>
      <c r="U21" s="771"/>
      <c r="V21" s="436"/>
      <c r="W21" s="436"/>
      <c r="X21" s="438"/>
      <c r="Y21" s="438"/>
      <c r="Z21" s="438"/>
      <c r="AA21" s="438"/>
      <c r="AB21" s="438"/>
      <c r="AC21" s="438"/>
      <c r="AD21" s="438"/>
      <c r="AE21" s="438"/>
      <c r="AF21" s="438"/>
      <c r="AG21" s="438"/>
      <c r="AH21" s="438"/>
      <c r="AI21" s="438"/>
      <c r="AJ21" s="438"/>
      <c r="AK21" s="438"/>
      <c r="AL21" s="438"/>
      <c r="AM21" s="438"/>
      <c r="AN21" s="438"/>
      <c r="AO21" s="438"/>
      <c r="AP21" s="438"/>
      <c r="AQ21" s="438"/>
      <c r="AR21" s="438"/>
    </row>
    <row r="22" spans="1:44" ht="15" customHeight="1" thickBot="1">
      <c r="A22" s="756"/>
      <c r="B22" s="770" t="s">
        <v>1432</v>
      </c>
      <c r="C22" s="766">
        <v>3.1072644721907183</v>
      </c>
      <c r="D22" s="766">
        <v>3.1450120962003503</v>
      </c>
      <c r="E22" s="766">
        <v>2.7553595299197431</v>
      </c>
      <c r="F22" s="766">
        <v>0.96236713588049305</v>
      </c>
      <c r="G22" s="767">
        <v>3.3646718765132144</v>
      </c>
      <c r="H22" s="766">
        <v>2.1856423135291125</v>
      </c>
      <c r="I22" s="768">
        <v>1.8411967779056404</v>
      </c>
      <c r="J22" s="766">
        <v>242.23333333333335</v>
      </c>
      <c r="K22" s="766">
        <v>241.6</v>
      </c>
      <c r="L22" s="766">
        <v>95.830333333333328</v>
      </c>
      <c r="M22" s="766">
        <v>234.3</v>
      </c>
      <c r="N22" s="766">
        <v>92.49966666666667</v>
      </c>
      <c r="O22" s="766">
        <v>90.76260513277218</v>
      </c>
      <c r="P22" s="768">
        <v>88.5</v>
      </c>
      <c r="Q22" s="771"/>
      <c r="R22" s="772"/>
      <c r="S22"/>
      <c r="T22" s="771"/>
      <c r="U22" s="771"/>
      <c r="V22" s="436"/>
      <c r="W22" s="436"/>
      <c r="X22" s="438"/>
      <c r="Y22" s="438"/>
      <c r="Z22" s="438"/>
      <c r="AA22" s="438"/>
      <c r="AB22" s="438"/>
      <c r="AC22" s="438"/>
      <c r="AD22" s="438"/>
      <c r="AE22" s="438"/>
      <c r="AF22" s="438"/>
      <c r="AG22" s="438"/>
      <c r="AH22" s="438"/>
      <c r="AI22" s="438"/>
      <c r="AJ22" s="438"/>
      <c r="AK22" s="438"/>
      <c r="AL22" s="438"/>
      <c r="AM22" s="438"/>
      <c r="AN22" s="438"/>
      <c r="AO22" s="438"/>
      <c r="AP22" s="438"/>
      <c r="AQ22" s="438"/>
      <c r="AR22" s="438"/>
    </row>
    <row r="23" spans="1:44" ht="15" customHeight="1" thickBot="1">
      <c r="A23" s="756"/>
      <c r="B23" s="770" t="s">
        <v>1433</v>
      </c>
      <c r="C23" s="766">
        <v>2.9067306335543996</v>
      </c>
      <c r="D23" s="766">
        <v>2.9012170959524353</v>
      </c>
      <c r="E23" s="766">
        <v>2.4125619482387783</v>
      </c>
      <c r="F23" s="766">
        <v>2.784555762882146</v>
      </c>
      <c r="G23" s="767">
        <v>3.3675773812159804</v>
      </c>
      <c r="H23" s="766">
        <v>1.2214794065694035</v>
      </c>
      <c r="I23" s="768">
        <v>1.7162471395880896</v>
      </c>
      <c r="J23" s="766">
        <v>243.1</v>
      </c>
      <c r="K23" s="766">
        <v>242.36666666666667</v>
      </c>
      <c r="L23" s="766">
        <v>96.091999999999999</v>
      </c>
      <c r="M23" s="766">
        <v>238.7</v>
      </c>
      <c r="N23" s="766">
        <v>93.374000000000009</v>
      </c>
      <c r="O23" s="766">
        <v>90.61042118404626</v>
      </c>
      <c r="P23" s="768">
        <v>88.9</v>
      </c>
      <c r="Q23" s="771"/>
      <c r="R23" s="772"/>
      <c r="S23"/>
      <c r="T23" s="771"/>
      <c r="U23" s="771"/>
      <c r="V23" s="436"/>
      <c r="W23" s="436"/>
      <c r="X23" s="438"/>
      <c r="Y23" s="438"/>
      <c r="Z23" s="438"/>
      <c r="AA23" s="438"/>
      <c r="AB23" s="438"/>
      <c r="AC23" s="438"/>
      <c r="AD23" s="438"/>
      <c r="AE23" s="438"/>
      <c r="AF23" s="438"/>
      <c r="AG23" s="438"/>
      <c r="AH23" s="438"/>
      <c r="AI23" s="438"/>
      <c r="AJ23" s="438"/>
      <c r="AK23" s="438"/>
      <c r="AL23" s="438"/>
      <c r="AM23" s="438"/>
      <c r="AN23" s="438"/>
      <c r="AO23" s="438"/>
      <c r="AP23" s="438"/>
      <c r="AQ23" s="438"/>
      <c r="AR23" s="438"/>
    </row>
    <row r="24" spans="1:44" ht="15" customHeight="1" thickBot="1">
      <c r="A24" s="756"/>
      <c r="B24" s="770" t="s">
        <v>1434</v>
      </c>
      <c r="C24" s="766">
        <v>3.0870233272803471</v>
      </c>
      <c r="D24" s="766">
        <v>3.0107828035289108</v>
      </c>
      <c r="E24" s="766">
        <v>2.6698619146150904</v>
      </c>
      <c r="F24" s="766">
        <v>4.8057553956834864</v>
      </c>
      <c r="G24" s="767">
        <v>3.6401829104540706</v>
      </c>
      <c r="H24" s="766">
        <v>1.3715392244100011</v>
      </c>
      <c r="I24" s="768">
        <v>1.7045454545454586</v>
      </c>
      <c r="J24" s="766">
        <v>246</v>
      </c>
      <c r="K24" s="766">
        <v>245.2</v>
      </c>
      <c r="L24" s="766">
        <v>97.253</v>
      </c>
      <c r="M24" s="766">
        <v>242.80000000000004</v>
      </c>
      <c r="N24" s="766">
        <v>93.907333333333327</v>
      </c>
      <c r="O24" s="766">
        <v>91.442507850835739</v>
      </c>
      <c r="P24" s="768">
        <v>89.5</v>
      </c>
      <c r="Q24" s="771"/>
      <c r="R24" s="772"/>
      <c r="S24"/>
      <c r="T24" s="771"/>
      <c r="U24" s="771"/>
      <c r="V24" s="436"/>
      <c r="W24" s="436"/>
      <c r="X24" s="438"/>
      <c r="Y24" s="438"/>
      <c r="Z24" s="438"/>
      <c r="AA24" s="438"/>
      <c r="AB24" s="438"/>
      <c r="AC24" s="438"/>
      <c r="AD24" s="438"/>
      <c r="AE24" s="438"/>
      <c r="AF24" s="438"/>
      <c r="AG24" s="438"/>
      <c r="AH24" s="438"/>
      <c r="AI24" s="438"/>
      <c r="AJ24" s="438"/>
      <c r="AK24" s="438"/>
      <c r="AL24" s="438"/>
      <c r="AM24" s="438"/>
      <c r="AN24" s="438"/>
      <c r="AO24" s="438"/>
      <c r="AP24" s="438"/>
      <c r="AQ24" s="438"/>
      <c r="AR24" s="438"/>
    </row>
    <row r="25" spans="1:44" ht="15" customHeight="1" thickBot="1">
      <c r="A25" s="756"/>
      <c r="B25" s="770" t="s">
        <v>1435</v>
      </c>
      <c r="C25" s="766">
        <v>3.2558786698204889</v>
      </c>
      <c r="D25" s="766">
        <v>3.2366071428571397</v>
      </c>
      <c r="E25" s="766">
        <v>2.7763653005186795</v>
      </c>
      <c r="F25" s="766">
        <v>4.3777809674178325</v>
      </c>
      <c r="G25" s="767">
        <v>3.2206443485839564</v>
      </c>
      <c r="H25" s="766">
        <v>2.2307046902608318</v>
      </c>
      <c r="I25" s="768">
        <v>2.1493212669683182</v>
      </c>
      <c r="J25" s="766">
        <v>247.36666666666665</v>
      </c>
      <c r="K25" s="766">
        <v>246.66666666666663</v>
      </c>
      <c r="L25" s="766">
        <v>97.691333333333347</v>
      </c>
      <c r="M25" s="766">
        <v>242.4</v>
      </c>
      <c r="N25" s="766">
        <v>93.959000000000003</v>
      </c>
      <c r="O25" s="766">
        <v>92.291793868828591</v>
      </c>
      <c r="P25" s="768">
        <v>90.3</v>
      </c>
      <c r="Q25" s="771"/>
      <c r="R25" s="772"/>
      <c r="S25"/>
      <c r="T25" s="771"/>
      <c r="U25" s="771"/>
      <c r="V25" s="436"/>
      <c r="W25" s="436"/>
      <c r="X25" s="438"/>
      <c r="Y25" s="438"/>
      <c r="Z25" s="438"/>
      <c r="AA25" s="438"/>
      <c r="AB25" s="438"/>
      <c r="AC25" s="438"/>
      <c r="AD25" s="438"/>
      <c r="AE25" s="438"/>
      <c r="AF25" s="438"/>
      <c r="AG25" s="438"/>
      <c r="AH25" s="438"/>
      <c r="AI25" s="438"/>
      <c r="AJ25" s="438"/>
      <c r="AK25" s="438"/>
      <c r="AL25" s="438"/>
      <c r="AM25" s="438"/>
      <c r="AN25" s="438"/>
      <c r="AO25" s="438"/>
      <c r="AP25" s="438"/>
      <c r="AQ25" s="438"/>
      <c r="AR25" s="438"/>
    </row>
    <row r="26" spans="1:44" ht="15" customHeight="1" thickBot="1">
      <c r="A26" s="756"/>
      <c r="B26" s="770" t="s">
        <v>1436</v>
      </c>
      <c r="C26" s="766">
        <v>3.0961882482454905</v>
      </c>
      <c r="D26" s="766">
        <v>3.06291390728477</v>
      </c>
      <c r="E26" s="766">
        <v>2.6793882243270062</v>
      </c>
      <c r="F26" s="766">
        <v>3.9550433916631045</v>
      </c>
      <c r="G26" s="767">
        <v>2.5030720831426434</v>
      </c>
      <c r="H26" s="766">
        <v>2.2663125167399878</v>
      </c>
      <c r="I26" s="768">
        <v>2.2598870056497189</v>
      </c>
      <c r="J26" s="766">
        <v>249.73333333333335</v>
      </c>
      <c r="K26" s="766">
        <v>249</v>
      </c>
      <c r="L26" s="766">
        <v>98.397999999999982</v>
      </c>
      <c r="M26" s="766">
        <v>243.56666666666669</v>
      </c>
      <c r="N26" s="766">
        <v>94.814999999999998</v>
      </c>
      <c r="O26" s="766">
        <v>92.819569413415493</v>
      </c>
      <c r="P26" s="768">
        <v>90.5</v>
      </c>
      <c r="Q26" s="771"/>
      <c r="R26" s="772"/>
      <c r="S26"/>
      <c r="T26" s="771"/>
      <c r="U26" s="771"/>
      <c r="V26" s="436"/>
      <c r="W26" s="436"/>
      <c r="X26" s="438"/>
      <c r="Y26" s="438"/>
      <c r="Z26" s="438"/>
      <c r="AA26" s="438"/>
      <c r="AB26" s="438"/>
      <c r="AC26" s="438"/>
      <c r="AD26" s="438"/>
      <c r="AE26" s="438"/>
      <c r="AF26" s="438"/>
      <c r="AG26" s="438"/>
      <c r="AH26" s="438"/>
      <c r="AI26" s="438"/>
      <c r="AJ26" s="438"/>
      <c r="AK26" s="438"/>
      <c r="AL26" s="438"/>
      <c r="AM26" s="438"/>
      <c r="AN26" s="438"/>
      <c r="AO26" s="438"/>
      <c r="AP26" s="438"/>
      <c r="AQ26" s="438"/>
      <c r="AR26" s="438"/>
    </row>
    <row r="27" spans="1:44" ht="16" thickBot="1">
      <c r="A27" s="756"/>
      <c r="B27" s="770" t="s">
        <v>1437</v>
      </c>
      <c r="C27" s="766">
        <v>3.1948443713149643</v>
      </c>
      <c r="D27" s="766">
        <v>3.2182643377802078</v>
      </c>
      <c r="E27" s="766">
        <v>2.7088623402572232</v>
      </c>
      <c r="F27" s="766">
        <v>2.457757296466978</v>
      </c>
      <c r="G27" s="767">
        <v>2.2997122682259619</v>
      </c>
      <c r="H27" s="766">
        <v>2.6512368858758517</v>
      </c>
      <c r="I27" s="768">
        <v>2.3622047244094446</v>
      </c>
      <c r="J27" s="766">
        <v>250.86666666666667</v>
      </c>
      <c r="K27" s="766">
        <v>250.16666666666663</v>
      </c>
      <c r="L27" s="766">
        <v>98.694999999999979</v>
      </c>
      <c r="M27" s="766">
        <v>244.56666666666669</v>
      </c>
      <c r="N27" s="766">
        <v>95.521333333333317</v>
      </c>
      <c r="O27" s="766">
        <v>93.012718092925155</v>
      </c>
      <c r="P27" s="768">
        <v>91</v>
      </c>
      <c r="Q27" s="771"/>
      <c r="R27" s="772"/>
      <c r="S27"/>
      <c r="T27" s="771"/>
      <c r="U27" s="771"/>
      <c r="V27" s="436"/>
      <c r="W27" s="436"/>
      <c r="X27" s="438"/>
      <c r="Y27" s="438"/>
      <c r="Z27" s="438"/>
      <c r="AA27" s="438"/>
      <c r="AB27" s="438"/>
      <c r="AC27" s="438"/>
      <c r="AD27" s="438"/>
      <c r="AE27" s="438"/>
      <c r="AF27" s="438"/>
      <c r="AG27" s="438"/>
      <c r="AH27" s="438"/>
      <c r="AI27" s="438"/>
      <c r="AJ27" s="438"/>
      <c r="AK27" s="438"/>
      <c r="AL27" s="438"/>
      <c r="AM27" s="438"/>
      <c r="AN27" s="438"/>
      <c r="AO27" s="438"/>
      <c r="AP27" s="438"/>
      <c r="AQ27" s="438"/>
      <c r="AR27" s="438"/>
    </row>
    <row r="28" spans="1:44" ht="12.75" customHeight="1" thickBot="1">
      <c r="A28" s="756"/>
      <c r="B28" s="770" t="s">
        <v>1438</v>
      </c>
      <c r="C28" s="766">
        <v>2.6287262872628725</v>
      </c>
      <c r="D28" s="766">
        <v>2.7052746057640187</v>
      </c>
      <c r="E28" s="766">
        <v>2.1027628967744016</v>
      </c>
      <c r="F28" s="766">
        <v>0.49423393739702615</v>
      </c>
      <c r="G28" s="767">
        <v>1.8841269052470189</v>
      </c>
      <c r="H28" s="766">
        <v>1.8086771228800869</v>
      </c>
      <c r="I28" s="768">
        <v>1.787709497206702</v>
      </c>
      <c r="J28" s="766">
        <v>252.46666666666664</v>
      </c>
      <c r="K28" s="766">
        <v>251.83333333333337</v>
      </c>
      <c r="L28" s="766">
        <v>99.298000000000002</v>
      </c>
      <c r="M28" s="766">
        <v>244</v>
      </c>
      <c r="N28" s="766">
        <v>95.676666666666662</v>
      </c>
      <c r="O28" s="766">
        <v>93.096407570921627</v>
      </c>
      <c r="P28" s="768">
        <v>91.1</v>
      </c>
      <c r="Q28" s="771"/>
      <c r="R28" s="772"/>
      <c r="S28"/>
      <c r="T28" s="771"/>
      <c r="U28" s="771"/>
      <c r="V28" s="436"/>
      <c r="W28" s="436"/>
      <c r="X28" s="438"/>
      <c r="Y28" s="438"/>
      <c r="Z28" s="438"/>
      <c r="AA28" s="438"/>
      <c r="AB28" s="438"/>
      <c r="AC28" s="438"/>
      <c r="AD28" s="438"/>
      <c r="AE28" s="438"/>
      <c r="AF28" s="438"/>
      <c r="AG28" s="438"/>
      <c r="AH28" s="438"/>
      <c r="AI28" s="438"/>
      <c r="AJ28" s="438"/>
      <c r="AK28" s="438"/>
      <c r="AL28" s="438"/>
      <c r="AM28" s="438"/>
      <c r="AN28" s="438"/>
      <c r="AO28" s="438"/>
      <c r="AP28" s="438"/>
      <c r="AQ28" s="438"/>
      <c r="AR28" s="438"/>
    </row>
    <row r="29" spans="1:44" ht="26.15" customHeight="1" thickBot="1">
      <c r="A29" s="756"/>
      <c r="B29" s="770" t="s">
        <v>1439</v>
      </c>
      <c r="C29" s="766">
        <v>2.6276782104837526</v>
      </c>
      <c r="D29" s="766">
        <v>2.6756756756756817</v>
      </c>
      <c r="E29" s="766">
        <v>1.7391512041327273</v>
      </c>
      <c r="F29" s="766">
        <v>0.37128712871288272</v>
      </c>
      <c r="G29" s="767">
        <v>2.0320920117639973</v>
      </c>
      <c r="H29" s="766">
        <v>1.333937590171197</v>
      </c>
      <c r="I29" s="768">
        <v>1.3289036544850585</v>
      </c>
      <c r="J29" s="766">
        <v>253.86666666666665</v>
      </c>
      <c r="K29" s="766">
        <v>253.26666666666665</v>
      </c>
      <c r="L29" s="766">
        <v>99.390333333333331</v>
      </c>
      <c r="M29" s="766">
        <v>243.3</v>
      </c>
      <c r="N29" s="766">
        <v>95.868333333333339</v>
      </c>
      <c r="O29" s="766">
        <v>93.522908799888214</v>
      </c>
      <c r="P29" s="768">
        <v>91.5</v>
      </c>
      <c r="Q29" s="771"/>
      <c r="R29" s="772"/>
      <c r="S29"/>
      <c r="T29" s="771"/>
      <c r="U29" s="771"/>
      <c r="V29" s="436"/>
      <c r="W29" s="436"/>
      <c r="X29" s="438"/>
      <c r="Y29" s="438"/>
      <c r="Z29" s="438"/>
      <c r="AA29" s="438"/>
      <c r="AB29" s="438"/>
      <c r="AC29" s="438"/>
      <c r="AD29" s="438"/>
      <c r="AE29" s="438"/>
      <c r="AF29" s="438"/>
      <c r="AG29" s="438"/>
      <c r="AH29" s="438"/>
      <c r="AI29" s="438"/>
      <c r="AJ29" s="438"/>
      <c r="AK29" s="438"/>
      <c r="AL29" s="438"/>
      <c r="AM29" s="438"/>
      <c r="AN29" s="438"/>
      <c r="AO29" s="438"/>
      <c r="AP29" s="438"/>
      <c r="AQ29" s="438"/>
      <c r="AR29" s="438"/>
    </row>
    <row r="30" spans="1:44" ht="12.75" customHeight="1" thickBot="1">
      <c r="A30" s="756"/>
      <c r="B30" s="770" t="s">
        <v>1440</v>
      </c>
      <c r="C30" s="766">
        <v>2.4959957287773671</v>
      </c>
      <c r="D30" s="766">
        <v>2.5970548862115139</v>
      </c>
      <c r="E30" s="766">
        <v>1.7205634260859082</v>
      </c>
      <c r="F30" s="766">
        <v>-0.32845216915288189</v>
      </c>
      <c r="G30" s="767">
        <v>2.2914798994533303</v>
      </c>
      <c r="H30" s="766">
        <v>1.6082992369795601</v>
      </c>
      <c r="I30" s="768">
        <v>0.9944751381215422</v>
      </c>
      <c r="J30" s="766">
        <v>255.96666666666667</v>
      </c>
      <c r="K30" s="766">
        <v>255.46666666666667</v>
      </c>
      <c r="L30" s="766">
        <v>100.09099999999999</v>
      </c>
      <c r="M30" s="766">
        <v>242.76666666666665</v>
      </c>
      <c r="N30" s="766">
        <v>96.987666666666669</v>
      </c>
      <c r="O30" s="766">
        <v>94.312385840059164</v>
      </c>
      <c r="P30" s="768">
        <v>91.4</v>
      </c>
      <c r="Q30" s="771"/>
      <c r="R30" s="772"/>
      <c r="S30"/>
      <c r="T30" s="771"/>
      <c r="U30" s="771"/>
      <c r="V30" s="436"/>
      <c r="W30" s="436"/>
      <c r="X30" s="438"/>
      <c r="Y30" s="438"/>
      <c r="Z30" s="438"/>
      <c r="AA30" s="438"/>
      <c r="AB30" s="438"/>
      <c r="AC30" s="438"/>
      <c r="AD30" s="438"/>
      <c r="AE30" s="438"/>
      <c r="AF30" s="438"/>
      <c r="AG30" s="438"/>
      <c r="AH30" s="438"/>
      <c r="AI30" s="438"/>
      <c r="AJ30" s="438"/>
      <c r="AK30" s="438"/>
      <c r="AL30" s="438"/>
      <c r="AM30" s="438"/>
      <c r="AN30" s="438"/>
      <c r="AO30" s="438"/>
      <c r="AP30" s="438"/>
      <c r="AQ30" s="438"/>
      <c r="AR30" s="438"/>
    </row>
    <row r="31" spans="1:44" ht="26.15" customHeight="1" thickBot="1">
      <c r="A31" s="756"/>
      <c r="B31" s="770" t="s">
        <v>1441</v>
      </c>
      <c r="C31" s="766">
        <v>2.3917087430241901</v>
      </c>
      <c r="D31" s="766">
        <v>2.4783477681545873</v>
      </c>
      <c r="E31" s="766">
        <v>1.456000810578062</v>
      </c>
      <c r="F31" s="766">
        <v>-0.19081368406707044</v>
      </c>
      <c r="G31" s="767">
        <v>2.3513072123504841</v>
      </c>
      <c r="H31" s="766">
        <v>1.1214990787039802</v>
      </c>
      <c r="I31" s="768">
        <v>1.6483516483516425</v>
      </c>
      <c r="J31" s="766">
        <v>256.86666666666667</v>
      </c>
      <c r="K31" s="766">
        <v>256.36666666666667</v>
      </c>
      <c r="L31" s="766">
        <v>100.13200000000001</v>
      </c>
      <c r="M31" s="766">
        <v>244.1</v>
      </c>
      <c r="N31" s="766">
        <v>97.76733333333334</v>
      </c>
      <c r="O31" s="766">
        <v>94.055854869414844</v>
      </c>
      <c r="P31" s="768">
        <v>92.5</v>
      </c>
      <c r="Q31" s="771"/>
      <c r="R31" s="772"/>
      <c r="S31"/>
      <c r="T31" s="771"/>
      <c r="U31" s="771"/>
      <c r="V31" s="436"/>
      <c r="W31" s="436"/>
      <c r="X31" s="438"/>
      <c r="Y31" s="438"/>
      <c r="Z31" s="438"/>
      <c r="AA31" s="438"/>
      <c r="AB31" s="438"/>
      <c r="AC31" s="438"/>
      <c r="AD31" s="438"/>
      <c r="AE31" s="438"/>
      <c r="AF31" s="438"/>
      <c r="AG31" s="438"/>
      <c r="AH31" s="438"/>
      <c r="AI31" s="438"/>
      <c r="AJ31" s="438"/>
      <c r="AK31" s="438"/>
      <c r="AL31" s="438"/>
      <c r="AM31" s="438"/>
      <c r="AN31" s="438"/>
      <c r="AO31" s="438"/>
      <c r="AP31" s="438"/>
      <c r="AQ31" s="438"/>
      <c r="AR31" s="438"/>
    </row>
    <row r="32" spans="1:44" ht="25.5" customHeight="1" thickBot="1">
      <c r="A32" s="756"/>
      <c r="B32" s="770" t="s">
        <v>1442</v>
      </c>
      <c r="C32" s="766">
        <v>1.9672564034856288</v>
      </c>
      <c r="D32" s="766">
        <v>2.0251489080079343</v>
      </c>
      <c r="E32" s="766">
        <v>0.93523199527349998</v>
      </c>
      <c r="F32" s="766">
        <v>-2.7322404371576958E-2</v>
      </c>
      <c r="G32" s="767">
        <v>2.6784656656098527</v>
      </c>
      <c r="H32" s="766">
        <v>0.80048801729346586</v>
      </c>
      <c r="I32" s="768">
        <v>1.2074643249176731</v>
      </c>
      <c r="J32" s="766">
        <v>257.43333333333334</v>
      </c>
      <c r="K32" s="766">
        <v>256.93333333333334</v>
      </c>
      <c r="L32" s="766">
        <v>100.22666666666667</v>
      </c>
      <c r="M32" s="766">
        <v>243.93333333333337</v>
      </c>
      <c r="N32" s="766">
        <v>98.23933333333332</v>
      </c>
      <c r="O32" s="766">
        <v>93.841633158057533</v>
      </c>
      <c r="P32" s="768">
        <v>92.2</v>
      </c>
      <c r="Q32" s="771"/>
      <c r="R32" s="772"/>
      <c r="S32"/>
      <c r="T32" s="771"/>
      <c r="U32" s="771"/>
      <c r="V32" s="436"/>
      <c r="W32" s="436"/>
      <c r="X32" s="438"/>
      <c r="Y32" s="438"/>
      <c r="Z32" s="438"/>
      <c r="AA32" s="438"/>
      <c r="AB32" s="438"/>
      <c r="AC32" s="438"/>
      <c r="AD32" s="438"/>
      <c r="AE32" s="438"/>
      <c r="AF32" s="438"/>
      <c r="AG32" s="438"/>
      <c r="AH32" s="438"/>
      <c r="AI32" s="438"/>
      <c r="AJ32" s="438"/>
      <c r="AK32" s="438"/>
      <c r="AL32" s="438"/>
      <c r="AM32" s="438"/>
      <c r="AN32" s="438"/>
      <c r="AO32" s="438"/>
      <c r="AP32" s="438"/>
      <c r="AQ32" s="438"/>
      <c r="AR32" s="438"/>
    </row>
    <row r="33" spans="1:44" ht="12.75" customHeight="1" thickBot="1">
      <c r="A33" s="756"/>
      <c r="B33" s="770" t="s">
        <v>1443</v>
      </c>
      <c r="C33" s="766">
        <v>0.99789915966388421</v>
      </c>
      <c r="D33" s="766">
        <v>1.0265859436694003</v>
      </c>
      <c r="E33" s="766">
        <v>0.10061340640104</v>
      </c>
      <c r="F33" s="766">
        <v>0.34251267296889765</v>
      </c>
      <c r="G33" s="767">
        <v>2.8062794457676343</v>
      </c>
      <c r="H33" s="766">
        <v>-0.19969877466009534</v>
      </c>
      <c r="I33" s="768">
        <v>0.98360655737705915</v>
      </c>
      <c r="J33" s="766">
        <v>256.40000000000003</v>
      </c>
      <c r="K33" s="766">
        <v>255.86666666666667</v>
      </c>
      <c r="L33" s="766">
        <v>99.490333333333339</v>
      </c>
      <c r="M33" s="766">
        <v>244.13333333333333</v>
      </c>
      <c r="N33" s="766">
        <v>98.558666666666682</v>
      </c>
      <c r="O33" s="766">
        <v>93.336144696988356</v>
      </c>
      <c r="P33" s="768">
        <v>92.4</v>
      </c>
      <c r="Q33" s="771"/>
      <c r="R33" s="772"/>
      <c r="S33"/>
      <c r="T33" s="771"/>
      <c r="U33" s="771"/>
      <c r="V33" s="436"/>
      <c r="W33" s="436"/>
      <c r="X33" s="438"/>
      <c r="Y33" s="438"/>
      <c r="Z33" s="438"/>
      <c r="AA33" s="438"/>
      <c r="AB33" s="438"/>
      <c r="AC33" s="438"/>
      <c r="AD33" s="438"/>
      <c r="AE33" s="438"/>
      <c r="AF33" s="438"/>
      <c r="AG33" s="438"/>
      <c r="AH33" s="438"/>
      <c r="AI33" s="438"/>
      <c r="AJ33" s="438"/>
      <c r="AK33" s="438"/>
      <c r="AL33" s="438"/>
      <c r="AM33" s="438"/>
      <c r="AN33" s="438"/>
      <c r="AO33" s="438"/>
      <c r="AP33" s="438"/>
      <c r="AQ33" s="438"/>
      <c r="AR33" s="438"/>
    </row>
    <row r="34" spans="1:44" ht="25.4" customHeight="1" thickBot="1">
      <c r="A34" s="756"/>
      <c r="B34" s="770" t="s">
        <v>1444</v>
      </c>
      <c r="C34" s="766">
        <v>0.97668967313451205</v>
      </c>
      <c r="D34" s="766">
        <v>1.0046972860125347</v>
      </c>
      <c r="E34" s="766">
        <v>-1.6651513789101013E-2</v>
      </c>
      <c r="F34" s="766">
        <v>0.23342029383497387</v>
      </c>
      <c r="G34" s="767">
        <v>2.7666748005760189</v>
      </c>
      <c r="H34" s="766">
        <v>-0.88913291408685424</v>
      </c>
      <c r="I34" s="768">
        <v>0.87527352297591676</v>
      </c>
      <c r="J34" s="766">
        <v>258.46666666666664</v>
      </c>
      <c r="K34" s="766">
        <v>258.03333333333336</v>
      </c>
      <c r="L34" s="766">
        <v>100.07433333333334</v>
      </c>
      <c r="M34" s="766">
        <v>243.33333333333337</v>
      </c>
      <c r="N34" s="766">
        <v>99.671000000000006</v>
      </c>
      <c r="O34" s="766">
        <v>93.473823375494604</v>
      </c>
      <c r="P34" s="768">
        <v>92.2</v>
      </c>
      <c r="Q34" s="771"/>
      <c r="R34" s="772"/>
      <c r="S34"/>
      <c r="T34" s="771"/>
      <c r="U34" s="771"/>
      <c r="V34" s="436"/>
      <c r="W34" s="436"/>
      <c r="X34" s="438"/>
      <c r="Y34" s="438"/>
      <c r="Z34" s="438"/>
      <c r="AA34" s="438"/>
      <c r="AB34" s="438"/>
      <c r="AC34" s="438"/>
      <c r="AD34" s="438"/>
      <c r="AE34" s="438"/>
      <c r="AF34" s="438"/>
      <c r="AG34" s="438"/>
      <c r="AH34" s="438"/>
      <c r="AI34" s="438"/>
      <c r="AJ34" s="438"/>
      <c r="AK34" s="438"/>
      <c r="AL34" s="438"/>
      <c r="AM34" s="438"/>
      <c r="AN34" s="438"/>
      <c r="AO34" s="438"/>
      <c r="AP34" s="438"/>
      <c r="AQ34" s="438"/>
      <c r="AR34" s="438"/>
    </row>
    <row r="35" spans="1:44" ht="26.15" customHeight="1" thickBot="1">
      <c r="A35" s="756"/>
      <c r="B35" s="770" t="s">
        <v>1445</v>
      </c>
      <c r="C35" s="766">
        <v>0.96029068258500772</v>
      </c>
      <c r="D35" s="766">
        <v>1.0271746196853337</v>
      </c>
      <c r="E35" s="766">
        <v>9.6539234876180657E-3</v>
      </c>
      <c r="F35" s="766">
        <v>-0.91492557694933252</v>
      </c>
      <c r="G35" s="767">
        <v>2.8867856339199971</v>
      </c>
      <c r="H35" s="766">
        <v>-0.33131193044807494</v>
      </c>
      <c r="I35" s="768">
        <v>0</v>
      </c>
      <c r="J35" s="766">
        <v>259.33333333333337</v>
      </c>
      <c r="K35" s="766">
        <v>259</v>
      </c>
      <c r="L35" s="766">
        <v>100.14166666666664</v>
      </c>
      <c r="M35" s="766">
        <v>241.86666666666667</v>
      </c>
      <c r="N35" s="766">
        <v>100.58966666666667</v>
      </c>
      <c r="O35" s="766">
        <v>93.744236600947545</v>
      </c>
      <c r="P35" s="768">
        <v>92.5</v>
      </c>
      <c r="Q35" s="771"/>
      <c r="R35" s="772"/>
      <c r="S35"/>
      <c r="T35" s="771"/>
      <c r="U35" s="771"/>
      <c r="V35" s="436"/>
      <c r="W35" s="436"/>
      <c r="X35" s="438"/>
      <c r="Y35" s="438"/>
      <c r="Z35" s="438"/>
      <c r="AA35" s="438"/>
      <c r="AB35" s="438"/>
      <c r="AC35" s="438"/>
      <c r="AD35" s="438"/>
      <c r="AE35" s="438"/>
      <c r="AF35" s="438"/>
      <c r="AG35" s="438"/>
      <c r="AH35" s="438"/>
      <c r="AI35" s="438"/>
      <c r="AJ35" s="438"/>
      <c r="AK35" s="438"/>
      <c r="AL35" s="438"/>
      <c r="AM35" s="438"/>
      <c r="AN35" s="438"/>
      <c r="AO35" s="438"/>
      <c r="AP35" s="438"/>
      <c r="AQ35" s="438"/>
      <c r="AR35" s="438"/>
    </row>
    <row r="36" spans="1:44" ht="12.75" customHeight="1" thickBot="1">
      <c r="A36" s="756"/>
      <c r="B36" s="770" t="s">
        <v>1446</v>
      </c>
      <c r="C36" s="766">
        <v>0.98407354654925783</v>
      </c>
      <c r="D36" s="766">
        <v>1.0508562532433485</v>
      </c>
      <c r="E36" s="766">
        <v>6.7181056272436201E-2</v>
      </c>
      <c r="F36" s="766">
        <v>-1.3528286417053947</v>
      </c>
      <c r="G36" s="767">
        <v>2.9940485481036117</v>
      </c>
      <c r="H36" s="766">
        <v>2.8780258941751846E-2</v>
      </c>
      <c r="I36" s="768">
        <v>0.86767895878525625</v>
      </c>
      <c r="J36" s="766">
        <v>259.96666666666664</v>
      </c>
      <c r="K36" s="766">
        <v>259.63333333333327</v>
      </c>
      <c r="L36" s="766">
        <v>100.294</v>
      </c>
      <c r="M36" s="766">
        <v>240.63333333333333</v>
      </c>
      <c r="N36" s="766">
        <v>101.18066666666665</v>
      </c>
      <c r="O36" s="766">
        <v>93.868641023075597</v>
      </c>
      <c r="P36" s="768">
        <v>93</v>
      </c>
      <c r="Q36" s="771"/>
      <c r="R36" s="772"/>
      <c r="S36"/>
      <c r="T36" s="771"/>
      <c r="U36" s="771"/>
      <c r="V36" s="436"/>
      <c r="W36" s="436"/>
      <c r="X36" s="438"/>
      <c r="Y36" s="438"/>
      <c r="Z36" s="438"/>
      <c r="AA36" s="438"/>
      <c r="AB36" s="438"/>
      <c r="AC36" s="438"/>
      <c r="AD36" s="438"/>
      <c r="AE36" s="438"/>
      <c r="AF36" s="438"/>
      <c r="AG36" s="438"/>
      <c r="AH36" s="438"/>
      <c r="AI36" s="438"/>
      <c r="AJ36" s="438"/>
      <c r="AK36" s="438"/>
      <c r="AL36" s="438"/>
      <c r="AM36" s="438"/>
      <c r="AN36" s="438"/>
      <c r="AO36" s="438"/>
      <c r="AP36" s="438"/>
      <c r="AQ36" s="438"/>
      <c r="AR36" s="438"/>
    </row>
    <row r="37" spans="1:44" ht="26.15" customHeight="1" thickBot="1">
      <c r="A37" s="756"/>
      <c r="B37" s="770" t="s">
        <v>1447</v>
      </c>
      <c r="C37" s="766">
        <v>1.3910556422256581</v>
      </c>
      <c r="D37" s="766">
        <v>1.4721208963001331</v>
      </c>
      <c r="E37" s="766">
        <v>0.34676735763272681</v>
      </c>
      <c r="F37" s="766">
        <v>-1.7067176406335371</v>
      </c>
      <c r="G37" s="767">
        <v>2.9312490699278992</v>
      </c>
      <c r="H37" s="766">
        <v>0.68503270067521438</v>
      </c>
      <c r="I37" s="768">
        <v>1.1904761904761862</v>
      </c>
      <c r="J37" s="766">
        <v>259.96666666666664</v>
      </c>
      <c r="K37" s="766">
        <v>259.63333333333327</v>
      </c>
      <c r="L37" s="766">
        <v>99.835333333333324</v>
      </c>
      <c r="M37" s="766">
        <v>239.96666666666664</v>
      </c>
      <c r="N37" s="766">
        <v>101.44766666666668</v>
      </c>
      <c r="O37" s="766">
        <v>93.975527809712261</v>
      </c>
      <c r="P37" s="768">
        <v>93.5</v>
      </c>
      <c r="Q37" s="771"/>
      <c r="R37" s="772"/>
      <c r="S37"/>
      <c r="T37" s="771"/>
      <c r="U37" s="771"/>
      <c r="V37" s="436"/>
      <c r="W37" s="436"/>
      <c r="X37" s="438"/>
      <c r="Y37" s="438"/>
      <c r="Z37" s="438"/>
      <c r="AA37" s="438"/>
      <c r="AB37" s="438"/>
      <c r="AC37" s="438"/>
      <c r="AD37" s="438"/>
      <c r="AE37" s="438"/>
      <c r="AF37" s="438"/>
      <c r="AG37" s="438"/>
      <c r="AH37" s="438"/>
      <c r="AI37" s="438"/>
      <c r="AJ37" s="438"/>
      <c r="AK37" s="438"/>
      <c r="AL37" s="438"/>
      <c r="AM37" s="438"/>
      <c r="AN37" s="438"/>
      <c r="AO37" s="438"/>
      <c r="AP37" s="438"/>
      <c r="AQ37" s="438"/>
      <c r="AR37" s="438"/>
    </row>
    <row r="38" spans="1:44" ht="25.5" customHeight="1" thickBot="1">
      <c r="A38" s="756"/>
      <c r="B38" s="770" t="s">
        <v>1448</v>
      </c>
      <c r="C38" s="766">
        <v>1.4444157854010875</v>
      </c>
      <c r="D38" s="766">
        <v>1.5243508590621069</v>
      </c>
      <c r="E38" s="766">
        <v>0.35140545527823086</v>
      </c>
      <c r="F38" s="766">
        <v>-1.7945205479452331</v>
      </c>
      <c r="G38" s="767">
        <v>1.8420603786457379</v>
      </c>
      <c r="H38" s="766">
        <v>0.97482028010369426</v>
      </c>
      <c r="I38" s="768">
        <v>1.7353579175704903</v>
      </c>
      <c r="J38" s="766">
        <v>262.2</v>
      </c>
      <c r="K38" s="766">
        <v>261.96666666666664</v>
      </c>
      <c r="L38" s="766">
        <v>100.426</v>
      </c>
      <c r="M38" s="766">
        <v>238.96666666666664</v>
      </c>
      <c r="N38" s="766">
        <v>101.50700000000001</v>
      </c>
      <c r="O38" s="766">
        <v>94.385025162347233</v>
      </c>
      <c r="P38" s="768">
        <v>93.8</v>
      </c>
      <c r="Q38" s="771"/>
      <c r="R38" s="772"/>
      <c r="S38"/>
      <c r="T38" s="771"/>
      <c r="U38" s="771"/>
      <c r="V38" s="436"/>
      <c r="W38" s="436"/>
      <c r="X38" s="438"/>
      <c r="Y38" s="438"/>
      <c r="Z38" s="438"/>
      <c r="AA38" s="438"/>
      <c r="AB38" s="438"/>
      <c r="AC38" s="438"/>
      <c r="AD38" s="438"/>
      <c r="AE38" s="438"/>
      <c r="AF38" s="438"/>
      <c r="AG38" s="438"/>
      <c r="AH38" s="438"/>
      <c r="AI38" s="438"/>
      <c r="AJ38" s="438"/>
      <c r="AK38" s="438"/>
      <c r="AL38" s="438"/>
      <c r="AM38" s="438"/>
      <c r="AN38" s="438"/>
      <c r="AO38" s="438"/>
      <c r="AP38" s="438"/>
      <c r="AQ38" s="438"/>
      <c r="AR38" s="438"/>
    </row>
    <row r="39" spans="1:44" ht="12.75" customHeight="1" thickBot="1">
      <c r="A39" s="756"/>
      <c r="B39" s="770" t="s">
        <v>1449</v>
      </c>
      <c r="C39" s="766">
        <v>1.8894601542416067</v>
      </c>
      <c r="D39" s="766">
        <v>2.0077220077220126</v>
      </c>
      <c r="E39" s="766">
        <v>0.72630440209706659</v>
      </c>
      <c r="F39" s="766">
        <v>-3.1835722160970414</v>
      </c>
      <c r="G39" s="767">
        <v>1.2771358224336948</v>
      </c>
      <c r="H39" s="766">
        <v>1.4779623276098164</v>
      </c>
      <c r="I39" s="768">
        <v>2.3783783783783763</v>
      </c>
      <c r="J39" s="766">
        <v>264.23333333333329</v>
      </c>
      <c r="K39" s="766">
        <v>264.2</v>
      </c>
      <c r="L39" s="766">
        <v>100.869</v>
      </c>
      <c r="M39" s="766">
        <v>234.16666666666663</v>
      </c>
      <c r="N39" s="766">
        <v>101.87433333333333</v>
      </c>
      <c r="O39" s="766">
        <v>95.129741102214965</v>
      </c>
      <c r="P39" s="768">
        <v>94.7</v>
      </c>
      <c r="Q39" s="771"/>
      <c r="R39" s="772"/>
      <c r="S39"/>
      <c r="T39" s="771"/>
      <c r="U39" s="771"/>
      <c r="V39" s="436"/>
      <c r="W39" s="436"/>
      <c r="X39" s="438"/>
      <c r="Y39" s="438"/>
      <c r="Z39" s="438"/>
      <c r="AA39" s="438"/>
      <c r="AB39" s="438"/>
      <c r="AC39" s="438"/>
      <c r="AD39" s="438"/>
      <c r="AE39" s="438"/>
      <c r="AF39" s="438"/>
      <c r="AG39" s="438"/>
      <c r="AH39" s="438"/>
      <c r="AI39" s="438"/>
      <c r="AJ39" s="438"/>
      <c r="AK39" s="438"/>
      <c r="AL39" s="438"/>
      <c r="AM39" s="438"/>
      <c r="AN39" s="438"/>
      <c r="AO39" s="438"/>
      <c r="AP39" s="438"/>
      <c r="AQ39" s="438"/>
      <c r="AR39" s="438"/>
    </row>
    <row r="40" spans="1:44" ht="16" thickBot="1">
      <c r="A40" s="756"/>
      <c r="B40" s="770" t="s">
        <v>1450</v>
      </c>
      <c r="C40" s="766">
        <v>2.2438774201820832</v>
      </c>
      <c r="D40" s="766">
        <v>2.4778533829760141</v>
      </c>
      <c r="E40" s="766">
        <v>1.2111060149826436</v>
      </c>
      <c r="F40" s="766">
        <v>-5.7210139908574487</v>
      </c>
      <c r="G40" s="767">
        <v>1.0031560706591058</v>
      </c>
      <c r="H40" s="766">
        <v>1.8458444367888571</v>
      </c>
      <c r="I40" s="768">
        <v>2.4731182795698858</v>
      </c>
      <c r="J40" s="766">
        <v>265.8</v>
      </c>
      <c r="K40" s="766">
        <v>266.06666666666666</v>
      </c>
      <c r="L40" s="766">
        <v>101.50866666666668</v>
      </c>
      <c r="M40" s="766">
        <v>226.86666666666667</v>
      </c>
      <c r="N40" s="766">
        <v>102.19566666666667</v>
      </c>
      <c r="O40" s="766">
        <v>95.601310111289351</v>
      </c>
      <c r="P40" s="768">
        <v>95.3</v>
      </c>
      <c r="Q40" s="771"/>
      <c r="R40" s="772"/>
      <c r="S40"/>
      <c r="T40" s="771"/>
      <c r="U40" s="771"/>
      <c r="V40" s="436"/>
      <c r="W40" s="436"/>
      <c r="X40" s="438"/>
      <c r="Y40" s="438"/>
      <c r="Z40" s="438"/>
      <c r="AA40" s="438"/>
      <c r="AB40" s="438"/>
      <c r="AC40" s="438"/>
      <c r="AD40" s="438"/>
      <c r="AE40" s="438"/>
      <c r="AF40" s="438"/>
      <c r="AG40" s="438"/>
      <c r="AH40" s="438"/>
      <c r="AI40" s="438"/>
      <c r="AJ40" s="438"/>
      <c r="AK40" s="438"/>
      <c r="AL40" s="438"/>
      <c r="AM40" s="438"/>
      <c r="AN40" s="438"/>
      <c r="AO40" s="438"/>
      <c r="AP40" s="438"/>
      <c r="AQ40" s="438"/>
      <c r="AR40" s="438"/>
    </row>
    <row r="41" spans="1:44" ht="27.75" customHeight="1" thickBot="1">
      <c r="A41" s="756"/>
      <c r="B41" s="770" t="s">
        <v>1451</v>
      </c>
      <c r="C41" s="766">
        <v>2.9875623797922968</v>
      </c>
      <c r="D41" s="766">
        <v>3.2610091154192</v>
      </c>
      <c r="E41" s="766">
        <v>2.1435296788712144</v>
      </c>
      <c r="F41" s="766">
        <v>-6.2369773579663779</v>
      </c>
      <c r="G41" s="767">
        <v>1.209819184275629</v>
      </c>
      <c r="H41" s="766">
        <v>1.7377842171788949</v>
      </c>
      <c r="I41" s="768">
        <v>2.4598930481283476</v>
      </c>
      <c r="J41" s="766">
        <v>267.73333300000002</v>
      </c>
      <c r="K41" s="766">
        <v>268.09999999999997</v>
      </c>
      <c r="L41" s="766">
        <v>101.97533333333332</v>
      </c>
      <c r="M41" s="766">
        <v>225</v>
      </c>
      <c r="N41" s="766">
        <v>102.675</v>
      </c>
      <c r="O41" s="766">
        <v>95.608619700000006</v>
      </c>
      <c r="P41" s="768">
        <v>95.8</v>
      </c>
      <c r="Q41" s="771"/>
      <c r="R41" s="772"/>
      <c r="S41"/>
      <c r="T41" s="771"/>
      <c r="U41" s="771"/>
      <c r="V41" s="436"/>
      <c r="W41" s="436"/>
      <c r="X41" s="438"/>
      <c r="Y41" s="438"/>
      <c r="Z41" s="438"/>
      <c r="AA41" s="438"/>
      <c r="AB41" s="438"/>
      <c r="AC41" s="438"/>
      <c r="AD41" s="438"/>
      <c r="AE41" s="438"/>
      <c r="AF41" s="438"/>
      <c r="AG41" s="438"/>
      <c r="AH41" s="438"/>
      <c r="AI41" s="438"/>
      <c r="AJ41" s="438"/>
      <c r="AK41" s="438"/>
      <c r="AL41" s="438"/>
      <c r="AM41" s="438"/>
      <c r="AN41" s="438"/>
      <c r="AO41" s="438"/>
      <c r="AP41" s="438"/>
      <c r="AQ41" s="438"/>
      <c r="AR41" s="438"/>
    </row>
    <row r="42" spans="1:44" ht="16" thickBot="1">
      <c r="A42" s="756"/>
      <c r="B42" s="770" t="s">
        <v>1452</v>
      </c>
      <c r="C42" s="766">
        <v>3.5596235697940681</v>
      </c>
      <c r="D42" s="766">
        <v>3.8300038172795592</v>
      </c>
      <c r="E42" s="766">
        <v>2.7429815651988987</v>
      </c>
      <c r="F42" s="766">
        <v>-6.1096385827869915</v>
      </c>
      <c r="G42" s="767">
        <v>1.0826839528308208</v>
      </c>
      <c r="H42" s="766">
        <v>2.0227647705437057</v>
      </c>
      <c r="I42" s="768">
        <v>2.1321961620469176</v>
      </c>
      <c r="J42" s="766">
        <v>271.53333300000003</v>
      </c>
      <c r="K42" s="766">
        <v>272</v>
      </c>
      <c r="L42" s="766">
        <v>103.18066666666664</v>
      </c>
      <c r="M42" s="766">
        <v>224.36666700000001</v>
      </c>
      <c r="N42" s="766">
        <v>102.60599999999999</v>
      </c>
      <c r="O42" s="766">
        <v>96.294212200000004</v>
      </c>
      <c r="P42" s="768">
        <v>95.8</v>
      </c>
      <c r="Q42" s="771"/>
      <c r="R42" s="772"/>
      <c r="S42"/>
      <c r="T42" s="771"/>
      <c r="U42" s="771"/>
      <c r="V42" s="436"/>
      <c r="W42" s="436"/>
      <c r="X42" s="438"/>
      <c r="Y42" s="438"/>
      <c r="Z42" s="438"/>
      <c r="AA42" s="438"/>
      <c r="AB42" s="438"/>
      <c r="AC42" s="438"/>
      <c r="AD42" s="438"/>
      <c r="AE42" s="438"/>
      <c r="AF42" s="438"/>
      <c r="AG42" s="438"/>
      <c r="AH42" s="438"/>
      <c r="AI42" s="438"/>
      <c r="AJ42" s="438"/>
      <c r="AK42" s="438"/>
      <c r="AL42" s="438"/>
      <c r="AM42" s="438"/>
      <c r="AN42" s="438"/>
      <c r="AO42" s="438"/>
      <c r="AP42" s="438"/>
      <c r="AQ42" s="438"/>
      <c r="AR42" s="438"/>
    </row>
    <row r="43" spans="1:44" ht="27.75" customHeight="1" thickBot="1">
      <c r="A43" s="756"/>
      <c r="B43" s="770" t="s">
        <v>1453</v>
      </c>
      <c r="C43" s="766">
        <v>3.7845337454270433</v>
      </c>
      <c r="D43" s="766">
        <v>4.0247287408528898</v>
      </c>
      <c r="E43" s="766">
        <v>2.816854864560292</v>
      </c>
      <c r="F43" s="766">
        <v>-4.6832740213523021</v>
      </c>
      <c r="G43" s="767">
        <v>0.89620218373616112</v>
      </c>
      <c r="H43" s="766">
        <v>1.7055406426910391</v>
      </c>
      <c r="I43" s="768">
        <v>1.2671594508975703</v>
      </c>
      <c r="J43" s="766">
        <v>274.23333300000002</v>
      </c>
      <c r="K43" s="766">
        <v>274.83333333333331</v>
      </c>
      <c r="L43" s="766">
        <v>103.71033333333332</v>
      </c>
      <c r="M43" s="766">
        <v>223.2</v>
      </c>
      <c r="N43" s="766">
        <v>102.78733333333332</v>
      </c>
      <c r="O43" s="766">
        <v>96.7522175</v>
      </c>
      <c r="P43" s="768">
        <v>95.9</v>
      </c>
      <c r="Q43" s="771"/>
      <c r="R43" s="772"/>
      <c r="S43"/>
      <c r="T43" s="771"/>
      <c r="U43" s="771"/>
      <c r="V43" s="436"/>
      <c r="W43" s="436"/>
      <c r="X43" s="438"/>
      <c r="Y43" s="438"/>
      <c r="Z43" s="438"/>
      <c r="AA43" s="438"/>
      <c r="AB43" s="438"/>
      <c r="AC43" s="438"/>
      <c r="AD43" s="438"/>
      <c r="AE43" s="438"/>
      <c r="AF43" s="438"/>
      <c r="AG43" s="438"/>
      <c r="AH43" s="438"/>
      <c r="AI43" s="438"/>
      <c r="AJ43" s="438"/>
      <c r="AK43" s="438"/>
      <c r="AL43" s="438"/>
      <c r="AM43" s="438"/>
      <c r="AN43" s="438"/>
      <c r="AO43" s="438"/>
      <c r="AP43" s="438"/>
      <c r="AQ43" s="438"/>
      <c r="AR43" s="438"/>
    </row>
    <row r="44" spans="1:44" ht="27.75" customHeight="1" thickBot="1">
      <c r="A44" s="756"/>
      <c r="B44" s="770" t="s">
        <v>1454</v>
      </c>
      <c r="C44" s="766">
        <v>3.9879608728367044</v>
      </c>
      <c r="D44" s="766">
        <v>4.0967176146329054</v>
      </c>
      <c r="E44" s="766">
        <v>3.0217452696978064</v>
      </c>
      <c r="F44" s="766">
        <v>-0.26447237731412887</v>
      </c>
      <c r="G44" s="767">
        <v>0.61744300965143051</v>
      </c>
      <c r="H44" s="766">
        <v>1.8208365415539163</v>
      </c>
      <c r="I44" s="768">
        <v>1.5739769150052485</v>
      </c>
      <c r="J44" s="766">
        <v>276.39999999999998</v>
      </c>
      <c r="K44" s="766">
        <v>276.96666666666664</v>
      </c>
      <c r="L44" s="766">
        <v>104.57599999999999</v>
      </c>
      <c r="M44" s="766">
        <v>226.26666700000001</v>
      </c>
      <c r="N44" s="766">
        <v>102.82666666666667</v>
      </c>
      <c r="O44" s="766">
        <v>97.342053699999994</v>
      </c>
      <c r="P44" s="768">
        <v>96.8</v>
      </c>
      <c r="Q44" s="771"/>
      <c r="R44" s="772"/>
      <c r="S44"/>
      <c r="T44" s="771"/>
      <c r="U44" s="771"/>
      <c r="V44" s="436"/>
      <c r="W44" s="436"/>
      <c r="X44" s="438"/>
      <c r="Y44" s="438"/>
      <c r="Z44" s="438"/>
      <c r="AA44" s="438"/>
      <c r="AB44" s="438"/>
      <c r="AC44" s="438"/>
      <c r="AD44" s="438"/>
      <c r="AE44" s="438"/>
      <c r="AF44" s="438"/>
      <c r="AG44" s="438"/>
      <c r="AH44" s="438"/>
      <c r="AI44" s="438"/>
      <c r="AJ44" s="438"/>
      <c r="AK44" s="438"/>
      <c r="AL44" s="438"/>
      <c r="AM44" s="438"/>
      <c r="AN44" s="438"/>
      <c r="AO44" s="438"/>
      <c r="AP44" s="438"/>
      <c r="AQ44" s="438"/>
      <c r="AR44" s="438"/>
    </row>
    <row r="45" spans="1:44" ht="13.4" customHeight="1" thickBot="1">
      <c r="A45" s="756"/>
      <c r="B45" s="770" t="s">
        <v>1455</v>
      </c>
      <c r="C45" s="766">
        <v>3.6354584208608598</v>
      </c>
      <c r="D45" s="766">
        <v>3.6802188238219902</v>
      </c>
      <c r="E45" s="766">
        <v>2.7176506736923622</v>
      </c>
      <c r="F45" s="766">
        <v>2.2222222222222143</v>
      </c>
      <c r="G45" s="767">
        <v>0.31393555717882382</v>
      </c>
      <c r="H45" s="766">
        <v>2.3652044209984346</v>
      </c>
      <c r="I45" s="768">
        <v>1.2526096033403045</v>
      </c>
      <c r="J45" s="766">
        <v>277.46666699999997</v>
      </c>
      <c r="K45" s="766">
        <v>277.9666666666667</v>
      </c>
      <c r="L45" s="766">
        <v>104.74666666666668</v>
      </c>
      <c r="M45" s="766">
        <v>230</v>
      </c>
      <c r="N45" s="766">
        <v>102.99733333333334</v>
      </c>
      <c r="O45" s="766">
        <v>97.869958999999994</v>
      </c>
      <c r="P45" s="768">
        <v>97</v>
      </c>
      <c r="Q45" s="771"/>
      <c r="R45" s="772"/>
      <c r="S45"/>
      <c r="T45" s="771"/>
      <c r="U45" s="771"/>
      <c r="V45" s="436"/>
      <c r="W45" s="436"/>
      <c r="X45" s="438"/>
      <c r="Y45" s="438"/>
      <c r="Z45" s="438"/>
      <c r="AA45" s="438"/>
      <c r="AB45" s="438"/>
      <c r="AC45" s="438"/>
      <c r="AD45" s="438"/>
      <c r="AE45" s="438"/>
      <c r="AF45" s="438"/>
      <c r="AG45" s="438"/>
      <c r="AH45" s="438"/>
      <c r="AI45" s="438"/>
      <c r="AJ45" s="438"/>
      <c r="AK45" s="438"/>
      <c r="AL45" s="438"/>
      <c r="AM45" s="438"/>
      <c r="AN45" s="438"/>
      <c r="AO45" s="438"/>
      <c r="AP45" s="438"/>
      <c r="AQ45" s="438"/>
      <c r="AR45" s="438"/>
    </row>
    <row r="46" spans="1:44" ht="15" customHeight="1" thickBot="1">
      <c r="A46" s="756"/>
      <c r="B46" s="770" t="s">
        <v>1456</v>
      </c>
      <c r="C46" s="766">
        <v>3.3513380841533547</v>
      </c>
      <c r="D46" s="766">
        <v>3.3823529411764586</v>
      </c>
      <c r="E46" s="766">
        <v>2.4164733703342822</v>
      </c>
      <c r="F46" s="766">
        <v>2.2284950197169806</v>
      </c>
      <c r="G46" s="767">
        <v>0.35670428629903661</v>
      </c>
      <c r="H46" s="766">
        <v>1.94025295738387</v>
      </c>
      <c r="I46" s="768">
        <v>1.8789144050104456</v>
      </c>
      <c r="J46" s="766">
        <v>280.63333299999999</v>
      </c>
      <c r="K46" s="766">
        <v>281.2</v>
      </c>
      <c r="L46" s="766">
        <v>105.67400000000002</v>
      </c>
      <c r="M46" s="766">
        <v>229.36666700000001</v>
      </c>
      <c r="N46" s="766">
        <v>102.97199999999999</v>
      </c>
      <c r="O46" s="766">
        <v>98.162563500000005</v>
      </c>
      <c r="P46" s="768">
        <v>97.6</v>
      </c>
      <c r="Q46" s="771"/>
      <c r="R46" s="772"/>
      <c r="S46"/>
      <c r="T46" s="771"/>
      <c r="U46" s="771"/>
      <c r="V46" s="436"/>
      <c r="W46" s="436"/>
      <c r="X46" s="438"/>
      <c r="Y46" s="438"/>
      <c r="Z46" s="438"/>
      <c r="AA46" s="438"/>
      <c r="AB46" s="438"/>
      <c r="AC46" s="438"/>
      <c r="AD46" s="438"/>
      <c r="AE46" s="438"/>
      <c r="AF46" s="438"/>
      <c r="AG46" s="438"/>
      <c r="AH46" s="438"/>
      <c r="AI46" s="438"/>
      <c r="AJ46" s="438"/>
      <c r="AK46" s="438"/>
      <c r="AL46" s="438"/>
      <c r="AM46" s="438"/>
      <c r="AN46" s="438"/>
      <c r="AO46" s="438"/>
      <c r="AP46" s="438"/>
      <c r="AQ46" s="438"/>
      <c r="AR46" s="438"/>
    </row>
    <row r="47" spans="1:44" ht="16" thickBot="1">
      <c r="A47" s="756"/>
      <c r="B47" s="770" t="s">
        <v>1457</v>
      </c>
      <c r="C47" s="766">
        <v>3.3183420485211279</v>
      </c>
      <c r="D47" s="766">
        <v>3.2989690721649811</v>
      </c>
      <c r="E47" s="766">
        <v>2.5153391979584327</v>
      </c>
      <c r="F47" s="766">
        <v>4.3309439964157814</v>
      </c>
      <c r="G47" s="767">
        <v>0.4945486149395828</v>
      </c>
      <c r="H47" s="766">
        <v>2.0550045790940219</v>
      </c>
      <c r="I47" s="768">
        <v>2.294056308654846</v>
      </c>
      <c r="J47" s="766">
        <v>283.33333299999998</v>
      </c>
      <c r="K47" s="766">
        <v>283.90000000000009</v>
      </c>
      <c r="L47" s="766">
        <v>106.319</v>
      </c>
      <c r="M47" s="766">
        <v>232.86666700000001</v>
      </c>
      <c r="N47" s="766">
        <v>103.29566666666666</v>
      </c>
      <c r="O47" s="766">
        <v>98.740480000000005</v>
      </c>
      <c r="P47" s="768">
        <v>98.1</v>
      </c>
      <c r="Q47" s="771"/>
      <c r="R47" s="772"/>
      <c r="S47"/>
      <c r="T47" s="771"/>
      <c r="U47" s="771"/>
      <c r="V47" s="436"/>
      <c r="W47" s="436"/>
      <c r="X47" s="438"/>
      <c r="Y47" s="438"/>
      <c r="Z47" s="438"/>
      <c r="AA47" s="438"/>
      <c r="AB47" s="438"/>
      <c r="AC47" s="438"/>
      <c r="AD47" s="438"/>
      <c r="AE47" s="438"/>
      <c r="AF47" s="438"/>
      <c r="AG47" s="438"/>
      <c r="AH47" s="438"/>
      <c r="AI47" s="438"/>
      <c r="AJ47" s="438"/>
      <c r="AK47" s="438"/>
      <c r="AL47" s="438"/>
      <c r="AM47" s="438"/>
      <c r="AN47" s="438"/>
      <c r="AO47" s="438"/>
      <c r="AP47" s="438"/>
      <c r="AQ47" s="438"/>
      <c r="AR47" s="438"/>
    </row>
    <row r="48" spans="1:44" ht="15" customHeight="1" thickBot="1">
      <c r="A48" s="756"/>
      <c r="B48" s="770" t="s">
        <v>1458</v>
      </c>
      <c r="C48" s="766">
        <v>3.0752532561505008</v>
      </c>
      <c r="D48" s="766">
        <v>3.0087856541100244</v>
      </c>
      <c r="E48" s="766">
        <v>2.2682068543451672</v>
      </c>
      <c r="F48" s="766">
        <v>5.5981140165024756</v>
      </c>
      <c r="G48" s="767">
        <v>0.6483402489626533</v>
      </c>
      <c r="H48" s="766">
        <v>1.9967861023256983</v>
      </c>
      <c r="I48" s="768">
        <v>2.1694214876033069</v>
      </c>
      <c r="J48" s="766">
        <v>284.89999999999998</v>
      </c>
      <c r="K48" s="766">
        <v>285.3</v>
      </c>
      <c r="L48" s="766">
        <v>106.94799999999999</v>
      </c>
      <c r="M48" s="766">
        <v>238.933333</v>
      </c>
      <c r="N48" s="766">
        <v>103.49333333333334</v>
      </c>
      <c r="O48" s="766">
        <v>99.285766300000006</v>
      </c>
      <c r="P48" s="768">
        <v>98.9</v>
      </c>
      <c r="Q48" s="771"/>
      <c r="R48" s="772"/>
      <c r="S48"/>
      <c r="T48" s="771"/>
      <c r="U48" s="771"/>
      <c r="V48" s="436"/>
      <c r="W48" s="436"/>
      <c r="X48" s="438"/>
      <c r="Y48" s="438"/>
      <c r="Z48" s="438"/>
      <c r="AA48" s="438"/>
      <c r="AB48" s="438"/>
      <c r="AC48" s="438"/>
      <c r="AD48" s="438"/>
      <c r="AE48" s="438"/>
      <c r="AF48" s="438"/>
      <c r="AG48" s="438"/>
      <c r="AH48" s="438"/>
      <c r="AI48" s="438"/>
      <c r="AJ48" s="438"/>
      <c r="AK48" s="438"/>
      <c r="AL48" s="438"/>
      <c r="AM48" s="438"/>
      <c r="AN48" s="438"/>
      <c r="AO48" s="438"/>
      <c r="AP48" s="438"/>
      <c r="AQ48" s="438"/>
      <c r="AR48" s="438"/>
    </row>
    <row r="49" spans="1:44" ht="16" thickBot="1">
      <c r="A49" s="756"/>
      <c r="B49" s="770" t="s">
        <v>1459</v>
      </c>
      <c r="C49" s="766">
        <v>2.4867851964358811</v>
      </c>
      <c r="D49" s="766">
        <v>2.4463364911859742</v>
      </c>
      <c r="E49" s="766">
        <v>1.8750000000000044</v>
      </c>
      <c r="F49" s="766">
        <v>4.2173913043478173</v>
      </c>
      <c r="G49" s="767">
        <v>0.6747747514498581</v>
      </c>
      <c r="H49" s="766">
        <v>1.5146390323919512</v>
      </c>
      <c r="I49" s="768">
        <v>2.0618556701030855</v>
      </c>
      <c r="J49" s="766">
        <v>284.36666700000001</v>
      </c>
      <c r="K49" s="766">
        <v>284.76666666666665</v>
      </c>
      <c r="L49" s="766">
        <v>106.71066666666668</v>
      </c>
      <c r="M49" s="766">
        <v>239.7</v>
      </c>
      <c r="N49" s="766">
        <v>103.69233333333334</v>
      </c>
      <c r="O49" s="766">
        <v>99.352335600000004</v>
      </c>
      <c r="P49" s="768">
        <v>99</v>
      </c>
      <c r="Q49" s="771"/>
      <c r="R49" s="772"/>
      <c r="S49"/>
      <c r="T49" s="771"/>
      <c r="U49" s="771"/>
      <c r="V49" s="436"/>
      <c r="W49" s="436"/>
      <c r="X49" s="438"/>
      <c r="Y49" s="438"/>
      <c r="Z49" s="438"/>
      <c r="AA49" s="438"/>
      <c r="AB49" s="438"/>
      <c r="AC49" s="438"/>
      <c r="AD49" s="438"/>
      <c r="AE49" s="438"/>
      <c r="AF49" s="438"/>
      <c r="AG49" s="438"/>
      <c r="AH49" s="438"/>
      <c r="AI49" s="438"/>
      <c r="AJ49" s="438"/>
      <c r="AK49" s="438"/>
      <c r="AL49" s="438"/>
      <c r="AM49" s="438"/>
      <c r="AN49" s="438"/>
      <c r="AO49" s="438"/>
      <c r="AP49" s="438"/>
      <c r="AQ49" s="438"/>
      <c r="AR49" s="438"/>
    </row>
    <row r="50" spans="1:44" ht="16" thickBot="1">
      <c r="A50" s="756"/>
      <c r="B50" s="770" t="s">
        <v>1460</v>
      </c>
      <c r="C50" s="766">
        <v>2.9813518267981287</v>
      </c>
      <c r="D50" s="766">
        <v>2.9397818871502945</v>
      </c>
      <c r="E50" s="766">
        <v>2.0478074076877739</v>
      </c>
      <c r="F50" s="766">
        <v>4.3888966656170592</v>
      </c>
      <c r="G50" s="767">
        <v>0.82838053062970207</v>
      </c>
      <c r="H50" s="766">
        <v>1.7494538027218454</v>
      </c>
      <c r="I50" s="768">
        <v>2.2540983606557319</v>
      </c>
      <c r="J50" s="766">
        <v>289</v>
      </c>
      <c r="K50" s="766">
        <v>289.46666666666664</v>
      </c>
      <c r="L50" s="766">
        <v>107.83799999999999</v>
      </c>
      <c r="M50" s="766">
        <v>239.433333</v>
      </c>
      <c r="N50" s="766">
        <v>103.825</v>
      </c>
      <c r="O50" s="766">
        <v>99.879872199999994</v>
      </c>
      <c r="P50" s="768">
        <v>99.8</v>
      </c>
      <c r="Q50" s="771"/>
      <c r="R50" s="772"/>
      <c r="S50"/>
      <c r="T50" s="771"/>
      <c r="U50" s="771"/>
      <c r="V50" s="436"/>
      <c r="W50" s="436"/>
      <c r="X50" s="438"/>
      <c r="Y50" s="438"/>
      <c r="Z50" s="438"/>
      <c r="AA50" s="438"/>
      <c r="AB50" s="438"/>
      <c r="AC50" s="438"/>
      <c r="AD50" s="438"/>
      <c r="AE50" s="438"/>
      <c r="AF50" s="438"/>
      <c r="AG50" s="438"/>
      <c r="AH50" s="438"/>
      <c r="AI50" s="438"/>
      <c r="AJ50" s="438"/>
      <c r="AK50" s="438"/>
      <c r="AL50" s="438"/>
      <c r="AM50" s="438"/>
      <c r="AN50" s="438"/>
      <c r="AO50" s="438"/>
      <c r="AP50" s="438"/>
      <c r="AQ50" s="438"/>
      <c r="AR50" s="438"/>
    </row>
    <row r="51" spans="1:44" ht="16" thickBot="1">
      <c r="A51" s="756"/>
      <c r="B51" s="770" t="s">
        <v>1461</v>
      </c>
      <c r="C51" s="766">
        <v>2.6117647089550333</v>
      </c>
      <c r="D51" s="766">
        <v>2.583069155806017</v>
      </c>
      <c r="E51" s="766">
        <v>1.8328489420204042</v>
      </c>
      <c r="F51" s="766">
        <v>3.2350413638204456</v>
      </c>
      <c r="G51" s="767">
        <v>0.69057430611803028</v>
      </c>
      <c r="H51" s="766">
        <v>1.5658765280460507</v>
      </c>
      <c r="I51" s="768">
        <v>2.2426095820591296</v>
      </c>
      <c r="J51" s="766">
        <v>290.73333300000002</v>
      </c>
      <c r="K51" s="766">
        <v>291.23333333333335</v>
      </c>
      <c r="L51" s="766">
        <v>108.26766666666668</v>
      </c>
      <c r="M51" s="766">
        <v>240.4</v>
      </c>
      <c r="N51" s="766">
        <v>104.009</v>
      </c>
      <c r="O51" s="766">
        <v>100.28663400000001</v>
      </c>
      <c r="P51" s="768">
        <v>100.3</v>
      </c>
      <c r="Q51" s="771"/>
      <c r="R51" s="772"/>
      <c r="S51"/>
      <c r="T51" s="771"/>
      <c r="U51" s="771"/>
      <c r="V51" s="436"/>
      <c r="W51" s="436"/>
      <c r="X51" s="438"/>
      <c r="Y51" s="438"/>
      <c r="Z51" s="438"/>
      <c r="AA51" s="438"/>
      <c r="AB51" s="438"/>
      <c r="AC51" s="438"/>
      <c r="AD51" s="438"/>
      <c r="AE51" s="438"/>
      <c r="AF51" s="438"/>
      <c r="AG51" s="438"/>
      <c r="AH51" s="438"/>
      <c r="AI51" s="438"/>
      <c r="AJ51" s="438"/>
      <c r="AK51" s="438"/>
      <c r="AL51" s="438"/>
      <c r="AM51" s="438"/>
      <c r="AN51" s="438"/>
      <c r="AO51" s="438"/>
      <c r="AP51" s="438"/>
      <c r="AQ51" s="438"/>
      <c r="AR51" s="438"/>
    </row>
    <row r="52" spans="1:44" ht="16" thickBot="1">
      <c r="A52" s="756"/>
      <c r="B52" s="770" t="s">
        <v>1462</v>
      </c>
      <c r="C52" s="766">
        <v>2.1762021762022021</v>
      </c>
      <c r="D52" s="766">
        <v>2.2198855006425822</v>
      </c>
      <c r="E52" s="766">
        <v>1.4134595005672601</v>
      </c>
      <c r="F52" s="766">
        <v>0.68359402997153484</v>
      </c>
      <c r="G52" s="767">
        <v>0.74304303014687267</v>
      </c>
      <c r="H52" s="766">
        <v>1.2057515841523037</v>
      </c>
      <c r="I52" s="768">
        <v>2.0222446916076775</v>
      </c>
      <c r="J52" s="766">
        <v>291.10000000000002</v>
      </c>
      <c r="K52" s="766">
        <v>291.63333333333333</v>
      </c>
      <c r="L52" s="766">
        <v>108.45966666666668</v>
      </c>
      <c r="M52" s="766">
        <v>240.566667</v>
      </c>
      <c r="N52" s="766">
        <v>104.26233333333334</v>
      </c>
      <c r="O52" s="766">
        <v>100.482906</v>
      </c>
      <c r="P52" s="768">
        <v>100.9</v>
      </c>
      <c r="Q52" s="771"/>
      <c r="R52" s="772"/>
      <c r="S52"/>
      <c r="T52" s="771"/>
      <c r="U52" s="771"/>
      <c r="V52" s="436"/>
      <c r="W52" s="436"/>
      <c r="X52" s="438"/>
      <c r="Y52" s="438"/>
      <c r="Z52" s="438"/>
      <c r="AA52" s="438"/>
      <c r="AB52" s="438"/>
      <c r="AC52" s="438"/>
      <c r="AD52" s="438"/>
      <c r="AE52" s="438"/>
      <c r="AF52" s="438"/>
      <c r="AG52" s="438"/>
      <c r="AH52" s="438"/>
      <c r="AI52" s="438"/>
      <c r="AJ52" s="438"/>
      <c r="AK52" s="438"/>
      <c r="AL52" s="438"/>
      <c r="AM52" s="438"/>
      <c r="AN52" s="438"/>
      <c r="AO52" s="438"/>
      <c r="AP52" s="438"/>
      <c r="AQ52" s="438"/>
      <c r="AR52" s="438"/>
    </row>
    <row r="53" spans="1:44" ht="16" thickBot="1">
      <c r="A53" s="756"/>
      <c r="B53" s="770" t="s">
        <v>1463</v>
      </c>
      <c r="C53" s="766">
        <v>2.5905518666152316</v>
      </c>
      <c r="D53" s="766">
        <v>2.6688516914432858</v>
      </c>
      <c r="E53" s="766">
        <v>1.6671248110154524</v>
      </c>
      <c r="F53" s="766">
        <v>-0.79265748852731521</v>
      </c>
      <c r="G53" s="767">
        <v>0.75897607344803664</v>
      </c>
      <c r="H53" s="766">
        <v>0.76748512794901913</v>
      </c>
      <c r="I53" s="768">
        <v>2.9292929292929371</v>
      </c>
      <c r="J53" s="766">
        <v>291.73333300000002</v>
      </c>
      <c r="K53" s="766">
        <v>292.36666666666662</v>
      </c>
      <c r="L53" s="766">
        <v>108.48966666666668</v>
      </c>
      <c r="M53" s="766">
        <v>237.8</v>
      </c>
      <c r="N53" s="766">
        <v>104.47933333333333</v>
      </c>
      <c r="O53" s="766">
        <v>100.11485</v>
      </c>
      <c r="P53" s="768">
        <v>101.9</v>
      </c>
      <c r="Q53" s="771"/>
      <c r="R53" s="772"/>
      <c r="S53"/>
      <c r="T53" s="771"/>
      <c r="U53" s="771"/>
      <c r="V53" s="436"/>
      <c r="W53" s="436"/>
      <c r="X53" s="438"/>
      <c r="Y53" s="438"/>
      <c r="Z53" s="438"/>
      <c r="AA53" s="438"/>
      <c r="AB53" s="438"/>
      <c r="AC53" s="438"/>
      <c r="AD53" s="438"/>
      <c r="AE53" s="438"/>
      <c r="AF53" s="438"/>
      <c r="AG53" s="438"/>
      <c r="AH53" s="438"/>
      <c r="AI53" s="438"/>
      <c r="AJ53" s="438"/>
      <c r="AK53" s="438"/>
      <c r="AL53" s="438"/>
      <c r="AM53" s="438"/>
      <c r="AN53" s="438"/>
      <c r="AO53" s="438"/>
      <c r="AP53" s="438"/>
      <c r="AQ53" s="438"/>
      <c r="AR53" s="438"/>
    </row>
    <row r="54" spans="1:44" ht="16" thickBot="1">
      <c r="A54" s="756"/>
      <c r="B54" s="770" t="s">
        <v>1464</v>
      </c>
      <c r="C54" s="766">
        <v>1.211072664359869</v>
      </c>
      <c r="D54" s="766">
        <v>1.381851681252888</v>
      </c>
      <c r="E54" s="766">
        <v>0.61666573934977542</v>
      </c>
      <c r="F54" s="766">
        <v>-5.2206598986783481</v>
      </c>
      <c r="G54" s="767">
        <v>1.3281964844690686</v>
      </c>
      <c r="H54" s="766">
        <v>0.95483782567356013</v>
      </c>
      <c r="I54" s="768">
        <v>9.6192384769539174</v>
      </c>
      <c r="J54" s="766">
        <v>292.5</v>
      </c>
      <c r="K54" s="766">
        <v>293.46666666666664</v>
      </c>
      <c r="L54" s="766">
        <v>108.503</v>
      </c>
      <c r="M54" s="766">
        <v>226.933333</v>
      </c>
      <c r="N54" s="766">
        <v>105.20400000000001</v>
      </c>
      <c r="O54" s="766">
        <v>100.833563</v>
      </c>
      <c r="P54" s="768">
        <v>109.4</v>
      </c>
      <c r="Q54" s="771"/>
      <c r="R54" s="772"/>
      <c r="S54"/>
      <c r="T54" s="771"/>
      <c r="U54" s="771"/>
      <c r="V54" s="436"/>
      <c r="W54" s="436"/>
      <c r="X54" s="438"/>
      <c r="Y54" s="438"/>
      <c r="Z54" s="438"/>
      <c r="AA54" s="438"/>
      <c r="AB54" s="438"/>
      <c r="AC54" s="438"/>
      <c r="AD54" s="438"/>
      <c r="AE54" s="438"/>
      <c r="AF54" s="438"/>
      <c r="AG54" s="438"/>
      <c r="AH54" s="438"/>
      <c r="AI54" s="438"/>
      <c r="AJ54" s="438"/>
      <c r="AK54" s="438"/>
      <c r="AL54" s="438"/>
      <c r="AM54" s="438"/>
      <c r="AN54" s="438"/>
      <c r="AO54" s="438"/>
      <c r="AP54" s="438"/>
      <c r="AQ54" s="438"/>
      <c r="AR54" s="438"/>
    </row>
    <row r="55" spans="1:44" ht="16" thickBot="1">
      <c r="A55" s="756"/>
      <c r="B55" s="770" t="s">
        <v>1465</v>
      </c>
      <c r="C55" s="766">
        <v>1.1006649863571027</v>
      </c>
      <c r="D55" s="766">
        <v>1.3391324253176018</v>
      </c>
      <c r="E55" s="766">
        <v>0.59666936573858909</v>
      </c>
      <c r="F55" s="766">
        <v>-8.0282861896838646</v>
      </c>
      <c r="G55" s="767">
        <v>1.7748464075224346</v>
      </c>
      <c r="H55" s="766">
        <v>0.43518461293654553</v>
      </c>
      <c r="I55" s="768">
        <v>4.7856430707876374</v>
      </c>
      <c r="J55" s="766">
        <v>293.933333</v>
      </c>
      <c r="K55" s="766">
        <v>295.13333333333333</v>
      </c>
      <c r="L55" s="766">
        <v>108.91366666666666</v>
      </c>
      <c r="M55" s="766">
        <v>221.1</v>
      </c>
      <c r="N55" s="766">
        <v>105.855</v>
      </c>
      <c r="O55" s="766">
        <v>100.723066</v>
      </c>
      <c r="P55" s="768">
        <v>105.1</v>
      </c>
      <c r="Q55" s="771"/>
      <c r="R55" s="772"/>
      <c r="S55"/>
      <c r="T55" s="771"/>
      <c r="U55" s="771"/>
      <c r="V55" s="436"/>
      <c r="W55" s="436"/>
      <c r="X55" s="438"/>
      <c r="Y55" s="438"/>
      <c r="Z55" s="438"/>
      <c r="AA55" s="438"/>
      <c r="AB55" s="438"/>
      <c r="AC55" s="438"/>
      <c r="AD55" s="438"/>
      <c r="AE55" s="438"/>
      <c r="AF55" s="438"/>
      <c r="AG55" s="438"/>
      <c r="AH55" s="438"/>
      <c r="AI55" s="438"/>
      <c r="AJ55" s="438"/>
      <c r="AK55" s="438"/>
      <c r="AL55" s="438"/>
      <c r="AM55" s="438"/>
      <c r="AN55" s="438"/>
      <c r="AO55" s="438"/>
      <c r="AP55" s="438"/>
      <c r="AQ55" s="438"/>
      <c r="AR55" s="438"/>
    </row>
    <row r="56" spans="1:44" ht="16" thickBot="1">
      <c r="A56" s="756"/>
      <c r="B56" s="770" t="s">
        <v>1466</v>
      </c>
      <c r="C56" s="766">
        <v>1.1336310546203876</v>
      </c>
      <c r="D56" s="766">
        <v>1.3601554463367416</v>
      </c>
      <c r="E56" s="766">
        <v>0.53353166614931169</v>
      </c>
      <c r="F56" s="766">
        <v>-8.2582791904416304</v>
      </c>
      <c r="G56" s="767">
        <v>1.7631806948498419</v>
      </c>
      <c r="H56" s="766">
        <v>0.23410051456911329</v>
      </c>
      <c r="I56" s="768">
        <v>3.7661050545094055</v>
      </c>
      <c r="J56" s="766">
        <v>294.39999999999998</v>
      </c>
      <c r="K56" s="766">
        <v>295.60000000000002</v>
      </c>
      <c r="L56" s="766">
        <v>109.03833333333334</v>
      </c>
      <c r="M56" s="766">
        <v>220.7</v>
      </c>
      <c r="N56" s="766">
        <v>106.10066666666667</v>
      </c>
      <c r="O56" s="766">
        <v>100.718137</v>
      </c>
      <c r="P56" s="768">
        <v>104.7</v>
      </c>
      <c r="Q56" s="771"/>
      <c r="R56" s="772"/>
      <c r="S56"/>
      <c r="T56" s="771"/>
      <c r="U56" s="771"/>
      <c r="V56" s="436"/>
      <c r="W56" s="436"/>
      <c r="X56" s="438"/>
      <c r="Y56" s="438"/>
      <c r="Z56" s="438"/>
      <c r="AA56" s="438"/>
      <c r="AB56" s="438"/>
      <c r="AC56" s="438"/>
      <c r="AD56" s="438"/>
      <c r="AE56" s="438"/>
      <c r="AF56" s="438"/>
      <c r="AG56" s="438"/>
      <c r="AH56" s="438"/>
      <c r="AI56" s="438"/>
      <c r="AJ56" s="438"/>
      <c r="AK56" s="438"/>
      <c r="AL56" s="438"/>
      <c r="AM56" s="438"/>
      <c r="AN56" s="438"/>
      <c r="AO56" s="438"/>
      <c r="AP56" s="438"/>
      <c r="AQ56" s="438"/>
      <c r="AR56" s="438"/>
    </row>
    <row r="57" spans="1:44" ht="16" thickBot="1">
      <c r="A57" s="756"/>
      <c r="B57" s="770" t="s">
        <v>1467</v>
      </c>
      <c r="C57" s="766">
        <v>1.4053930546222393</v>
      </c>
      <c r="D57" s="766">
        <v>1.5961691939345934</v>
      </c>
      <c r="E57" s="766">
        <v>0.60958186493951239</v>
      </c>
      <c r="F57" s="766">
        <v>-7.1768994953742782</v>
      </c>
      <c r="G57" s="767">
        <v>1.8188605082982923</v>
      </c>
      <c r="H57" s="766">
        <v>1.7195101426012327</v>
      </c>
      <c r="I57" s="768">
        <v>3.6310107948969383</v>
      </c>
      <c r="J57" s="766">
        <v>295.83333299999998</v>
      </c>
      <c r="K57" s="766">
        <v>297.03333333333336</v>
      </c>
      <c r="L57" s="766">
        <v>109.151</v>
      </c>
      <c r="M57" s="766">
        <v>220.73333299999999</v>
      </c>
      <c r="N57" s="766">
        <v>106.37966666666667</v>
      </c>
      <c r="O57" s="766">
        <v>101.83633500000001</v>
      </c>
      <c r="P57" s="768">
        <v>105.6</v>
      </c>
      <c r="Q57" s="771"/>
      <c r="R57" s="772"/>
      <c r="S57"/>
      <c r="T57" s="771"/>
      <c r="U57" s="771"/>
      <c r="V57" s="436"/>
      <c r="W57" s="436"/>
      <c r="X57" s="438"/>
      <c r="Y57" s="438"/>
      <c r="Z57" s="438"/>
      <c r="AA57" s="438"/>
      <c r="AB57" s="438"/>
      <c r="AC57" s="438"/>
      <c r="AD57" s="438"/>
      <c r="AE57" s="438"/>
      <c r="AF57" s="438"/>
      <c r="AG57" s="438"/>
      <c r="AH57" s="438"/>
      <c r="AI57" s="438"/>
      <c r="AJ57" s="438"/>
      <c r="AK57" s="438"/>
      <c r="AL57" s="438"/>
      <c r="AM57" s="438"/>
      <c r="AN57" s="438"/>
      <c r="AO57" s="438"/>
      <c r="AP57" s="438"/>
      <c r="AQ57" s="438"/>
      <c r="AR57" s="438"/>
    </row>
    <row r="58" spans="1:44" ht="16" thickBot="1">
      <c r="A58" s="756"/>
      <c r="B58" s="770" t="s">
        <v>1468</v>
      </c>
      <c r="C58" s="766">
        <v>3.3618232478632493</v>
      </c>
      <c r="D58" s="766">
        <v>3.5097682871422231</v>
      </c>
      <c r="E58" s="766">
        <v>2.0518633893379157</v>
      </c>
      <c r="F58" s="766">
        <v>-2.4823735347860976</v>
      </c>
      <c r="G58" s="767">
        <v>1.5591929330950549</v>
      </c>
      <c r="H58" s="766">
        <v>1.0241451053356165</v>
      </c>
      <c r="I58" s="768">
        <v>-5.0274223034734948</v>
      </c>
      <c r="J58" s="766">
        <v>302.33333299999998</v>
      </c>
      <c r="K58" s="766">
        <v>303.76666666666665</v>
      </c>
      <c r="L58" s="766">
        <v>110.72933333333332</v>
      </c>
      <c r="M58" s="766">
        <v>221.3</v>
      </c>
      <c r="N58" s="766">
        <v>106.84433333333334</v>
      </c>
      <c r="O58" s="766">
        <v>101.86624500000001</v>
      </c>
      <c r="P58" s="768">
        <v>103.9</v>
      </c>
      <c r="Q58" s="771"/>
      <c r="R58" s="772"/>
      <c r="S58"/>
      <c r="T58" s="771"/>
      <c r="U58" s="771"/>
      <c r="V58" s="436"/>
      <c r="W58" s="436"/>
      <c r="X58" s="438"/>
      <c r="Y58" s="438"/>
      <c r="Z58" s="438"/>
      <c r="AA58" s="438"/>
      <c r="AB58" s="438"/>
      <c r="AC58" s="438"/>
      <c r="AD58" s="438"/>
      <c r="AE58" s="438"/>
      <c r="AF58" s="438"/>
      <c r="AG58" s="438"/>
      <c r="AH58" s="438"/>
      <c r="AI58" s="438"/>
      <c r="AJ58" s="438"/>
      <c r="AK58" s="438"/>
      <c r="AL58" s="438"/>
      <c r="AM58" s="438"/>
      <c r="AN58" s="438"/>
      <c r="AO58" s="438"/>
      <c r="AP58" s="438"/>
      <c r="AQ58" s="438"/>
      <c r="AR58" s="438"/>
    </row>
    <row r="59" spans="1:44" ht="16" thickBot="1">
      <c r="A59" s="756"/>
      <c r="B59" s="770" t="s">
        <v>1469</v>
      </c>
      <c r="C59" s="766">
        <v>4.5021549155161766</v>
      </c>
      <c r="D59" s="766">
        <v>4.596792410210071</v>
      </c>
      <c r="E59" s="766">
        <v>2.7716142143165756</v>
      </c>
      <c r="F59" s="766">
        <v>0.31659882406152029</v>
      </c>
      <c r="G59" s="767">
        <v>1.4466329727772065</v>
      </c>
      <c r="H59" s="766">
        <v>2.3665691431593139</v>
      </c>
      <c r="I59" s="768">
        <v>-0.47573739295908579</v>
      </c>
      <c r="J59" s="766">
        <v>307.16666700000002</v>
      </c>
      <c r="K59" s="766">
        <v>308.7</v>
      </c>
      <c r="L59" s="766">
        <v>111.93233333333336</v>
      </c>
      <c r="M59" s="766">
        <v>221.8</v>
      </c>
      <c r="N59" s="766">
        <v>107.38633333333333</v>
      </c>
      <c r="O59" s="766">
        <v>103.106747</v>
      </c>
      <c r="P59" s="768">
        <v>104.6</v>
      </c>
      <c r="Q59" s="771"/>
      <c r="R59" s="772"/>
      <c r="S59"/>
      <c r="T59" s="771"/>
      <c r="U59" s="771"/>
      <c r="V59" s="436"/>
      <c r="W59" s="436"/>
      <c r="X59" s="438"/>
      <c r="Y59" s="438"/>
      <c r="Z59" s="438"/>
      <c r="AA59" s="438"/>
      <c r="AB59" s="438"/>
      <c r="AC59" s="438"/>
      <c r="AD59" s="438"/>
      <c r="AE59" s="438"/>
      <c r="AF59" s="438"/>
      <c r="AG59" s="438"/>
      <c r="AH59" s="438"/>
      <c r="AI59" s="438"/>
      <c r="AJ59" s="438"/>
      <c r="AK59" s="438"/>
      <c r="AL59" s="438"/>
      <c r="AM59" s="438"/>
      <c r="AN59" s="438"/>
      <c r="AO59" s="438"/>
      <c r="AP59" s="438"/>
      <c r="AQ59" s="438"/>
      <c r="AR59" s="438"/>
    </row>
    <row r="60" spans="1:44" ht="16" thickBot="1">
      <c r="A60" s="756"/>
      <c r="B60" s="770" t="s">
        <v>1470</v>
      </c>
      <c r="C60" s="766">
        <v>6.884058084239153</v>
      </c>
      <c r="D60" s="766">
        <v>7.0252593594948065</v>
      </c>
      <c r="E60" s="766">
        <v>4.9074484508506266</v>
      </c>
      <c r="F60" s="766">
        <v>0.69475894879926781</v>
      </c>
      <c r="G60" s="767">
        <v>1.9117064925762373</v>
      </c>
      <c r="H60" s="766">
        <v>3.7649326257891413</v>
      </c>
      <c r="I60" s="768">
        <v>0.95510983763131829</v>
      </c>
      <c r="J60" s="766">
        <v>314.66666700000002</v>
      </c>
      <c r="K60" s="766">
        <v>316.36666666666667</v>
      </c>
      <c r="L60" s="766">
        <v>114.38933333333334</v>
      </c>
      <c r="M60" s="766">
        <v>222.23333299999999</v>
      </c>
      <c r="N60" s="766">
        <v>108.129</v>
      </c>
      <c r="O60" s="766">
        <v>104.510107</v>
      </c>
      <c r="P60" s="768">
        <v>105.7</v>
      </c>
      <c r="Q60" s="771"/>
      <c r="R60" s="772"/>
      <c r="S60"/>
      <c r="T60" s="771"/>
      <c r="U60" s="771"/>
      <c r="V60" s="436"/>
      <c r="W60" s="436"/>
      <c r="X60" s="438"/>
      <c r="Y60" s="438"/>
      <c r="Z60" s="438"/>
      <c r="AA60" s="438"/>
      <c r="AB60" s="438"/>
      <c r="AC60" s="438"/>
      <c r="AD60" s="438"/>
      <c r="AE60" s="438"/>
      <c r="AF60" s="438"/>
      <c r="AG60" s="438"/>
      <c r="AH60" s="438"/>
      <c r="AI60" s="438"/>
      <c r="AJ60" s="438"/>
      <c r="AK60" s="438"/>
      <c r="AL60" s="438"/>
      <c r="AM60" s="438"/>
      <c r="AN60" s="438"/>
      <c r="AO60" s="438"/>
      <c r="AP60" s="438"/>
      <c r="AQ60" s="438"/>
      <c r="AR60" s="438"/>
    </row>
    <row r="61" spans="1:44" ht="16" thickBot="1">
      <c r="A61" s="756"/>
      <c r="B61" s="770" t="s">
        <v>1471</v>
      </c>
      <c r="C61" s="766">
        <v>8.3267607981146519</v>
      </c>
      <c r="D61" s="766">
        <v>8.4838963079340033</v>
      </c>
      <c r="E61" s="766">
        <v>6.2195185263228314</v>
      </c>
      <c r="F61" s="766">
        <v>2.6276049571543503</v>
      </c>
      <c r="G61" s="767">
        <v>2.3497598225225014</v>
      </c>
      <c r="H61" s="766">
        <v>4.6766804795164596</v>
      </c>
      <c r="I61" s="768">
        <v>1.6098484848484862</v>
      </c>
      <c r="J61" s="766">
        <v>320.46666699999997</v>
      </c>
      <c r="K61" s="766">
        <v>322.23333333333335</v>
      </c>
      <c r="L61" s="766">
        <v>115.93966666666664</v>
      </c>
      <c r="M61" s="766">
        <v>226.533333</v>
      </c>
      <c r="N61" s="766">
        <v>108.87933333333335</v>
      </c>
      <c r="O61" s="766">
        <v>106.598895</v>
      </c>
      <c r="P61" s="768">
        <v>107.3</v>
      </c>
      <c r="Q61" s="771"/>
      <c r="R61" s="772"/>
      <c r="S61"/>
      <c r="T61" s="771"/>
      <c r="U61" s="771"/>
      <c r="V61" s="436"/>
      <c r="W61" s="436"/>
      <c r="X61" s="438"/>
      <c r="Y61" s="438"/>
      <c r="Z61" s="438"/>
      <c r="AA61" s="438"/>
      <c r="AB61" s="438"/>
      <c r="AC61" s="438"/>
      <c r="AD61" s="438"/>
      <c r="AE61" s="438"/>
      <c r="AF61" s="438"/>
      <c r="AG61" s="438"/>
      <c r="AH61" s="438"/>
      <c r="AI61" s="438"/>
      <c r="AJ61" s="438"/>
      <c r="AK61" s="438"/>
      <c r="AL61" s="438"/>
      <c r="AM61" s="438"/>
      <c r="AN61" s="438"/>
      <c r="AO61" s="438"/>
      <c r="AP61" s="438"/>
      <c r="AQ61" s="438"/>
      <c r="AR61" s="438"/>
    </row>
    <row r="62" spans="1:44" ht="16" thickBot="1">
      <c r="A62" s="756"/>
      <c r="B62" s="770" t="s">
        <v>1472</v>
      </c>
      <c r="C62" s="766">
        <v>11.543550178107576</v>
      </c>
      <c r="D62" s="766">
        <v>11.631734884231303</v>
      </c>
      <c r="E62" s="766">
        <v>9.169205389719103</v>
      </c>
      <c r="F62" s="766">
        <v>7.3806294622684065</v>
      </c>
      <c r="G62" s="767">
        <v>3.0034349037384667</v>
      </c>
      <c r="H62" s="766">
        <v>7.9715424869150509</v>
      </c>
      <c r="I62" s="768">
        <v>5.3897978825794057</v>
      </c>
      <c r="J62" s="766">
        <v>337.23333300000002</v>
      </c>
      <c r="K62" s="766">
        <v>339.09999999999991</v>
      </c>
      <c r="L62" s="766">
        <v>120.88233333333334</v>
      </c>
      <c r="M62" s="766">
        <v>237.63333299999999</v>
      </c>
      <c r="N62" s="766">
        <v>110.05333333333334</v>
      </c>
      <c r="O62" s="766">
        <v>109.98655599999999</v>
      </c>
      <c r="P62" s="768">
        <v>109.5</v>
      </c>
      <c r="Q62" s="435"/>
      <c r="R62" s="772"/>
      <c r="S62"/>
      <c r="T62" s="771"/>
      <c r="U62" s="771"/>
      <c r="V62" s="436"/>
      <c r="W62" s="436"/>
      <c r="X62" s="438"/>
      <c r="Y62" s="438"/>
      <c r="Z62" s="438"/>
      <c r="AA62" s="438"/>
      <c r="AB62" s="438"/>
      <c r="AC62" s="438"/>
      <c r="AD62" s="438"/>
      <c r="AE62" s="438"/>
      <c r="AF62" s="438"/>
      <c r="AG62" s="438"/>
      <c r="AH62" s="438"/>
      <c r="AI62" s="438"/>
      <c r="AJ62" s="438"/>
      <c r="AK62" s="438"/>
      <c r="AL62" s="438"/>
      <c r="AM62" s="438"/>
      <c r="AN62" s="438"/>
      <c r="AO62" s="438"/>
      <c r="AP62" s="438"/>
      <c r="AQ62" s="438"/>
      <c r="AR62" s="438"/>
    </row>
    <row r="63" spans="1:44" ht="16" thickBot="1">
      <c r="A63" s="756"/>
      <c r="B63" s="770" t="s">
        <v>1473</v>
      </c>
      <c r="C63" s="766">
        <v>12.425393149836772</v>
      </c>
      <c r="D63" s="766">
        <v>12.320483749055189</v>
      </c>
      <c r="E63" s="766">
        <v>10.022126463309643</v>
      </c>
      <c r="F63" s="766">
        <v>16.381123985572586</v>
      </c>
      <c r="G63" s="767">
        <v>4.0197542207419223</v>
      </c>
      <c r="H63" s="766">
        <v>8.9177510371847966</v>
      </c>
      <c r="I63" s="768">
        <v>6.2141491395793613</v>
      </c>
      <c r="J63" s="766">
        <v>345.33333299999998</v>
      </c>
      <c r="K63" s="766">
        <v>346.73333333333335</v>
      </c>
      <c r="L63" s="766">
        <v>123.15033333333334</v>
      </c>
      <c r="M63" s="766">
        <v>258.13333299999999</v>
      </c>
      <c r="N63" s="766">
        <v>111.70299999999999</v>
      </c>
      <c r="O63" s="766">
        <v>112.30155000000001</v>
      </c>
      <c r="P63" s="768">
        <v>111.1</v>
      </c>
      <c r="Q63" s="435"/>
      <c r="R63" s="772"/>
      <c r="S63"/>
      <c r="T63" s="771"/>
      <c r="U63" s="771"/>
      <c r="V63" s="436"/>
      <c r="W63" s="436"/>
      <c r="X63" s="438"/>
      <c r="Y63" s="438"/>
      <c r="Z63" s="438"/>
      <c r="AA63" s="438"/>
      <c r="AB63" s="438"/>
      <c r="AC63" s="438"/>
      <c r="AD63" s="438"/>
      <c r="AE63" s="438"/>
      <c r="AF63" s="438"/>
      <c r="AG63" s="438"/>
      <c r="AH63" s="438"/>
      <c r="AI63" s="438"/>
      <c r="AJ63" s="438"/>
      <c r="AK63" s="438"/>
      <c r="AL63" s="438"/>
      <c r="AM63" s="438"/>
      <c r="AN63" s="438"/>
      <c r="AO63" s="438"/>
      <c r="AP63" s="438"/>
      <c r="AQ63" s="438"/>
      <c r="AR63" s="438"/>
    </row>
    <row r="64" spans="1:44" ht="16" thickBot="1">
      <c r="A64" s="756"/>
      <c r="B64" s="770" t="s">
        <v>1474</v>
      </c>
      <c r="C64" s="766">
        <v>13.866525303107501</v>
      </c>
      <c r="D64" s="766">
        <v>13.423243072384361</v>
      </c>
      <c r="E64" s="766">
        <v>10.749545412159645</v>
      </c>
      <c r="F64" s="766">
        <v>31.993400377971206</v>
      </c>
      <c r="G64" s="767">
        <v>4.4863080209749384</v>
      </c>
      <c r="H64" s="766">
        <v>9.8342593793344868</v>
      </c>
      <c r="I64" s="768">
        <v>7.3793755912961112</v>
      </c>
      <c r="J64" s="766">
        <v>358.3</v>
      </c>
      <c r="K64" s="766">
        <v>358.83333333333331</v>
      </c>
      <c r="L64" s="766">
        <v>126.68566666666668</v>
      </c>
      <c r="M64" s="766">
        <v>293.33333299999998</v>
      </c>
      <c r="N64" s="766">
        <v>112.98</v>
      </c>
      <c r="O64" s="766">
        <v>114.787902</v>
      </c>
      <c r="P64" s="768">
        <v>113.5</v>
      </c>
      <c r="Q64" s="435"/>
      <c r="R64" s="772"/>
      <c r="S64"/>
      <c r="T64" s="771"/>
      <c r="U64" s="771"/>
      <c r="V64" s="436"/>
      <c r="W64" s="436"/>
      <c r="X64" s="438"/>
      <c r="Y64" s="438"/>
      <c r="Z64" s="438"/>
      <c r="AA64" s="438"/>
      <c r="AB64" s="438"/>
      <c r="AC64" s="438"/>
      <c r="AD64" s="438"/>
      <c r="AE64" s="438"/>
      <c r="AF64" s="438"/>
      <c r="AG64" s="438"/>
      <c r="AH64" s="438"/>
      <c r="AI64" s="438"/>
      <c r="AJ64" s="438"/>
      <c r="AK64" s="438"/>
      <c r="AL64" s="438"/>
      <c r="AM64" s="438"/>
      <c r="AN64" s="438"/>
      <c r="AO64" s="438"/>
      <c r="AP64" s="438"/>
      <c r="AQ64" s="438"/>
      <c r="AR64" s="438"/>
    </row>
    <row r="65" spans="1:44" ht="16" thickBot="1">
      <c r="A65" s="756"/>
      <c r="B65" s="770" t="s">
        <v>1475</v>
      </c>
      <c r="C65" s="766">
        <v>13.584356029140476</v>
      </c>
      <c r="D65" s="766">
        <v>12.703010241026181</v>
      </c>
      <c r="E65" s="766">
        <v>10.17483231220837</v>
      </c>
      <c r="F65" s="766">
        <v>48.896409871831104</v>
      </c>
      <c r="G65" s="767">
        <v>4.7033719285569875</v>
      </c>
      <c r="H65" s="766">
        <v>9.3459008182026579</v>
      </c>
      <c r="I65" s="768">
        <v>7.6421248835041977</v>
      </c>
      <c r="J65" s="766">
        <v>364</v>
      </c>
      <c r="K65" s="766">
        <v>363.16666666666674</v>
      </c>
      <c r="L65" s="766">
        <v>127.73633333333332</v>
      </c>
      <c r="M65" s="766">
        <v>337.3</v>
      </c>
      <c r="N65" s="766">
        <v>114.00033333333333</v>
      </c>
      <c r="O65" s="766">
        <v>116.561522</v>
      </c>
      <c r="P65" s="768">
        <v>115.5</v>
      </c>
      <c r="Q65" s="435"/>
      <c r="R65" s="772"/>
      <c r="S65"/>
      <c r="T65" s="771"/>
      <c r="U65" s="771"/>
      <c r="V65" s="436"/>
      <c r="W65" s="436"/>
      <c r="X65" s="438"/>
      <c r="Y65" s="438"/>
      <c r="Z65" s="438"/>
      <c r="AA65" s="438"/>
      <c r="AB65" s="438"/>
      <c r="AC65" s="438"/>
      <c r="AD65" s="438"/>
      <c r="AE65" s="438"/>
      <c r="AF65" s="438"/>
      <c r="AG65" s="438"/>
      <c r="AH65" s="438"/>
      <c r="AI65" s="438"/>
      <c r="AJ65" s="438"/>
      <c r="AK65" s="438"/>
      <c r="AL65" s="438"/>
      <c r="AM65" s="438"/>
      <c r="AN65" s="438"/>
      <c r="AO65" s="438"/>
      <c r="AP65" s="438"/>
      <c r="AQ65" s="438"/>
      <c r="AR65" s="438"/>
    </row>
    <row r="66" spans="1:44" ht="16" thickBot="1">
      <c r="A66" s="756"/>
      <c r="B66" s="770" t="s">
        <v>1476</v>
      </c>
      <c r="C66" s="766">
        <v>11.149550272955967</v>
      </c>
      <c r="D66" s="766">
        <v>10.085520495429101</v>
      </c>
      <c r="E66" s="766">
        <v>8.4277548139099387</v>
      </c>
      <c r="F66" s="766">
        <v>54.944592726812445</v>
      </c>
      <c r="G66" s="767">
        <v>5.5467046280591292</v>
      </c>
      <c r="H66" s="766">
        <v>7.6235044581266953</v>
      </c>
      <c r="I66" s="768">
        <v>7.9452054794520555</v>
      </c>
      <c r="J66" s="766">
        <v>374.83333299999998</v>
      </c>
      <c r="K66" s="766">
        <v>373.3</v>
      </c>
      <c r="L66" s="766">
        <v>131.07</v>
      </c>
      <c r="M66" s="766">
        <v>368.2</v>
      </c>
      <c r="N66" s="766">
        <v>116.15766666666667</v>
      </c>
      <c r="O66" s="766">
        <v>118.371386</v>
      </c>
      <c r="P66" s="768">
        <v>118.2</v>
      </c>
      <c r="Q66" s="435"/>
      <c r="R66" s="772"/>
      <c r="S66"/>
      <c r="T66" s="771"/>
      <c r="U66" s="771"/>
      <c r="V66" s="436"/>
      <c r="W66" s="436"/>
      <c r="X66" s="438"/>
      <c r="Y66" s="438"/>
      <c r="Z66" s="438"/>
      <c r="AA66" s="438"/>
      <c r="AB66" s="438"/>
      <c r="AC66" s="438"/>
      <c r="AD66" s="438"/>
      <c r="AE66" s="438"/>
      <c r="AF66" s="438"/>
      <c r="AG66" s="438"/>
      <c r="AH66" s="438"/>
      <c r="AI66" s="438"/>
      <c r="AJ66" s="438"/>
      <c r="AK66" s="438"/>
      <c r="AL66" s="438"/>
      <c r="AM66" s="438"/>
      <c r="AN66" s="438"/>
      <c r="AO66" s="438"/>
      <c r="AP66" s="438"/>
      <c r="AQ66" s="438"/>
      <c r="AR66" s="438"/>
    </row>
    <row r="67" spans="1:44" ht="16" thickBot="1">
      <c r="A67" s="756"/>
      <c r="B67" s="770" t="s">
        <v>1477</v>
      </c>
      <c r="C67" s="766">
        <v>8.9961391013476231</v>
      </c>
      <c r="D67" s="766">
        <v>7.7581234378004016</v>
      </c>
      <c r="E67" s="766">
        <v>6.7118508273086297</v>
      </c>
      <c r="F67" s="766">
        <v>56.86983478418108</v>
      </c>
      <c r="G67" s="767">
        <v>6.4104515247277893</v>
      </c>
      <c r="H67" s="766">
        <v>6.5163864612732381</v>
      </c>
      <c r="I67" s="768">
        <v>7.1855298888747532</v>
      </c>
      <c r="J67" s="766">
        <v>376.4</v>
      </c>
      <c r="K67" s="766">
        <v>373.63333333333327</v>
      </c>
      <c r="L67" s="766">
        <v>131.416</v>
      </c>
      <c r="M67" s="766">
        <v>404.933333</v>
      </c>
      <c r="N67" s="766">
        <v>118.86366666666667</v>
      </c>
      <c r="O67" s="766">
        <v>119.619553</v>
      </c>
      <c r="P67" s="768">
        <v>119.08312370653984</v>
      </c>
      <c r="Q67" s="435"/>
      <c r="R67" s="772"/>
      <c r="S67"/>
      <c r="T67" s="771"/>
      <c r="U67" s="771"/>
      <c r="V67" s="436"/>
      <c r="W67" s="436"/>
      <c r="X67" s="438"/>
      <c r="Y67" s="438"/>
      <c r="Z67" s="438"/>
      <c r="AA67" s="438"/>
      <c r="AB67" s="438"/>
      <c r="AC67" s="438"/>
      <c r="AD67" s="438"/>
      <c r="AE67" s="438"/>
      <c r="AF67" s="438"/>
      <c r="AG67" s="438"/>
      <c r="AH67" s="438"/>
      <c r="AI67" s="438"/>
      <c r="AJ67" s="438"/>
      <c r="AK67" s="438"/>
      <c r="AL67" s="438"/>
      <c r="AM67" s="438"/>
      <c r="AN67" s="438"/>
      <c r="AO67" s="438"/>
      <c r="AP67" s="438"/>
      <c r="AQ67" s="438"/>
      <c r="AR67" s="438"/>
    </row>
    <row r="68" spans="1:44" ht="16" thickBot="1">
      <c r="A68" s="756"/>
      <c r="B68" s="770" t="s">
        <v>1478</v>
      </c>
      <c r="C68" s="766">
        <v>6.7077382082054049</v>
      </c>
      <c r="D68" s="766">
        <v>5.422368315753423</v>
      </c>
      <c r="E68" s="766">
        <v>4.761620431889857</v>
      </c>
      <c r="F68" s="766">
        <v>52.216567900246112</v>
      </c>
      <c r="G68" s="767">
        <v>6.2741218798865184</v>
      </c>
      <c r="H68" s="766">
        <v>5.1979615412780955</v>
      </c>
      <c r="I68" s="768">
        <v>5.4280326402142753</v>
      </c>
      <c r="J68" s="766">
        <v>382.33382599999999</v>
      </c>
      <c r="K68" s="766">
        <v>378.29059830636186</v>
      </c>
      <c r="L68" s="766">
        <v>132.71795725494255</v>
      </c>
      <c r="M68" s="766">
        <v>446.50193200000001</v>
      </c>
      <c r="N68" s="766">
        <v>120.06850289989579</v>
      </c>
      <c r="O68" s="766">
        <v>120.754533</v>
      </c>
      <c r="P68" s="768">
        <v>119.6608170466432</v>
      </c>
      <c r="Q68" s="435"/>
      <c r="R68" s="772"/>
      <c r="S68"/>
      <c r="T68" s="771"/>
      <c r="U68" s="771"/>
      <c r="V68" s="436"/>
      <c r="W68" s="436"/>
      <c r="X68" s="438"/>
      <c r="Y68" s="438"/>
      <c r="Z68" s="438"/>
      <c r="AA68" s="438"/>
      <c r="AB68" s="438"/>
      <c r="AC68" s="438"/>
      <c r="AD68" s="438"/>
      <c r="AE68" s="438"/>
      <c r="AF68" s="438"/>
      <c r="AG68" s="438"/>
      <c r="AH68" s="438"/>
      <c r="AI68" s="438"/>
      <c r="AJ68" s="438"/>
      <c r="AK68" s="438"/>
      <c r="AL68" s="438"/>
      <c r="AM68" s="438"/>
      <c r="AN68" s="438"/>
      <c r="AO68" s="438"/>
      <c r="AP68" s="438"/>
      <c r="AQ68" s="438"/>
      <c r="AR68" s="438"/>
    </row>
    <row r="69" spans="1:44" ht="16" thickBot="1">
      <c r="A69" s="756"/>
      <c r="B69" s="770" t="s">
        <v>1479</v>
      </c>
      <c r="C69" s="766">
        <v>6.4270554945054847</v>
      </c>
      <c r="D69" s="766">
        <v>5.2071416445335528</v>
      </c>
      <c r="E69" s="766">
        <v>4.6046304578721164</v>
      </c>
      <c r="F69" s="766">
        <v>44.672450933886743</v>
      </c>
      <c r="G69" s="767">
        <v>6.1639487300170659</v>
      </c>
      <c r="H69" s="766">
        <v>4.4434346009998071</v>
      </c>
      <c r="I69" s="768">
        <v>3.9616191034633319</v>
      </c>
      <c r="J69" s="766">
        <v>387.39448199999998</v>
      </c>
      <c r="K69" s="766">
        <v>382.0772694057311</v>
      </c>
      <c r="L69" s="766">
        <v>133.61811944376905</v>
      </c>
      <c r="M69" s="766">
        <v>487.98017700000003</v>
      </c>
      <c r="N69" s="766">
        <v>121.02725543204855</v>
      </c>
      <c r="O69" s="766">
        <v>121.74085700000001</v>
      </c>
      <c r="P69" s="768">
        <v>120.07567006450016</v>
      </c>
      <c r="Q69" s="435"/>
      <c r="R69" s="772"/>
      <c r="S69" s="771"/>
      <c r="T69" s="771"/>
      <c r="U69" s="771"/>
      <c r="V69" s="436"/>
      <c r="W69" s="436"/>
      <c r="X69" s="438"/>
      <c r="Y69" s="438"/>
      <c r="Z69" s="438"/>
      <c r="AA69" s="438"/>
      <c r="AB69" s="438"/>
      <c r="AC69" s="438"/>
      <c r="AD69" s="438"/>
      <c r="AE69" s="438"/>
      <c r="AF69" s="438"/>
      <c r="AG69" s="438"/>
      <c r="AH69" s="438"/>
      <c r="AI69" s="438"/>
      <c r="AJ69" s="438"/>
      <c r="AK69" s="438"/>
      <c r="AL69" s="438"/>
      <c r="AM69" s="438"/>
      <c r="AN69" s="438"/>
      <c r="AO69" s="438"/>
      <c r="AP69" s="438"/>
      <c r="AQ69" s="438"/>
      <c r="AR69" s="438"/>
    </row>
    <row r="70" spans="1:44" ht="16" thickBot="1">
      <c r="A70" s="756"/>
      <c r="B70" s="770" t="s">
        <v>1480</v>
      </c>
      <c r="C70" s="766">
        <v>5.4591959141478075</v>
      </c>
      <c r="D70" s="766">
        <v>4.2246887305981362</v>
      </c>
      <c r="E70" s="766">
        <v>3.7228282050391304</v>
      </c>
      <c r="F70" s="766">
        <v>41.564885931558933</v>
      </c>
      <c r="G70" s="767">
        <v>5.964011085508969</v>
      </c>
      <c r="H70" s="766">
        <v>3.5897856260633798</v>
      </c>
      <c r="I70" s="768">
        <v>1.9514433097705952</v>
      </c>
      <c r="J70" s="766">
        <v>395.29621900000001</v>
      </c>
      <c r="K70" s="766">
        <v>389.07076303132283</v>
      </c>
      <c r="L70" s="766">
        <v>135.94951092834478</v>
      </c>
      <c r="M70" s="766">
        <v>521.24190999999996</v>
      </c>
      <c r="N70" s="766">
        <v>123.08532278333523</v>
      </c>
      <c r="O70" s="766">
        <v>122.620665</v>
      </c>
      <c r="P70" s="768">
        <v>120.50660599214883</v>
      </c>
      <c r="Q70" s="435"/>
      <c r="R70" s="772"/>
      <c r="S70" s="771"/>
      <c r="T70" s="771"/>
      <c r="U70" s="771"/>
      <c r="V70" s="436"/>
      <c r="W70" s="436"/>
      <c r="X70" s="438"/>
      <c r="Y70" s="438"/>
      <c r="Z70" s="438"/>
      <c r="AA70" s="438"/>
      <c r="AB70" s="438"/>
      <c r="AC70" s="438"/>
      <c r="AD70" s="438"/>
      <c r="AE70" s="438"/>
      <c r="AF70" s="438"/>
      <c r="AG70" s="438"/>
      <c r="AH70" s="438"/>
      <c r="AI70" s="438"/>
      <c r="AJ70" s="438"/>
      <c r="AK70" s="438"/>
      <c r="AL70" s="438"/>
      <c r="AM70" s="438"/>
      <c r="AN70" s="438"/>
      <c r="AO70" s="438"/>
      <c r="AP70" s="438"/>
      <c r="AQ70" s="438"/>
      <c r="AR70" s="438"/>
    </row>
    <row r="71" spans="1:44" ht="16" thickBot="1">
      <c r="A71" s="756"/>
      <c r="B71" s="770" t="s">
        <v>1481</v>
      </c>
      <c r="C71" s="766">
        <v>4.757608926673762</v>
      </c>
      <c r="D71" s="766">
        <v>3.6543684966836576</v>
      </c>
      <c r="E71" s="766">
        <v>3.3328551618197588</v>
      </c>
      <c r="F71" s="766">
        <v>34.234023900423139</v>
      </c>
      <c r="G71" s="767">
        <v>4.7101120143329123</v>
      </c>
      <c r="H71" s="766">
        <v>3.1340645454510208</v>
      </c>
      <c r="I71" s="768">
        <v>1.6110323903654855</v>
      </c>
      <c r="J71" s="766">
        <v>394.30763999999999</v>
      </c>
      <c r="K71" s="766">
        <v>387.28727215977563</v>
      </c>
      <c r="L71" s="766">
        <v>135.79590493945705</v>
      </c>
      <c r="M71" s="766">
        <v>543.55830700000001</v>
      </c>
      <c r="N71" s="766">
        <v>124.46227851100997</v>
      </c>
      <c r="O71" s="766">
        <v>123.36850699999999</v>
      </c>
      <c r="P71" s="768">
        <v>121.00159140091118</v>
      </c>
      <c r="Q71" s="435"/>
      <c r="R71" s="772"/>
      <c r="S71" s="771"/>
      <c r="T71" s="771"/>
      <c r="U71" s="771"/>
      <c r="V71" s="436"/>
      <c r="W71" s="436"/>
      <c r="X71" s="438"/>
      <c r="Y71" s="438"/>
      <c r="Z71" s="438"/>
      <c r="AA71" s="438"/>
      <c r="AB71" s="438"/>
      <c r="AC71" s="438"/>
      <c r="AD71" s="438"/>
      <c r="AE71" s="438"/>
      <c r="AF71" s="438"/>
      <c r="AG71" s="438"/>
      <c r="AH71" s="438"/>
      <c r="AI71" s="438"/>
      <c r="AJ71" s="438"/>
      <c r="AK71" s="438"/>
      <c r="AL71" s="438"/>
      <c r="AM71" s="438"/>
      <c r="AN71" s="438"/>
      <c r="AO71" s="438"/>
      <c r="AP71" s="438"/>
      <c r="AQ71" s="438"/>
      <c r="AR71" s="438"/>
    </row>
    <row r="72" spans="1:44" ht="16" thickBot="1">
      <c r="A72" s="756"/>
      <c r="B72" s="770" t="s">
        <v>1482</v>
      </c>
      <c r="C72" s="766">
        <v>3.8970854752464534</v>
      </c>
      <c r="D72" s="766">
        <v>3.0198004424528468</v>
      </c>
      <c r="E72" s="766">
        <v>2.8213162156834226</v>
      </c>
      <c r="F72" s="766">
        <v>25.558118301714305</v>
      </c>
      <c r="G72" s="767">
        <v>4.2790653664012357</v>
      </c>
      <c r="H72" s="766">
        <v>2.6776775328177571</v>
      </c>
      <c r="I72" s="768">
        <v>1.5388610571125172</v>
      </c>
      <c r="J72" s="766">
        <v>397.23370199999999</v>
      </c>
      <c r="K72" s="766">
        <v>389.71421946777485</v>
      </c>
      <c r="L72" s="766">
        <v>136.46235050410004</v>
      </c>
      <c r="M72" s="766">
        <v>560.61942399999998</v>
      </c>
      <c r="N72" s="766">
        <v>125.20631262344169</v>
      </c>
      <c r="O72" s="766">
        <v>123.98795</v>
      </c>
      <c r="P72" s="768">
        <v>121.50223076079666</v>
      </c>
      <c r="Q72" s="435"/>
      <c r="R72" s="772"/>
      <c r="S72" s="771"/>
      <c r="T72" s="771"/>
      <c r="U72" s="771"/>
      <c r="V72" s="436"/>
      <c r="W72" s="436"/>
      <c r="X72" s="438"/>
      <c r="Y72" s="438"/>
      <c r="Z72" s="438"/>
      <c r="AA72" s="438"/>
      <c r="AB72" s="438"/>
      <c r="AC72" s="438"/>
      <c r="AD72" s="438"/>
      <c r="AE72" s="438"/>
      <c r="AF72" s="438"/>
      <c r="AG72" s="438"/>
      <c r="AH72" s="438"/>
      <c r="AI72" s="438"/>
      <c r="AJ72" s="438"/>
      <c r="AK72" s="438"/>
      <c r="AL72" s="438"/>
      <c r="AM72" s="438"/>
      <c r="AN72" s="438"/>
      <c r="AO72" s="438"/>
      <c r="AP72" s="438"/>
      <c r="AQ72" s="438"/>
      <c r="AR72" s="438"/>
    </row>
    <row r="73" spans="1:44" ht="16" thickBot="1">
      <c r="A73" s="756"/>
      <c r="B73" s="770" t="s">
        <v>1483</v>
      </c>
      <c r="C73" s="766">
        <v>3.1173670666790665</v>
      </c>
      <c r="D73" s="766">
        <v>2.4657338061795819</v>
      </c>
      <c r="E73" s="766">
        <v>2.2526802921424949</v>
      </c>
      <c r="F73" s="766">
        <v>17.986603173021898</v>
      </c>
      <c r="G73" s="767">
        <v>4.7695577135939748</v>
      </c>
      <c r="H73" s="766">
        <v>2.2885184716582074</v>
      </c>
      <c r="I73" s="768">
        <v>1.6107781385534148</v>
      </c>
      <c r="J73" s="766">
        <v>399.47098999999997</v>
      </c>
      <c r="K73" s="766">
        <v>391.49827780319606</v>
      </c>
      <c r="L73" s="766">
        <v>136.62810848721026</v>
      </c>
      <c r="M73" s="766">
        <v>575.75123499999995</v>
      </c>
      <c r="N73" s="766">
        <v>126.79972022905891</v>
      </c>
      <c r="O73" s="766">
        <v>124.52691900000001</v>
      </c>
      <c r="P73" s="768">
        <v>122.00982270762066</v>
      </c>
      <c r="Q73" s="435"/>
      <c r="R73" s="772"/>
      <c r="S73" s="771"/>
      <c r="T73" s="771"/>
      <c r="U73" s="771"/>
      <c r="V73" s="436"/>
      <c r="W73" s="436"/>
      <c r="X73" s="438"/>
      <c r="Y73" s="438"/>
      <c r="Z73" s="438"/>
      <c r="AA73" s="438"/>
      <c r="AB73" s="438"/>
      <c r="AC73" s="438"/>
      <c r="AD73" s="438"/>
      <c r="AE73" s="438"/>
      <c r="AF73" s="438"/>
      <c r="AG73" s="438"/>
      <c r="AH73" s="438"/>
      <c r="AI73" s="438"/>
      <c r="AJ73" s="438"/>
      <c r="AK73" s="438"/>
      <c r="AL73" s="438"/>
      <c r="AM73" s="438"/>
      <c r="AN73" s="438"/>
      <c r="AO73" s="438"/>
      <c r="AP73" s="438"/>
      <c r="AQ73" s="438"/>
      <c r="AR73" s="438"/>
    </row>
    <row r="74" spans="1:44" ht="16" thickBot="1">
      <c r="A74" s="756"/>
      <c r="B74" s="770" t="s">
        <v>1484</v>
      </c>
      <c r="C74" s="766">
        <v>2.5225141351529201</v>
      </c>
      <c r="D74" s="766">
        <v>2.087434714714731</v>
      </c>
      <c r="E74" s="766">
        <v>1.7730454213502611</v>
      </c>
      <c r="F74" s="766">
        <v>11.986931941063595</v>
      </c>
      <c r="G74" s="767">
        <v>4.0844645219876075</v>
      </c>
      <c r="H74" s="766">
        <v>1.9646256199964407</v>
      </c>
      <c r="I74" s="768">
        <v>1.7169008274887432</v>
      </c>
      <c r="J74" s="766">
        <v>405.26762200000002</v>
      </c>
      <c r="K74" s="766">
        <v>397.19236120364417</v>
      </c>
      <c r="L74" s="766">
        <v>138.35995750720787</v>
      </c>
      <c r="M74" s="766">
        <v>583.72282299999995</v>
      </c>
      <c r="N74" s="766">
        <v>128.11269912419448</v>
      </c>
      <c r="O74" s="766">
        <v>125.029702</v>
      </c>
      <c r="P74" s="768">
        <v>122.57558490760664</v>
      </c>
      <c r="Q74" s="435"/>
      <c r="R74" s="772"/>
      <c r="S74" s="771"/>
      <c r="T74" s="771"/>
      <c r="U74" s="771"/>
      <c r="V74" s="436"/>
      <c r="W74" s="436"/>
      <c r="X74" s="438"/>
      <c r="Y74" s="438"/>
      <c r="Z74" s="438"/>
      <c r="AA74" s="438"/>
      <c r="AB74" s="438"/>
      <c r="AC74" s="438"/>
      <c r="AD74" s="438"/>
      <c r="AE74" s="438"/>
      <c r="AF74" s="438"/>
      <c r="AG74" s="438"/>
      <c r="AH74" s="438"/>
      <c r="AI74" s="438"/>
      <c r="AJ74" s="438"/>
      <c r="AK74" s="438"/>
      <c r="AL74" s="438"/>
      <c r="AM74" s="438"/>
      <c r="AN74" s="438"/>
      <c r="AO74" s="438"/>
      <c r="AP74" s="438"/>
      <c r="AQ74" s="438"/>
      <c r="AR74" s="438"/>
    </row>
    <row r="75" spans="1:44" ht="16" thickBot="1">
      <c r="A75" s="756"/>
      <c r="B75" s="770" t="s">
        <v>1485</v>
      </c>
      <c r="C75" s="766">
        <v>2.3952723817372679</v>
      </c>
      <c r="D75" s="766">
        <v>2.0954597930081142</v>
      </c>
      <c r="E75" s="766">
        <v>1.5993899598784278</v>
      </c>
      <c r="F75" s="766">
        <v>8.6207544612136644</v>
      </c>
      <c r="G75" s="767">
        <v>3.7825846209861735</v>
      </c>
      <c r="H75" s="766">
        <v>1.7332292105958658</v>
      </c>
      <c r="I75" s="768">
        <v>1.7295221496688606</v>
      </c>
      <c r="J75" s="766">
        <v>403.75238200000001</v>
      </c>
      <c r="K75" s="766">
        <v>395.40272123132161</v>
      </c>
      <c r="L75" s="766">
        <v>137.96781100898477</v>
      </c>
      <c r="M75" s="766">
        <v>590.41713400000003</v>
      </c>
      <c r="N75" s="766">
        <v>129.17016951689641</v>
      </c>
      <c r="O75" s="766">
        <v>125.506766</v>
      </c>
      <c r="P75" s="768">
        <v>123.09434072564176</v>
      </c>
      <c r="Q75" s="435"/>
      <c r="R75" s="772"/>
      <c r="S75" s="771"/>
      <c r="T75" s="771"/>
      <c r="U75" s="771"/>
      <c r="V75" s="436"/>
      <c r="W75" s="436"/>
      <c r="X75" s="438"/>
      <c r="Y75" s="438"/>
      <c r="Z75" s="438"/>
      <c r="AA75" s="438"/>
      <c r="AB75" s="438"/>
      <c r="AC75" s="438"/>
      <c r="AD75" s="438"/>
      <c r="AE75" s="438"/>
      <c r="AF75" s="438"/>
      <c r="AG75" s="438"/>
      <c r="AH75" s="438"/>
      <c r="AI75" s="438"/>
      <c r="AJ75" s="438"/>
      <c r="AK75" s="438"/>
      <c r="AL75" s="438"/>
      <c r="AM75" s="438"/>
      <c r="AN75" s="438"/>
      <c r="AO75" s="438"/>
      <c r="AP75" s="438"/>
      <c r="AQ75" s="438"/>
      <c r="AR75" s="438"/>
    </row>
    <row r="76" spans="1:44" ht="16" thickBot="1">
      <c r="A76" s="756"/>
      <c r="B76" s="770" t="s">
        <v>1486</v>
      </c>
      <c r="C76" s="766">
        <v>2.3742975363152841</v>
      </c>
      <c r="D76" s="766">
        <v>2.1374381891181793</v>
      </c>
      <c r="E76" s="766">
        <v>1.488294933303691</v>
      </c>
      <c r="F76" s="766">
        <v>7.1727932138148764</v>
      </c>
      <c r="G76" s="767">
        <v>3.4876791592059586</v>
      </c>
      <c r="H76" s="766">
        <v>1.6071198854404889</v>
      </c>
      <c r="I76" s="768">
        <v>1.7180130971663043</v>
      </c>
      <c r="J76" s="766">
        <v>406.665212</v>
      </c>
      <c r="K76" s="766">
        <v>398.04412002310289</v>
      </c>
      <c r="L76" s="766">
        <v>138.4933127525197</v>
      </c>
      <c r="M76" s="766">
        <v>600.83149600000002</v>
      </c>
      <c r="N76" s="766">
        <v>129.57310709481973</v>
      </c>
      <c r="O76" s="766">
        <v>125.980585</v>
      </c>
      <c r="P76" s="768">
        <v>123.58965499861638</v>
      </c>
      <c r="Q76" s="435"/>
      <c r="R76" s="772"/>
      <c r="S76" s="771"/>
      <c r="T76" s="771"/>
      <c r="U76" s="771"/>
      <c r="V76" s="436"/>
      <c r="W76" s="436"/>
      <c r="X76" s="438"/>
      <c r="Y76" s="438"/>
      <c r="Z76" s="438"/>
      <c r="AA76" s="438"/>
      <c r="AB76" s="438"/>
      <c r="AC76" s="438"/>
      <c r="AD76" s="438"/>
      <c r="AE76" s="438"/>
      <c r="AF76" s="438"/>
      <c r="AG76" s="438"/>
      <c r="AH76" s="438"/>
      <c r="AI76" s="438"/>
      <c r="AJ76" s="438"/>
      <c r="AK76" s="438"/>
      <c r="AL76" s="438"/>
      <c r="AM76" s="438"/>
      <c r="AN76" s="438"/>
      <c r="AO76" s="438"/>
      <c r="AP76" s="438"/>
      <c r="AQ76" s="438"/>
      <c r="AR76" s="438"/>
    </row>
    <row r="77" spans="1:44" ht="16" thickBot="1">
      <c r="A77" s="756"/>
      <c r="B77" s="770" t="s">
        <v>1487</v>
      </c>
      <c r="C77" s="766">
        <v>2.3621107004541342</v>
      </c>
      <c r="D77" s="766">
        <v>2.1674988497984993</v>
      </c>
      <c r="E77" s="766">
        <v>1.3913035708659205</v>
      </c>
      <c r="F77" s="766">
        <v>6.218674111919209</v>
      </c>
      <c r="G77" s="767">
        <v>2.2837543364538915</v>
      </c>
      <c r="H77" s="766">
        <v>1.5540302575060005</v>
      </c>
      <c r="I77" s="768">
        <v>1.6840656189892167</v>
      </c>
      <c r="J77" s="766">
        <v>408.90693700000003</v>
      </c>
      <c r="K77" s="766">
        <v>399.98399847156128</v>
      </c>
      <c r="L77" s="766">
        <v>138.52902023939939</v>
      </c>
      <c r="M77" s="766">
        <v>611.55532800000003</v>
      </c>
      <c r="N77" s="766">
        <v>129.69551433840144</v>
      </c>
      <c r="O77" s="766">
        <v>126.46210499999999</v>
      </c>
      <c r="P77" s="768">
        <v>124.0645481836294</v>
      </c>
      <c r="Q77" s="435"/>
      <c r="R77" s="772"/>
      <c r="S77" s="771"/>
      <c r="T77" s="771"/>
      <c r="U77" s="771"/>
      <c r="V77" s="436"/>
      <c r="W77" s="436"/>
      <c r="X77" s="438"/>
      <c r="Y77" s="438"/>
      <c r="Z77" s="438"/>
      <c r="AA77" s="438"/>
      <c r="AB77" s="438"/>
      <c r="AC77" s="438"/>
      <c r="AD77" s="438"/>
      <c r="AE77" s="438"/>
      <c r="AF77" s="438"/>
      <c r="AG77" s="438"/>
      <c r="AH77" s="438"/>
      <c r="AI77" s="438"/>
      <c r="AJ77" s="438"/>
      <c r="AK77" s="438"/>
      <c r="AL77" s="438"/>
      <c r="AM77" s="438"/>
      <c r="AN77" s="438"/>
      <c r="AO77" s="438"/>
      <c r="AP77" s="438"/>
      <c r="AQ77" s="438"/>
      <c r="AR77" s="438"/>
    </row>
    <row r="78" spans="1:44" ht="16" thickBot="1">
      <c r="A78" s="756"/>
      <c r="B78" s="770" t="s">
        <v>1488</v>
      </c>
      <c r="C78" s="766">
        <v>2.4802447702076735</v>
      </c>
      <c r="D78" s="766">
        <v>2.2708249517086498</v>
      </c>
      <c r="E78" s="766">
        <v>1.4401616230828695</v>
      </c>
      <c r="F78" s="766">
        <v>6.6331153202142445</v>
      </c>
      <c r="G78" s="767">
        <v>1.8811804084565065</v>
      </c>
      <c r="H78" s="766">
        <v>1.5401020471119686</v>
      </c>
      <c r="I78" s="768">
        <v>1.6046999959683061</v>
      </c>
      <c r="J78" s="766">
        <v>415.31925100000001</v>
      </c>
      <c r="K78" s="766">
        <v>406.21190444813726</v>
      </c>
      <c r="L78" s="766">
        <v>140.35256451694045</v>
      </c>
      <c r="M78" s="766">
        <v>622.44183099999998</v>
      </c>
      <c r="N78" s="766">
        <v>130.52273012086366</v>
      </c>
      <c r="O78" s="766">
        <v>126.955287</v>
      </c>
      <c r="P78" s="768">
        <v>124.54255531367713</v>
      </c>
      <c r="Q78" s="435"/>
      <c r="R78" s="772"/>
      <c r="S78" s="771"/>
      <c r="T78" s="771"/>
      <c r="U78" s="771"/>
      <c r="V78" s="436"/>
      <c r="W78" s="436"/>
      <c r="X78" s="438"/>
      <c r="Y78" s="438"/>
      <c r="Z78" s="438"/>
      <c r="AA78" s="438"/>
      <c r="AB78" s="438"/>
      <c r="AC78" s="438"/>
      <c r="AD78" s="438"/>
      <c r="AE78" s="438"/>
      <c r="AF78" s="438"/>
      <c r="AG78" s="438"/>
      <c r="AH78" s="438"/>
      <c r="AI78" s="438"/>
      <c r="AJ78" s="438"/>
      <c r="AK78" s="438"/>
      <c r="AL78" s="438"/>
      <c r="AM78" s="438"/>
      <c r="AN78" s="438"/>
      <c r="AO78" s="438"/>
      <c r="AP78" s="438"/>
      <c r="AQ78" s="438"/>
      <c r="AR78" s="438"/>
    </row>
    <row r="79" spans="1:44" ht="16" thickBot="1">
      <c r="A79" s="756"/>
      <c r="B79" s="770" t="s">
        <v>1489</v>
      </c>
      <c r="C79" s="766">
        <v>2.5505137453281979</v>
      </c>
      <c r="D79" s="766">
        <v>2.3001602926888465</v>
      </c>
      <c r="E79" s="766">
        <v>1.4320553282960446</v>
      </c>
      <c r="F79" s="766">
        <v>7.4367086372530533</v>
      </c>
      <c r="G79" s="767">
        <v>1.8941634524463735</v>
      </c>
      <c r="H79" s="766">
        <v>1.5635252684305545</v>
      </c>
      <c r="I79" s="768">
        <v>1.5938057660001892</v>
      </c>
      <c r="J79" s="766">
        <v>414.05014199999999</v>
      </c>
      <c r="K79" s="766">
        <v>404.4976176212956</v>
      </c>
      <c r="L79" s="766">
        <v>139.94358639787234</v>
      </c>
      <c r="M79" s="766">
        <v>634.32473600000003</v>
      </c>
      <c r="N79" s="766">
        <v>131.6168636593485</v>
      </c>
      <c r="O79" s="766">
        <v>127.46909599999999</v>
      </c>
      <c r="P79" s="768">
        <v>125.05622542574696</v>
      </c>
      <c r="Q79" s="435"/>
      <c r="R79" s="772"/>
      <c r="S79" s="771"/>
      <c r="T79" s="771"/>
      <c r="U79" s="771"/>
      <c r="V79" s="436"/>
      <c r="W79" s="436"/>
      <c r="X79" s="438"/>
      <c r="Y79" s="438"/>
      <c r="Z79" s="438"/>
      <c r="AA79" s="438"/>
      <c r="AB79" s="438"/>
      <c r="AC79" s="438"/>
      <c r="AD79" s="438"/>
      <c r="AE79" s="438"/>
      <c r="AF79" s="438"/>
      <c r="AG79" s="438"/>
      <c r="AH79" s="438"/>
      <c r="AI79" s="438"/>
      <c r="AJ79" s="438"/>
      <c r="AK79" s="438"/>
      <c r="AL79" s="438"/>
      <c r="AM79" s="438"/>
      <c r="AN79" s="438"/>
      <c r="AO79" s="438"/>
      <c r="AP79" s="438"/>
      <c r="AQ79" s="438"/>
      <c r="AR79" s="438"/>
    </row>
    <row r="80" spans="1:44" ht="16" thickBot="1">
      <c r="A80" s="756"/>
      <c r="B80" s="770" t="s">
        <v>1490</v>
      </c>
      <c r="C80" s="766">
        <v>2.6533830978392237</v>
      </c>
      <c r="D80" s="766">
        <v>2.4054244792649282</v>
      </c>
      <c r="E80" s="766">
        <v>1.522343754998734</v>
      </c>
      <c r="F80" s="766">
        <v>7.4407167895871984</v>
      </c>
      <c r="G80" s="767">
        <v>1.9707337048598061</v>
      </c>
      <c r="H80" s="766">
        <v>1.6123762244793394</v>
      </c>
      <c r="I80" s="768">
        <v>1.6212195944097507</v>
      </c>
      <c r="J80" s="766">
        <v>417.45559800000001</v>
      </c>
      <c r="K80" s="766">
        <v>407.61877072441325</v>
      </c>
      <c r="L80" s="766">
        <v>140.60165705029854</v>
      </c>
      <c r="M80" s="766">
        <v>645.53766599999994</v>
      </c>
      <c r="N80" s="766">
        <v>132.12664798877142</v>
      </c>
      <c r="O80" s="766">
        <v>128.011866</v>
      </c>
      <c r="P80" s="768">
        <v>125.59331470211735</v>
      </c>
      <c r="Q80" s="435"/>
      <c r="R80" s="772"/>
      <c r="S80" s="771"/>
      <c r="T80" s="771"/>
      <c r="U80" s="771"/>
      <c r="V80" s="436"/>
      <c r="W80" s="436"/>
      <c r="X80" s="438"/>
      <c r="Y80" s="438"/>
      <c r="Z80" s="438"/>
      <c r="AA80" s="438"/>
      <c r="AB80" s="438"/>
      <c r="AC80" s="438"/>
      <c r="AD80" s="438"/>
      <c r="AE80" s="438"/>
      <c r="AF80" s="438"/>
      <c r="AG80" s="438"/>
      <c r="AH80" s="438"/>
      <c r="AI80" s="438"/>
      <c r="AJ80" s="438"/>
      <c r="AK80" s="438"/>
      <c r="AL80" s="438"/>
      <c r="AM80" s="438"/>
      <c r="AN80" s="438"/>
      <c r="AO80" s="438"/>
      <c r="AP80" s="438"/>
      <c r="AQ80" s="438"/>
      <c r="AR80" s="438"/>
    </row>
    <row r="81" spans="1:44" ht="16" thickBot="1">
      <c r="A81" s="756"/>
      <c r="B81" s="770" t="s">
        <v>1491</v>
      </c>
      <c r="C81" s="766">
        <v>2.7066860448004437</v>
      </c>
      <c r="D81" s="766">
        <v>2.4636385733308508</v>
      </c>
      <c r="E81" s="766">
        <v>1.5766408282288813</v>
      </c>
      <c r="F81" s="766">
        <v>7.3393835267182794</v>
      </c>
      <c r="G81" s="767">
        <v>1.6529111696794496</v>
      </c>
      <c r="H81" s="766">
        <v>1.6787131607527872</v>
      </c>
      <c r="I81" s="768">
        <v>1.6776953443573994</v>
      </c>
      <c r="J81" s="766">
        <v>419.97476399999999</v>
      </c>
      <c r="K81" s="766">
        <v>409.83815854505775</v>
      </c>
      <c r="L81" s="766">
        <v>140.71312533143922</v>
      </c>
      <c r="M81" s="766">
        <v>656.43971899999997</v>
      </c>
      <c r="N81" s="766">
        <v>131.83926598147409</v>
      </c>
      <c r="O81" s="766">
        <v>128.58504099999999</v>
      </c>
      <c r="P81" s="768">
        <v>126.1459733325042</v>
      </c>
      <c r="Q81" s="435"/>
      <c r="R81" s="772"/>
      <c r="S81" s="771"/>
      <c r="T81" s="771"/>
      <c r="U81" s="771"/>
      <c r="V81" s="436"/>
      <c r="W81" s="436"/>
      <c r="X81" s="438"/>
      <c r="Y81" s="438"/>
      <c r="Z81" s="438"/>
      <c r="AA81" s="438"/>
      <c r="AB81" s="438"/>
      <c r="AC81" s="438"/>
      <c r="AD81" s="438"/>
      <c r="AE81" s="438"/>
      <c r="AF81" s="438"/>
      <c r="AG81" s="438"/>
      <c r="AH81" s="438"/>
      <c r="AI81" s="438"/>
      <c r="AJ81" s="438"/>
      <c r="AK81" s="438"/>
      <c r="AL81" s="438"/>
      <c r="AM81" s="438"/>
      <c r="AN81" s="438"/>
      <c r="AO81" s="438"/>
      <c r="AP81" s="438"/>
      <c r="AQ81" s="438"/>
      <c r="AR81" s="438"/>
    </row>
    <row r="82" spans="1:44" ht="16" thickBot="1">
      <c r="A82" s="756"/>
      <c r="B82" s="770" t="s">
        <v>1492</v>
      </c>
      <c r="C82" s="766">
        <v>2.8201647219093129</v>
      </c>
      <c r="D82" s="766">
        <v>2.6045949214489328</v>
      </c>
      <c r="E82" s="766">
        <v>1.7118727271036027</v>
      </c>
      <c r="F82" s="766">
        <v>6.9201102584636631</v>
      </c>
      <c r="G82" s="767">
        <v>1.72461897647882</v>
      </c>
      <c r="H82" s="766">
        <v>1.7503587700132606</v>
      </c>
      <c r="I82" s="768">
        <v>1.7264416945836247</v>
      </c>
      <c r="J82" s="766">
        <v>427.03193800000003</v>
      </c>
      <c r="K82" s="766">
        <v>416.79207908171441</v>
      </c>
      <c r="L82" s="766">
        <v>142.75522179069645</v>
      </c>
      <c r="M82" s="766">
        <v>665.51549199999999</v>
      </c>
      <c r="N82" s="766">
        <v>132.77374989314632</v>
      </c>
      <c r="O82" s="766">
        <v>129.17746</v>
      </c>
      <c r="P82" s="768">
        <v>126.69270991611234</v>
      </c>
      <c r="Q82" s="435"/>
      <c r="R82" s="772"/>
      <c r="S82" s="771"/>
      <c r="T82" s="771"/>
      <c r="U82" s="771"/>
      <c r="V82" s="437"/>
      <c r="W82" s="436"/>
      <c r="X82" s="438"/>
      <c r="Y82" s="438"/>
      <c r="Z82" s="438"/>
      <c r="AA82" s="438"/>
      <c r="AB82" s="438"/>
      <c r="AC82" s="438"/>
      <c r="AD82" s="438"/>
      <c r="AE82" s="438"/>
      <c r="AF82" s="438"/>
      <c r="AG82" s="438"/>
      <c r="AH82" s="438"/>
      <c r="AI82" s="438"/>
      <c r="AJ82" s="438"/>
      <c r="AK82" s="438"/>
      <c r="AL82" s="438"/>
      <c r="AM82" s="438"/>
      <c r="AN82" s="438"/>
      <c r="AO82" s="438"/>
      <c r="AP82" s="438"/>
      <c r="AQ82" s="438"/>
      <c r="AR82" s="438"/>
    </row>
    <row r="83" spans="1:44" ht="16" thickBot="1">
      <c r="A83" s="756"/>
      <c r="B83" s="770" t="s">
        <v>1493</v>
      </c>
      <c r="C83" s="766">
        <v>2.8462055206830428</v>
      </c>
      <c r="D83" s="766">
        <v>2.67706655964981</v>
      </c>
      <c r="E83" s="766">
        <v>1.7815376056607546</v>
      </c>
      <c r="F83" s="766">
        <v>5.9894927383062013</v>
      </c>
      <c r="G83" s="767">
        <v>1.829955314062981</v>
      </c>
      <c r="H83" s="766">
        <v>1.8207268058133996</v>
      </c>
      <c r="I83" s="768">
        <v>1.760732651597996</v>
      </c>
      <c r="J83" s="766">
        <v>425.83485999999999</v>
      </c>
      <c r="K83" s="766">
        <v>415.32628807721545</v>
      </c>
      <c r="L83" s="766">
        <v>142.43673401626077</v>
      </c>
      <c r="M83" s="766">
        <v>672.31757000000005</v>
      </c>
      <c r="N83" s="766">
        <v>134.02539345008577</v>
      </c>
      <c r="O83" s="766">
        <v>129.78996000000001</v>
      </c>
      <c r="P83" s="768">
        <v>127.25813121967408</v>
      </c>
      <c r="Q83" s="435"/>
      <c r="R83" s="772"/>
      <c r="S83" s="771"/>
      <c r="T83" s="771"/>
      <c r="U83" s="771"/>
      <c r="V83"/>
      <c r="W83"/>
      <c r="X83" s="438"/>
      <c r="Y83" s="438"/>
      <c r="Z83" s="438"/>
      <c r="AA83" s="438"/>
      <c r="AB83" s="438"/>
      <c r="AC83" s="438"/>
      <c r="AD83" s="438"/>
      <c r="AE83" s="438"/>
      <c r="AF83" s="438"/>
      <c r="AG83" s="438"/>
      <c r="AH83" s="438"/>
      <c r="AI83" s="438"/>
      <c r="AJ83" s="438"/>
      <c r="AK83" s="438"/>
      <c r="AL83" s="438"/>
      <c r="AM83" s="438"/>
      <c r="AN83" s="438"/>
      <c r="AO83" s="438"/>
      <c r="AP83" s="438"/>
      <c r="AQ83" s="438"/>
      <c r="AR83" s="438"/>
    </row>
    <row r="84" spans="1:44" ht="16" thickBot="1">
      <c r="A84" s="756"/>
      <c r="B84" s="770" t="s">
        <v>1494</v>
      </c>
      <c r="C84" s="766">
        <v>2.8400289891429287</v>
      </c>
      <c r="D84" s="766">
        <v>2.7434323678339645</v>
      </c>
      <c r="E84" s="766">
        <v>1.8465337303605001</v>
      </c>
      <c r="F84" s="766">
        <v>4.6176156047879724</v>
      </c>
      <c r="G84" s="767">
        <v>1.8749416541695485</v>
      </c>
      <c r="H84" s="766">
        <v>1.8826379735765952</v>
      </c>
      <c r="I84" s="768">
        <v>1.7907441191218121</v>
      </c>
      <c r="J84" s="766">
        <v>429.31145800000002</v>
      </c>
      <c r="K84" s="766">
        <v>418.80151601783376</v>
      </c>
      <c r="L84" s="766">
        <v>143.19791407317811</v>
      </c>
      <c r="M84" s="766">
        <v>675.34611399999994</v>
      </c>
      <c r="N84" s="766">
        <v>134.60394554817088</v>
      </c>
      <c r="O84" s="766">
        <v>130.42186599999999</v>
      </c>
      <c r="P84" s="768">
        <v>127.84236959915566</v>
      </c>
      <c r="Q84" s="435"/>
      <c r="R84" s="772"/>
      <c r="S84" s="771"/>
      <c r="T84" s="771"/>
      <c r="U84" s="771"/>
      <c r="V84"/>
      <c r="W84"/>
      <c r="X84" s="438"/>
      <c r="Y84" s="438"/>
      <c r="Z84" s="438"/>
      <c r="AA84" s="438"/>
      <c r="AB84" s="438"/>
      <c r="AC84" s="438"/>
      <c r="AD84" s="438"/>
      <c r="AE84" s="438"/>
      <c r="AF84" s="438"/>
      <c r="AG84" s="438"/>
      <c r="AH84" s="438"/>
      <c r="AI84" s="438"/>
      <c r="AJ84" s="438"/>
      <c r="AK84" s="438"/>
      <c r="AL84" s="438"/>
      <c r="AM84" s="438"/>
      <c r="AN84" s="438"/>
      <c r="AO84" s="438"/>
      <c r="AP84" s="438"/>
      <c r="AQ84" s="438"/>
      <c r="AR84" s="438"/>
    </row>
    <row r="85" spans="1:44" ht="16" thickBot="1">
      <c r="A85" s="756"/>
      <c r="B85" s="770" t="s">
        <v>1495</v>
      </c>
      <c r="C85" s="766">
        <v>2.8616612306733735</v>
      </c>
      <c r="D85" s="766">
        <v>2.8137529859923349</v>
      </c>
      <c r="E85" s="766">
        <v>1.9154599494357161</v>
      </c>
      <c r="F85" s="766">
        <v>3.7333592545761185</v>
      </c>
      <c r="G85" s="767">
        <v>1.9304543349044412</v>
      </c>
      <c r="H85" s="766">
        <v>1.9291878594182688</v>
      </c>
      <c r="I85" s="768">
        <v>1.81897856865747</v>
      </c>
      <c r="J85" s="766">
        <v>431.993019</v>
      </c>
      <c r="K85" s="766">
        <v>421.36999196885535</v>
      </c>
      <c r="L85" s="766">
        <v>143.40842889076222</v>
      </c>
      <c r="M85" s="766">
        <v>680.94697199999996</v>
      </c>
      <c r="N85" s="766">
        <v>134.38436280671965</v>
      </c>
      <c r="O85" s="766">
        <v>131.06568799999999</v>
      </c>
      <c r="P85" s="768">
        <v>128.44054155264681</v>
      </c>
      <c r="Q85" s="435"/>
      <c r="R85" s="772"/>
      <c r="S85" s="771"/>
      <c r="T85" s="771"/>
      <c r="U85" s="771"/>
      <c r="V85"/>
      <c r="W85"/>
      <c r="X85" s="438"/>
      <c r="Y85" s="438"/>
      <c r="Z85" s="438"/>
      <c r="AA85" s="438"/>
      <c r="AB85" s="438"/>
      <c r="AC85" s="438"/>
      <c r="AD85" s="438"/>
      <c r="AE85" s="438"/>
      <c r="AF85" s="438"/>
      <c r="AG85" s="438"/>
      <c r="AH85" s="438"/>
      <c r="AI85" s="438"/>
      <c r="AJ85" s="438"/>
      <c r="AK85" s="438"/>
      <c r="AL85" s="438"/>
      <c r="AM85" s="438"/>
      <c r="AN85" s="438"/>
      <c r="AO85" s="438"/>
      <c r="AP85" s="438"/>
      <c r="AQ85" s="438"/>
      <c r="AR85" s="438"/>
    </row>
    <row r="86" spans="1:44" ht="16" thickBot="1">
      <c r="A86" s="756"/>
      <c r="B86" s="770" t="s">
        <v>1496</v>
      </c>
      <c r="C86" s="766">
        <v>2.8581606933577808</v>
      </c>
      <c r="D86" s="766">
        <v>2.8535208058086292</v>
      </c>
      <c r="E86" s="766">
        <v>1.9553498989324458</v>
      </c>
      <c r="F86" s="766">
        <v>2.9428467459327035</v>
      </c>
      <c r="G86" s="767">
        <v>1.9738391290695878</v>
      </c>
      <c r="H86" s="766">
        <v>1.9655054372488934</v>
      </c>
      <c r="I86" s="768">
        <v>1.8506412406435135</v>
      </c>
      <c r="J86" s="766">
        <v>439.23719699999998</v>
      </c>
      <c r="K86" s="766">
        <v>428.68532777527349</v>
      </c>
      <c r="L86" s="766">
        <v>145.54658587570162</v>
      </c>
      <c r="M86" s="766">
        <v>685.100593</v>
      </c>
      <c r="N86" s="766">
        <v>135.39449012167023</v>
      </c>
      <c r="O86" s="766">
        <v>131.71645000000001</v>
      </c>
      <c r="P86" s="768">
        <v>129.03733745470876</v>
      </c>
      <c r="Q86" s="435"/>
      <c r="R86" s="772"/>
      <c r="S86" s="771"/>
      <c r="T86" s="771"/>
      <c r="U86" s="771"/>
      <c r="V86"/>
      <c r="W86"/>
      <c r="X86" s="438"/>
      <c r="Y86" s="438"/>
      <c r="Z86" s="438"/>
      <c r="AA86" s="438"/>
      <c r="AB86" s="438"/>
      <c r="AC86" s="438"/>
      <c r="AD86" s="438"/>
      <c r="AE86" s="438"/>
      <c r="AF86" s="438"/>
      <c r="AG86" s="438"/>
      <c r="AH86" s="438"/>
      <c r="AI86" s="438"/>
      <c r="AJ86" s="438"/>
      <c r="AK86" s="438"/>
      <c r="AL86" s="438"/>
      <c r="AM86" s="438"/>
      <c r="AN86" s="438"/>
      <c r="AO86" s="438"/>
      <c r="AP86" s="438"/>
      <c r="AQ86" s="438"/>
      <c r="AR86" s="438"/>
    </row>
    <row r="87" spans="1:44" ht="16" thickBot="1">
      <c r="A87" s="756"/>
      <c r="B87" s="770" t="s">
        <v>1497</v>
      </c>
      <c r="C87" s="766">
        <v>2.8397116196640315</v>
      </c>
      <c r="D87" s="766">
        <v>2.8724397836680016</v>
      </c>
      <c r="E87" s="766">
        <v>1.9749060196600388</v>
      </c>
      <c r="F87" s="766">
        <v>2.2504986743095312</v>
      </c>
      <c r="G87" s="767">
        <v>1.9952369229198741</v>
      </c>
      <c r="H87" s="766">
        <v>1.9902132645699178</v>
      </c>
      <c r="I87" s="768">
        <v>1.8775978550405137</v>
      </c>
      <c r="J87" s="766">
        <v>437.92734200000001</v>
      </c>
      <c r="K87" s="766">
        <v>427.25628560797696</v>
      </c>
      <c r="L87" s="766">
        <v>145.24972565055506</v>
      </c>
      <c r="M87" s="766">
        <v>687.44806800000003</v>
      </c>
      <c r="N87" s="766">
        <v>136.69951758629051</v>
      </c>
      <c r="O87" s="766">
        <v>132.37305699999999</v>
      </c>
      <c r="P87" s="768">
        <v>129.64752716181934</v>
      </c>
      <c r="Q87" s="435"/>
      <c r="R87" s="772"/>
      <c r="S87" s="771"/>
      <c r="T87" s="771"/>
      <c r="U87" s="771"/>
      <c r="V87"/>
      <c r="W87"/>
      <c r="X87" s="438"/>
      <c r="Y87" s="438"/>
      <c r="Z87" s="438"/>
      <c r="AA87" s="438"/>
      <c r="AB87" s="438"/>
      <c r="AC87" s="438"/>
      <c r="AD87" s="438"/>
      <c r="AE87" s="438"/>
      <c r="AF87" s="438"/>
      <c r="AG87" s="438"/>
      <c r="AH87" s="438"/>
      <c r="AI87" s="438"/>
      <c r="AJ87" s="438"/>
      <c r="AK87" s="438"/>
      <c r="AL87" s="438"/>
      <c r="AM87" s="438"/>
      <c r="AN87" s="438"/>
      <c r="AO87" s="438"/>
      <c r="AP87" s="438"/>
      <c r="AQ87" s="438"/>
      <c r="AR87" s="438"/>
    </row>
    <row r="88" spans="1:44" ht="16" thickBot="1">
      <c r="A88" s="756"/>
      <c r="B88" s="770" t="s">
        <v>1498</v>
      </c>
      <c r="C88" s="766">
        <v>2.8710274953807513</v>
      </c>
      <c r="D88" s="766">
        <v>2.8936163883147792</v>
      </c>
      <c r="E88" s="766">
        <v>1.9955801018917141</v>
      </c>
      <c r="F88" s="766">
        <v>2.4627937668121325</v>
      </c>
      <c r="G88" s="767">
        <v>1.9924349829414156</v>
      </c>
      <c r="H88" s="766">
        <v>2.003873338233042</v>
      </c>
      <c r="I88" s="768">
        <v>1.8948320124617446</v>
      </c>
      <c r="J88" s="766">
        <v>441.63710800000001</v>
      </c>
      <c r="K88" s="766">
        <v>430.92002531983655</v>
      </c>
      <c r="L88" s="766">
        <v>146.05554315274645</v>
      </c>
      <c r="M88" s="766">
        <v>691.97849599999995</v>
      </c>
      <c r="N88" s="766">
        <v>137.28584164769205</v>
      </c>
      <c r="O88" s="766">
        <v>133.03535500000001</v>
      </c>
      <c r="P88" s="768">
        <v>130.26476774381013</v>
      </c>
      <c r="Q88" s="435"/>
      <c r="R88" s="772"/>
      <c r="S88" s="771"/>
      <c r="T88" s="771"/>
      <c r="U88" s="771"/>
      <c r="V88"/>
      <c r="W88"/>
      <c r="X88" s="438"/>
      <c r="Y88" s="438"/>
      <c r="Z88" s="438"/>
      <c r="AA88" s="438"/>
      <c r="AB88" s="438"/>
      <c r="AC88" s="438"/>
      <c r="AD88" s="438"/>
      <c r="AE88" s="438"/>
      <c r="AF88" s="438"/>
      <c r="AG88" s="438"/>
      <c r="AH88" s="438"/>
      <c r="AI88" s="438"/>
      <c r="AJ88" s="438"/>
      <c r="AK88" s="438"/>
      <c r="AL88" s="438"/>
      <c r="AM88" s="438"/>
      <c r="AN88" s="438"/>
      <c r="AO88" s="438"/>
      <c r="AP88" s="438"/>
      <c r="AQ88" s="438"/>
      <c r="AR88" s="438"/>
    </row>
    <row r="89" spans="1:44" ht="15.5">
      <c r="A89" s="756"/>
      <c r="B89" s="773" t="s">
        <v>1499</v>
      </c>
      <c r="C89" s="774">
        <v>2.8728181832030852</v>
      </c>
      <c r="D89" s="774">
        <v>2.897898464891191</v>
      </c>
      <c r="E89" s="774">
        <v>1.9998012308720892</v>
      </c>
      <c r="F89" s="774">
        <v>2.4205243106654173</v>
      </c>
      <c r="G89" s="775">
        <v>2.0539255244418797</v>
      </c>
      <c r="H89" s="774">
        <v>2.01129757164209</v>
      </c>
      <c r="I89" s="776">
        <v>1.9000433681053863</v>
      </c>
      <c r="J89" s="774">
        <v>444.40339299999999</v>
      </c>
      <c r="K89" s="774">
        <v>433.58086649763294</v>
      </c>
      <c r="L89" s="774">
        <v>146.276312416894</v>
      </c>
      <c r="M89" s="774">
        <v>697.42945899999995</v>
      </c>
      <c r="N89" s="774">
        <v>137.14451753526544</v>
      </c>
      <c r="O89" s="774">
        <v>133.701809</v>
      </c>
      <c r="P89" s="776">
        <v>130.88096754437652</v>
      </c>
      <c r="Q89" s="435"/>
      <c r="R89" s="772"/>
      <c r="S89" s="771"/>
      <c r="T89" s="771"/>
      <c r="U89" s="771"/>
      <c r="V89"/>
      <c r="W89"/>
      <c r="X89" s="438"/>
      <c r="Y89" s="438"/>
      <c r="Z89" s="438"/>
      <c r="AA89" s="438"/>
      <c r="AB89" s="438"/>
      <c r="AC89" s="438"/>
      <c r="AD89" s="438"/>
      <c r="AE89" s="438"/>
      <c r="AF89" s="438"/>
      <c r="AG89" s="438"/>
      <c r="AH89" s="438"/>
      <c r="AI89" s="438"/>
      <c r="AJ89" s="438"/>
      <c r="AK89" s="438"/>
      <c r="AL89" s="438"/>
      <c r="AM89" s="438"/>
      <c r="AN89" s="438"/>
      <c r="AO89" s="438"/>
      <c r="AP89" s="438"/>
      <c r="AQ89" s="438"/>
      <c r="AR89" s="438"/>
    </row>
    <row r="90" spans="1:44" ht="15.5">
      <c r="A90" s="756"/>
      <c r="B90" s="770">
        <v>2008</v>
      </c>
      <c r="C90" s="777">
        <v>4.0062923388912264</v>
      </c>
      <c r="D90" s="777">
        <v>4.2552300764836515</v>
      </c>
      <c r="E90" s="777">
        <v>3.6177524450468068</v>
      </c>
      <c r="F90" s="777">
        <v>-0.28914655453734506</v>
      </c>
      <c r="G90" s="778">
        <v>3.3295609010762632</v>
      </c>
      <c r="H90" s="777">
        <v>4.052703645463307</v>
      </c>
      <c r="I90" s="174">
        <v>3.4385715942219175</v>
      </c>
      <c r="J90" s="777">
        <v>214.82499999999999</v>
      </c>
      <c r="K90" s="777">
        <v>208.45833333333334</v>
      </c>
      <c r="L90" s="777">
        <v>84.73341666666667</v>
      </c>
      <c r="M90" s="777">
        <v>387.95000000000005</v>
      </c>
      <c r="N90" s="434">
        <v>84.759</v>
      </c>
      <c r="O90" s="777">
        <v>84.300309656174662</v>
      </c>
      <c r="P90" s="174">
        <v>82.724999999999994</v>
      </c>
      <c r="Q90" s="435"/>
      <c r="R90" s="771"/>
      <c r="S90" s="779"/>
      <c r="T90" s="769"/>
      <c r="U90" s="771"/>
      <c r="V90"/>
      <c r="W90"/>
      <c r="X90" s="438"/>
      <c r="Y90" s="438"/>
      <c r="Z90" s="438"/>
      <c r="AA90" s="438"/>
      <c r="AB90" s="438"/>
      <c r="AC90" s="438"/>
      <c r="AD90" s="438"/>
      <c r="AE90" s="438"/>
      <c r="AF90" s="438"/>
      <c r="AG90" s="438"/>
      <c r="AH90" s="438"/>
      <c r="AI90" s="438"/>
      <c r="AJ90" s="438"/>
      <c r="AK90" s="438"/>
      <c r="AL90" s="438"/>
      <c r="AM90" s="438"/>
      <c r="AN90" s="438"/>
      <c r="AO90" s="438"/>
      <c r="AP90" s="438"/>
      <c r="AQ90" s="438"/>
      <c r="AR90" s="438"/>
    </row>
    <row r="91" spans="1:44" ht="15.5">
      <c r="A91" s="756"/>
      <c r="B91" s="770">
        <v>2009</v>
      </c>
      <c r="C91" s="777">
        <v>-0.5314403196400086</v>
      </c>
      <c r="D91" s="777">
        <v>1.9788127123725685</v>
      </c>
      <c r="E91" s="777">
        <v>2.1653204511010493</v>
      </c>
      <c r="F91" s="777">
        <v>-42.376594922026044</v>
      </c>
      <c r="G91" s="778">
        <v>1.8457233646770987</v>
      </c>
      <c r="H91" s="777">
        <v>0.94560301411243941</v>
      </c>
      <c r="I91" s="174">
        <v>1.9038984587488539</v>
      </c>
      <c r="J91" s="777">
        <v>213.68333333333334</v>
      </c>
      <c r="K91" s="777">
        <v>212.58333333333331</v>
      </c>
      <c r="L91" s="777">
        <v>86.56816666666667</v>
      </c>
      <c r="M91" s="777">
        <v>223.54999999999998</v>
      </c>
      <c r="N91" s="434">
        <v>86.32341666666666</v>
      </c>
      <c r="O91" s="777">
        <v>85.097455925189564</v>
      </c>
      <c r="P91" s="174">
        <v>84.299999999999983</v>
      </c>
      <c r="Q91" s="435"/>
      <c r="R91" s="771"/>
      <c r="S91" s="779"/>
      <c r="T91" s="754"/>
      <c r="U91" s="754"/>
      <c r="V91"/>
      <c r="W91"/>
      <c r="X91" s="438"/>
      <c r="Y91" s="438"/>
      <c r="Z91" s="438"/>
      <c r="AA91" s="438"/>
      <c r="AB91" s="438"/>
      <c r="AC91" s="438"/>
      <c r="AD91" s="438"/>
      <c r="AE91" s="438"/>
      <c r="AF91" s="438"/>
      <c r="AG91" s="438"/>
      <c r="AH91" s="438"/>
      <c r="AI91" s="438"/>
      <c r="AJ91" s="438"/>
      <c r="AK91" s="438"/>
      <c r="AL91" s="438"/>
      <c r="AM91" s="438"/>
      <c r="AN91" s="438"/>
      <c r="AO91" s="438"/>
      <c r="AP91" s="438"/>
      <c r="AQ91" s="438"/>
      <c r="AR91" s="438"/>
    </row>
    <row r="92" spans="1:44" ht="15.5">
      <c r="A92" s="756"/>
      <c r="B92" s="770">
        <v>2010</v>
      </c>
      <c r="C92" s="777">
        <v>4.6213243896731981</v>
      </c>
      <c r="D92" s="777">
        <v>4.7628381027048139</v>
      </c>
      <c r="E92" s="777">
        <v>3.2981715757716801</v>
      </c>
      <c r="F92" s="777">
        <v>0.51442630284053159</v>
      </c>
      <c r="G92" s="778">
        <v>1.3727445527044466</v>
      </c>
      <c r="H92" s="777">
        <v>0.97588871235962937</v>
      </c>
      <c r="I92" s="174">
        <v>1.5717674970344264</v>
      </c>
      <c r="J92" s="777">
        <v>223.55833333333334</v>
      </c>
      <c r="K92" s="777">
        <v>222.70833333333331</v>
      </c>
      <c r="L92" s="777">
        <v>89.423333333333332</v>
      </c>
      <c r="M92" s="777">
        <v>224.7</v>
      </c>
      <c r="N92" s="434">
        <v>87.508416666666676</v>
      </c>
      <c r="O92" s="777">
        <v>85.927912392068691</v>
      </c>
      <c r="P92" s="174">
        <v>85.625</v>
      </c>
      <c r="Q92" s="435"/>
      <c r="R92" s="754"/>
      <c r="S92" s="779"/>
      <c r="T92" s="754"/>
      <c r="U92" s="754"/>
      <c r="V92"/>
      <c r="W92"/>
      <c r="X92" s="438"/>
      <c r="Y92" s="438"/>
      <c r="Z92" s="438"/>
      <c r="AA92" s="438"/>
      <c r="AB92" s="438"/>
      <c r="AC92" s="438"/>
      <c r="AD92" s="438"/>
      <c r="AE92" s="438"/>
      <c r="AF92" s="438"/>
      <c r="AG92" s="438"/>
      <c r="AH92" s="438"/>
      <c r="AI92" s="438"/>
      <c r="AJ92" s="438"/>
      <c r="AK92" s="438"/>
      <c r="AL92" s="438"/>
      <c r="AM92" s="438"/>
      <c r="AN92" s="438"/>
      <c r="AO92" s="438"/>
      <c r="AP92" s="438"/>
      <c r="AQ92" s="438"/>
      <c r="AR92" s="438"/>
    </row>
    <row r="93" spans="1:44" ht="15.5">
      <c r="A93" s="756"/>
      <c r="B93" s="770">
        <v>2011</v>
      </c>
      <c r="C93" s="777">
        <v>5.1999850896484734</v>
      </c>
      <c r="D93" s="777">
        <v>5.2871842843779326</v>
      </c>
      <c r="E93" s="777">
        <v>4.463693294069393</v>
      </c>
      <c r="F93" s="777">
        <v>3.0559264204124137</v>
      </c>
      <c r="G93" s="778">
        <v>2.5092824404509599</v>
      </c>
      <c r="H93" s="777">
        <v>3.8901753150354823</v>
      </c>
      <c r="I93" s="174">
        <v>2.1313868613138665</v>
      </c>
      <c r="J93" s="777">
        <v>235.18333333333331</v>
      </c>
      <c r="K93" s="777">
        <v>234.48333333333335</v>
      </c>
      <c r="L93" s="777">
        <v>93.414916666666656</v>
      </c>
      <c r="M93" s="777">
        <v>231.56666666666669</v>
      </c>
      <c r="N93" s="434">
        <v>89.704250000000002</v>
      </c>
      <c r="O93" s="777">
        <v>89.270658828670264</v>
      </c>
      <c r="P93" s="174">
        <v>87.45</v>
      </c>
      <c r="Q93" s="435"/>
      <c r="R93" s="754"/>
      <c r="S93" s="754"/>
      <c r="T93" s="754"/>
      <c r="U93" s="754"/>
      <c r="V93"/>
      <c r="W93"/>
      <c r="X93" s="438"/>
      <c r="Y93" s="438"/>
      <c r="Z93" s="438"/>
      <c r="AA93" s="438"/>
      <c r="AB93" s="438"/>
      <c r="AC93" s="438"/>
      <c r="AD93" s="438"/>
      <c r="AE93" s="438"/>
      <c r="AF93" s="438"/>
      <c r="AG93" s="438"/>
      <c r="AH93" s="438"/>
      <c r="AI93" s="438"/>
      <c r="AJ93" s="438"/>
      <c r="AK93" s="438"/>
      <c r="AL93" s="438"/>
      <c r="AM93" s="438"/>
      <c r="AN93" s="438"/>
      <c r="AO93" s="438"/>
      <c r="AP93" s="438"/>
      <c r="AQ93" s="438"/>
      <c r="AR93" s="438"/>
    </row>
    <row r="94" spans="1:44" ht="15.5">
      <c r="A94" s="756"/>
      <c r="B94" s="770">
        <v>2012</v>
      </c>
      <c r="C94" s="777">
        <v>3.2067181631351582</v>
      </c>
      <c r="D94" s="777">
        <v>3.216291136541316</v>
      </c>
      <c r="E94" s="777">
        <v>2.8282420990937363</v>
      </c>
      <c r="F94" s="777">
        <v>2.3499352238376181</v>
      </c>
      <c r="G94" s="778">
        <v>3.3419078063005259</v>
      </c>
      <c r="H94" s="777">
        <v>1.683324098464567</v>
      </c>
      <c r="I94" s="174">
        <v>1.572327044025168</v>
      </c>
      <c r="J94" s="777">
        <v>242.72500000000002</v>
      </c>
      <c r="K94" s="777">
        <v>242.02499999999998</v>
      </c>
      <c r="L94" s="777">
        <v>96.056916666666652</v>
      </c>
      <c r="M94" s="777">
        <v>237.00833333333335</v>
      </c>
      <c r="N94" s="434">
        <v>92.702083333333334</v>
      </c>
      <c r="O94" s="777">
        <v>90.773373341591352</v>
      </c>
      <c r="P94" s="174">
        <v>88.825000000000003</v>
      </c>
      <c r="Q94" s="435"/>
      <c r="R94" s="754"/>
      <c r="S94" s="754"/>
      <c r="T94" s="754"/>
      <c r="U94" s="754"/>
      <c r="V94"/>
      <c r="W94"/>
      <c r="X94" s="438"/>
      <c r="Y94" s="438"/>
      <c r="Z94" s="438"/>
      <c r="AA94" s="438"/>
      <c r="AB94" s="438"/>
      <c r="AC94" s="438"/>
      <c r="AD94" s="438"/>
      <c r="AE94" s="438"/>
      <c r="AF94" s="438"/>
      <c r="AG94" s="438"/>
      <c r="AH94" s="438"/>
      <c r="AI94" s="438"/>
      <c r="AJ94" s="438"/>
      <c r="AK94" s="438"/>
      <c r="AL94" s="438"/>
      <c r="AM94" s="438"/>
      <c r="AN94" s="438"/>
      <c r="AO94" s="438"/>
      <c r="AP94" s="438"/>
      <c r="AQ94" s="438"/>
      <c r="AR94" s="438"/>
    </row>
    <row r="95" spans="1:44" ht="15.5">
      <c r="A95" s="756"/>
      <c r="B95" s="770">
        <v>2013</v>
      </c>
      <c r="C95" s="777">
        <v>3.0418512033508316</v>
      </c>
      <c r="D95" s="777">
        <v>3.0540922081052191</v>
      </c>
      <c r="E95" s="777">
        <v>2.5647988215320439</v>
      </c>
      <c r="F95" s="777">
        <v>2.7952603635596596</v>
      </c>
      <c r="G95" s="778">
        <v>2.4712677259141032</v>
      </c>
      <c r="H95" s="777">
        <v>2.2382652755292609</v>
      </c>
      <c r="I95" s="174">
        <v>2.1390374331550666</v>
      </c>
      <c r="J95" s="777">
        <v>250.10833333333335</v>
      </c>
      <c r="K95" s="777">
        <v>249.41666666666666</v>
      </c>
      <c r="L95" s="777">
        <v>98.520583333333335</v>
      </c>
      <c r="M95" s="777">
        <v>243.63333333333335</v>
      </c>
      <c r="N95" s="434">
        <v>94.992999999999995</v>
      </c>
      <c r="O95" s="777">
        <v>92.80512223652272</v>
      </c>
      <c r="P95" s="174">
        <v>90.724999999999994</v>
      </c>
      <c r="Q95" s="435"/>
      <c r="R95" s="754"/>
      <c r="S95" s="754"/>
      <c r="T95" s="754"/>
      <c r="U95" s="754"/>
      <c r="V95"/>
      <c r="W95"/>
      <c r="X95" s="438"/>
      <c r="Y95" s="438"/>
      <c r="Z95" s="438"/>
      <c r="AA95" s="438"/>
      <c r="AB95" s="438"/>
      <c r="AC95" s="438"/>
      <c r="AD95" s="438"/>
      <c r="AE95" s="438"/>
      <c r="AF95" s="438"/>
      <c r="AG95" s="438"/>
      <c r="AH95" s="438"/>
      <c r="AI95" s="438"/>
      <c r="AJ95" s="438"/>
      <c r="AK95" s="438"/>
      <c r="AL95" s="438"/>
      <c r="AM95" s="438"/>
      <c r="AN95" s="438"/>
      <c r="AO95" s="438"/>
      <c r="AP95" s="438"/>
      <c r="AQ95" s="438"/>
      <c r="AR95" s="438"/>
    </row>
    <row r="96" spans="1:44" ht="15.5">
      <c r="A96" s="755"/>
      <c r="B96" s="770">
        <v>2014</v>
      </c>
      <c r="C96" s="777">
        <v>2.3689734448405719</v>
      </c>
      <c r="D96" s="777">
        <v>2.4423655195455973</v>
      </c>
      <c r="E96" s="777">
        <v>1.4610314088342014</v>
      </c>
      <c r="F96" s="777">
        <v>-4.4465727185671877E-2</v>
      </c>
      <c r="G96" s="778">
        <v>2.3398215307092869</v>
      </c>
      <c r="H96" s="777">
        <v>1.215529275913485</v>
      </c>
      <c r="I96" s="174">
        <v>1.2951226233121949</v>
      </c>
      <c r="J96" s="777">
        <v>256.03333333333336</v>
      </c>
      <c r="K96" s="777">
        <v>255.50833333333333</v>
      </c>
      <c r="L96" s="777">
        <v>99.960000000000008</v>
      </c>
      <c r="M96" s="777">
        <v>243.52500000000001</v>
      </c>
      <c r="N96" s="434">
        <v>97.215666666666664</v>
      </c>
      <c r="O96" s="777">
        <v>93.933195666854942</v>
      </c>
      <c r="P96" s="174">
        <v>91.899999999999991</v>
      </c>
      <c r="Q96" s="435"/>
      <c r="R96" s="754"/>
      <c r="S96" s="754"/>
      <c r="T96" s="754"/>
      <c r="U96" s="754"/>
      <c r="V96"/>
      <c r="W96"/>
      <c r="X96" s="438"/>
      <c r="Y96" s="438"/>
      <c r="Z96" s="438"/>
      <c r="AA96" s="438"/>
      <c r="AB96" s="438"/>
      <c r="AC96" s="438"/>
      <c r="AD96" s="438"/>
      <c r="AE96" s="438"/>
      <c r="AF96" s="438"/>
      <c r="AG96" s="438"/>
      <c r="AH96" s="438"/>
      <c r="AI96" s="438"/>
      <c r="AJ96" s="438"/>
      <c r="AK96" s="438"/>
      <c r="AL96" s="438"/>
      <c r="AM96" s="438"/>
      <c r="AN96" s="438"/>
      <c r="AO96" s="438"/>
      <c r="AP96" s="438"/>
      <c r="AQ96" s="438"/>
      <c r="AR96" s="438"/>
    </row>
    <row r="97" spans="1:44" ht="15.5">
      <c r="A97" s="755"/>
      <c r="B97" s="770">
        <v>2015</v>
      </c>
      <c r="C97" s="777">
        <v>0.97969014451242398</v>
      </c>
      <c r="D97" s="777">
        <v>1.0273637519976564</v>
      </c>
      <c r="E97" s="777">
        <v>4.0099373082536083E-2</v>
      </c>
      <c r="F97" s="777">
        <v>-0.42432330698422005</v>
      </c>
      <c r="G97" s="778">
        <v>2.8640788350300141</v>
      </c>
      <c r="H97" s="777">
        <v>-0.34863526190450633</v>
      </c>
      <c r="I97" s="174">
        <v>0.68008705114255275</v>
      </c>
      <c r="J97" s="777">
        <v>258.54166666666669</v>
      </c>
      <c r="K97" s="777">
        <v>258.13333333333333</v>
      </c>
      <c r="L97" s="777">
        <v>100.00008333333332</v>
      </c>
      <c r="M97" s="777">
        <v>242.49166666666667</v>
      </c>
      <c r="N97" s="434">
        <v>100</v>
      </c>
      <c r="O97" s="777">
        <v>93.605711424126525</v>
      </c>
      <c r="P97" s="174">
        <v>92.525000000000006</v>
      </c>
      <c r="Q97" s="435"/>
      <c r="R97" s="754"/>
      <c r="S97" s="435"/>
      <c r="T97"/>
      <c r="U97" s="438"/>
      <c r="V97" s="438"/>
      <c r="W97" s="438"/>
      <c r="X97" s="438"/>
      <c r="Y97" s="438"/>
      <c r="Z97" s="438"/>
      <c r="AA97" s="438"/>
      <c r="AB97" s="438"/>
      <c r="AC97" s="438"/>
      <c r="AD97" s="438"/>
      <c r="AE97" s="438"/>
      <c r="AF97" s="438"/>
      <c r="AG97" s="438"/>
      <c r="AH97" s="438"/>
      <c r="AI97" s="438"/>
      <c r="AJ97" s="438"/>
      <c r="AK97" s="438"/>
      <c r="AL97" s="438"/>
      <c r="AM97" s="438"/>
      <c r="AN97" s="438"/>
      <c r="AO97" s="438"/>
      <c r="AP97" s="438"/>
      <c r="AQ97" s="438"/>
      <c r="AR97" s="438"/>
    </row>
    <row r="98" spans="1:44" ht="15.5">
      <c r="A98" s="755"/>
      <c r="B98" s="770">
        <v>2016</v>
      </c>
      <c r="C98" s="777">
        <v>1.7437550362610521</v>
      </c>
      <c r="D98" s="777">
        <v>1.8724173553718915</v>
      </c>
      <c r="E98" s="777">
        <v>0.6596661169449014</v>
      </c>
      <c r="F98" s="777">
        <v>-3.0928897900271646</v>
      </c>
      <c r="G98" s="778">
        <v>1.7561666666666724</v>
      </c>
      <c r="H98" s="777">
        <v>1.2469213731797879</v>
      </c>
      <c r="I98" s="174">
        <v>1.9454201567143947</v>
      </c>
      <c r="J98" s="777">
        <v>263.04999999999995</v>
      </c>
      <c r="K98" s="777">
        <v>262.96666666666664</v>
      </c>
      <c r="L98" s="777">
        <v>100.65974999999999</v>
      </c>
      <c r="M98" s="777">
        <v>234.99166666666665</v>
      </c>
      <c r="N98" s="434">
        <v>101.75616666666667</v>
      </c>
      <c r="O98" s="777">
        <v>94.772901046390956</v>
      </c>
      <c r="P98" s="174">
        <v>94.325000000000003</v>
      </c>
      <c r="Q98" s="435"/>
      <c r="R98" s="754"/>
      <c r="S98" s="435"/>
      <c r="T98"/>
      <c r="U98" s="438"/>
      <c r="V98" s="438"/>
      <c r="W98" s="438"/>
      <c r="X98" s="438"/>
      <c r="Y98" s="438"/>
      <c r="Z98" s="438"/>
      <c r="AA98" s="438"/>
      <c r="AB98" s="438"/>
      <c r="AC98" s="438"/>
      <c r="AD98" s="438"/>
      <c r="AE98" s="438"/>
      <c r="AF98" s="438"/>
      <c r="AG98" s="438"/>
      <c r="AH98" s="438"/>
      <c r="AI98" s="438"/>
      <c r="AJ98" s="438"/>
      <c r="AK98" s="438"/>
      <c r="AL98" s="438"/>
      <c r="AM98" s="438"/>
      <c r="AN98" s="438"/>
      <c r="AO98" s="438"/>
      <c r="AP98" s="438"/>
      <c r="AQ98" s="438"/>
      <c r="AR98" s="438"/>
    </row>
    <row r="99" spans="1:44" ht="15.5">
      <c r="A99" s="755"/>
      <c r="B99" s="770">
        <v>2017</v>
      </c>
      <c r="C99" s="777">
        <v>3.582968922258134</v>
      </c>
      <c r="D99" s="777">
        <v>3.8059323108125209</v>
      </c>
      <c r="E99" s="777">
        <v>2.6831313740927509</v>
      </c>
      <c r="F99" s="777">
        <v>-4.3760416326819929</v>
      </c>
      <c r="G99" s="778">
        <v>0.95088422159508923</v>
      </c>
      <c r="H99" s="777">
        <v>1.8215910978223615</v>
      </c>
      <c r="I99" s="174">
        <v>1.855287569573294</v>
      </c>
      <c r="J99" s="777">
        <v>272.47499974999999</v>
      </c>
      <c r="K99" s="777">
        <v>272.97499999999997</v>
      </c>
      <c r="L99" s="777">
        <v>103.36058333333332</v>
      </c>
      <c r="M99" s="777">
        <v>224.70833350000001</v>
      </c>
      <c r="N99" s="434">
        <v>102.72375</v>
      </c>
      <c r="O99" s="777">
        <v>96.499275775000015</v>
      </c>
      <c r="P99" s="174">
        <v>96.075000000000003</v>
      </c>
      <c r="Q99" s="435"/>
      <c r="R99" s="754"/>
      <c r="S99" s="435"/>
      <c r="T99"/>
      <c r="U99" s="438"/>
      <c r="V99" s="438"/>
      <c r="W99" s="438"/>
      <c r="X99" s="438"/>
      <c r="Y99" s="438"/>
      <c r="Z99" s="438"/>
      <c r="AA99" s="438"/>
      <c r="AB99" s="438"/>
      <c r="AC99" s="438"/>
      <c r="AD99" s="438"/>
      <c r="AE99" s="438"/>
      <c r="AF99" s="438"/>
      <c r="AG99" s="438"/>
      <c r="AH99" s="438"/>
      <c r="AI99" s="438"/>
      <c r="AJ99" s="438"/>
      <c r="AK99" s="438"/>
      <c r="AL99" s="438"/>
      <c r="AM99" s="438"/>
      <c r="AN99" s="438"/>
      <c r="AO99" s="438"/>
      <c r="AP99" s="438"/>
      <c r="AQ99" s="438"/>
      <c r="AR99" s="438"/>
    </row>
    <row r="100" spans="1:44" ht="16" thickBot="1">
      <c r="A100" s="755"/>
      <c r="B100" s="770">
        <v>2018</v>
      </c>
      <c r="C100" s="777">
        <v>3.3428143897080709</v>
      </c>
      <c r="D100" s="777">
        <v>3.3397441768171943</v>
      </c>
      <c r="E100" s="777">
        <v>2.4780561900208831</v>
      </c>
      <c r="F100" s="777">
        <v>3.5972556620825102</v>
      </c>
      <c r="G100" s="778">
        <v>0.45348162750417487</v>
      </c>
      <c r="H100" s="777">
        <v>2.0885301043079174</v>
      </c>
      <c r="I100" s="174">
        <v>1.89955763726255</v>
      </c>
      <c r="J100" s="777">
        <v>281.58333325000001</v>
      </c>
      <c r="K100" s="777">
        <v>282.0916666666667</v>
      </c>
      <c r="L100" s="777">
        <v>105.92191666666668</v>
      </c>
      <c r="M100" s="777">
        <v>232.79166674999999</v>
      </c>
      <c r="N100" s="434">
        <v>103.18958333333333</v>
      </c>
      <c r="O100" s="777">
        <v>98.514692200000013</v>
      </c>
      <c r="P100" s="174">
        <v>97.9</v>
      </c>
      <c r="Q100" s="435"/>
      <c r="R100" s="754"/>
      <c r="S100" s="435"/>
      <c r="T100"/>
      <c r="U100" s="438"/>
      <c r="V100" s="438"/>
      <c r="W100" s="438"/>
      <c r="X100" s="438"/>
      <c r="Y100" s="438"/>
      <c r="Z100" s="438"/>
      <c r="AA100" s="438"/>
      <c r="AB100" s="438"/>
      <c r="AC100" s="438"/>
      <c r="AD100" s="438"/>
      <c r="AE100" s="438"/>
      <c r="AF100" s="438"/>
      <c r="AG100" s="438"/>
      <c r="AH100" s="438"/>
      <c r="AI100" s="438"/>
      <c r="AJ100" s="438"/>
      <c r="AK100" s="438"/>
      <c r="AL100" s="438"/>
      <c r="AM100" s="438"/>
      <c r="AN100" s="438"/>
      <c r="AO100" s="438"/>
      <c r="AP100" s="438"/>
      <c r="AQ100" s="438"/>
      <c r="AR100" s="438"/>
    </row>
    <row r="101" spans="1:44" ht="16" thickBot="1">
      <c r="A101" s="755"/>
      <c r="B101" s="770">
        <v>2019</v>
      </c>
      <c r="C101" s="777">
        <v>2.5628884588821732</v>
      </c>
      <c r="D101" s="777">
        <v>2.5464535759652351</v>
      </c>
      <c r="E101" s="777">
        <v>1.7910205867057716</v>
      </c>
      <c r="F101" s="777">
        <v>3.1072131365286415</v>
      </c>
      <c r="G101" s="778">
        <v>0.73416648159738429</v>
      </c>
      <c r="H101" s="777">
        <v>1.5081453505267017</v>
      </c>
      <c r="I101" s="174">
        <v>2.1450459652706755</v>
      </c>
      <c r="J101" s="777">
        <v>288.8</v>
      </c>
      <c r="K101" s="777">
        <v>289.27499999999998</v>
      </c>
      <c r="L101" s="777">
        <v>107.81900000000002</v>
      </c>
      <c r="M101" s="777">
        <v>240.02499999999998</v>
      </c>
      <c r="N101" s="434">
        <v>103.94716666666667</v>
      </c>
      <c r="O101" s="777">
        <v>100.00043695000001</v>
      </c>
      <c r="P101" s="174">
        <v>100</v>
      </c>
      <c r="Q101" s="435"/>
      <c r="R101" s="754"/>
      <c r="T101" s="402"/>
      <c r="U101" s="422"/>
      <c r="V101" s="998"/>
      <c r="W101" s="999"/>
      <c r="X101" s="999"/>
      <c r="Y101" s="999"/>
      <c r="Z101" s="999"/>
      <c r="AA101" s="1000"/>
      <c r="AB101" s="438"/>
      <c r="AC101" s="438"/>
      <c r="AD101" s="438"/>
      <c r="AE101" s="438"/>
      <c r="AF101" s="438"/>
      <c r="AG101" s="438"/>
      <c r="AH101" s="438"/>
      <c r="AI101" s="438"/>
      <c r="AJ101" s="438"/>
      <c r="AK101" s="438"/>
      <c r="AL101" s="438"/>
      <c r="AM101" s="438"/>
      <c r="AN101" s="438"/>
      <c r="AO101" s="438"/>
      <c r="AP101" s="438"/>
      <c r="AQ101" s="438"/>
      <c r="AR101" s="438"/>
    </row>
    <row r="102" spans="1:44" ht="15.5">
      <c r="A102" s="755"/>
      <c r="B102" s="770">
        <v>2020</v>
      </c>
      <c r="C102" s="777">
        <v>1.5033471260387898</v>
      </c>
      <c r="D102" s="777">
        <v>1.6823668366318101</v>
      </c>
      <c r="E102" s="777">
        <v>0.85065402820156955</v>
      </c>
      <c r="F102" s="777">
        <v>-5.5792799708363479</v>
      </c>
      <c r="G102" s="778">
        <v>1.4070449250660886</v>
      </c>
      <c r="H102" s="777">
        <v>0.59696444156387418</v>
      </c>
      <c r="I102" s="174">
        <v>5.2749999999999853</v>
      </c>
      <c r="J102" s="777">
        <v>293.14166650000004</v>
      </c>
      <c r="K102" s="777">
        <v>294.14166666666665</v>
      </c>
      <c r="L102" s="777">
        <v>108.73616666666668</v>
      </c>
      <c r="M102" s="777">
        <v>226.63333325000002</v>
      </c>
      <c r="N102" s="434">
        <v>105.40975</v>
      </c>
      <c r="O102" s="777">
        <v>100.59740400000001</v>
      </c>
      <c r="P102" s="174">
        <v>105.27499999999999</v>
      </c>
      <c r="Q102" s="435"/>
      <c r="R102" s="754"/>
      <c r="T102" s="427"/>
      <c r="U102" s="426"/>
      <c r="V102" s="417"/>
      <c r="W102" s="172"/>
      <c r="X102" s="416"/>
      <c r="Y102" s="416"/>
      <c r="Z102" s="416"/>
      <c r="AA102" s="415"/>
      <c r="AB102" s="438"/>
      <c r="AC102" s="438"/>
      <c r="AD102" s="438"/>
      <c r="AE102" s="438"/>
      <c r="AF102" s="438"/>
      <c r="AG102" s="438"/>
      <c r="AH102" s="438"/>
      <c r="AI102" s="438"/>
      <c r="AJ102" s="438"/>
      <c r="AK102" s="438"/>
      <c r="AL102" s="438"/>
      <c r="AM102" s="438"/>
      <c r="AN102" s="438"/>
      <c r="AO102" s="438"/>
      <c r="AP102" s="438"/>
      <c r="AQ102" s="438"/>
      <c r="AR102" s="438"/>
    </row>
    <row r="103" spans="1:44" ht="15.5">
      <c r="A103" s="755"/>
      <c r="B103" s="770">
        <v>2021</v>
      </c>
      <c r="C103" s="777">
        <v>4.0452569031158125</v>
      </c>
      <c r="D103" s="777">
        <v>4.1901578037793819</v>
      </c>
      <c r="E103" s="777">
        <v>2.5882219500718229</v>
      </c>
      <c r="F103" s="777">
        <v>-2.2576849912699259</v>
      </c>
      <c r="G103" s="778">
        <v>1.6839840084368944</v>
      </c>
      <c r="H103" s="777">
        <v>2.2191969287795876</v>
      </c>
      <c r="I103" s="174">
        <v>-0.3087152695321671</v>
      </c>
      <c r="J103" s="777">
        <v>305</v>
      </c>
      <c r="K103" s="777">
        <v>306.4666666666667</v>
      </c>
      <c r="L103" s="777">
        <v>111.55050000000001</v>
      </c>
      <c r="M103" s="777">
        <v>221.51666650000001</v>
      </c>
      <c r="N103" s="434">
        <v>107.18483333333333</v>
      </c>
      <c r="O103" s="777">
        <v>102.8298585</v>
      </c>
      <c r="P103" s="174">
        <v>104.95</v>
      </c>
      <c r="Q103" s="435"/>
      <c r="R103" s="754"/>
      <c r="T103" s="427"/>
      <c r="U103" s="426"/>
      <c r="V103" s="421"/>
      <c r="W103" s="172"/>
      <c r="X103" s="416"/>
      <c r="Y103" s="416"/>
      <c r="Z103" s="416"/>
      <c r="AA103" s="415"/>
      <c r="AB103" s="438"/>
      <c r="AC103" s="438"/>
      <c r="AD103" s="438"/>
      <c r="AE103" s="438"/>
      <c r="AF103" s="438"/>
      <c r="AG103" s="438"/>
      <c r="AH103" s="438"/>
      <c r="AI103" s="438"/>
      <c r="AJ103" s="438"/>
      <c r="AK103" s="438"/>
      <c r="AL103" s="438"/>
      <c r="AM103" s="438"/>
      <c r="AN103" s="438"/>
      <c r="AO103" s="438"/>
      <c r="AP103" s="438"/>
      <c r="AQ103" s="438"/>
      <c r="AR103" s="438"/>
    </row>
    <row r="104" spans="1:44" ht="15.5">
      <c r="A104" s="755"/>
      <c r="B104" s="770">
        <v>2022</v>
      </c>
      <c r="C104" s="777">
        <v>11.584699426229506</v>
      </c>
      <c r="D104" s="777">
        <v>11.504785729823785</v>
      </c>
      <c r="E104" s="777">
        <v>9.0667455547039033</v>
      </c>
      <c r="F104" s="777">
        <v>14.622676935236356</v>
      </c>
      <c r="G104" s="778">
        <v>3.4697850597643622</v>
      </c>
      <c r="H104" s="777">
        <v>7.8662631340681965</v>
      </c>
      <c r="I104" s="174">
        <v>5.1453072891853191</v>
      </c>
      <c r="J104" s="777">
        <v>340.33333325000001</v>
      </c>
      <c r="K104" s="777">
        <v>341.72499999999997</v>
      </c>
      <c r="L104" s="777">
        <v>121.6645</v>
      </c>
      <c r="M104" s="777">
        <v>253.90833299999997</v>
      </c>
      <c r="N104" s="434">
        <v>110.90391666666667</v>
      </c>
      <c r="O104" s="777">
        <v>110.91872574999999</v>
      </c>
      <c r="P104" s="174">
        <v>110.35</v>
      </c>
      <c r="Q104" s="435"/>
      <c r="R104" s="754"/>
      <c r="T104" s="427"/>
      <c r="U104" s="426"/>
      <c r="V104" s="421"/>
      <c r="W104" s="416"/>
      <c r="X104" s="416"/>
      <c r="Y104" s="416"/>
      <c r="Z104" s="416"/>
      <c r="AA104" s="415"/>
      <c r="AB104" s="438"/>
      <c r="AC104" s="438"/>
      <c r="AD104" s="438"/>
      <c r="AE104" s="438"/>
      <c r="AF104" s="438"/>
      <c r="AG104" s="438"/>
      <c r="AH104" s="438"/>
      <c r="AI104" s="438"/>
      <c r="AJ104" s="438"/>
      <c r="AK104" s="438"/>
      <c r="AL104" s="438"/>
      <c r="AM104" s="438"/>
      <c r="AN104" s="438"/>
      <c r="AO104" s="438"/>
      <c r="AP104" s="438"/>
      <c r="AQ104" s="438"/>
      <c r="AR104" s="438"/>
    </row>
    <row r="105" spans="1:44" ht="15.5">
      <c r="A105" s="755"/>
      <c r="B105" s="770">
        <v>2023</v>
      </c>
      <c r="C105" s="777">
        <v>10.007381931931292</v>
      </c>
      <c r="D105" s="777">
        <v>8.8880385036478096</v>
      </c>
      <c r="E105" s="777">
        <v>7.4553979567326234</v>
      </c>
      <c r="F105" s="777">
        <v>53.296983856768534</v>
      </c>
      <c r="G105" s="778">
        <v>5.7424714260683203</v>
      </c>
      <c r="H105" s="777">
        <v>7.1295650905906616</v>
      </c>
      <c r="I105" s="174">
        <v>7.0330631520577835</v>
      </c>
      <c r="J105" s="777">
        <v>374.39178975000004</v>
      </c>
      <c r="K105" s="777">
        <v>372.09764957659047</v>
      </c>
      <c r="L105" s="777">
        <v>130.73507264706896</v>
      </c>
      <c r="M105" s="777">
        <v>389.23381625000002</v>
      </c>
      <c r="N105" s="434">
        <v>117.27254239164063</v>
      </c>
      <c r="O105" s="777">
        <v>118.82674849999999</v>
      </c>
      <c r="P105" s="174">
        <v>118.11098518829576</v>
      </c>
      <c r="Q105" s="435"/>
      <c r="R105" s="754"/>
      <c r="T105" s="427"/>
      <c r="U105" s="426"/>
      <c r="V105" s="421"/>
      <c r="W105" s="414"/>
      <c r="X105" s="416"/>
      <c r="Y105" s="416"/>
      <c r="Z105" s="416"/>
      <c r="AA105" s="415"/>
      <c r="AB105" s="438"/>
      <c r="AC105" s="438"/>
      <c r="AD105" s="438"/>
      <c r="AE105" s="438"/>
      <c r="AF105" s="438"/>
      <c r="AG105" s="438"/>
      <c r="AH105" s="438"/>
      <c r="AI105" s="438"/>
      <c r="AJ105" s="438"/>
      <c r="AK105" s="438"/>
      <c r="AL105" s="438"/>
      <c r="AM105" s="438"/>
      <c r="AN105" s="438"/>
      <c r="AO105" s="438"/>
      <c r="AP105" s="438"/>
      <c r="AQ105" s="438"/>
      <c r="AR105" s="438"/>
    </row>
    <row r="106" spans="1:44" ht="15.5">
      <c r="A106" s="755"/>
      <c r="B106" s="770">
        <v>2024</v>
      </c>
      <c r="C106" s="777">
        <v>5.1192952208696019</v>
      </c>
      <c r="D106" s="777">
        <v>4.0150029048989122</v>
      </c>
      <c r="E106" s="777">
        <v>3.6114247777982333</v>
      </c>
      <c r="F106" s="777">
        <v>35.741020549110615</v>
      </c>
      <c r="G106" s="778">
        <v>5.2635935231998872</v>
      </c>
      <c r="H106" s="777">
        <v>3.452712711397643</v>
      </c>
      <c r="I106" s="174">
        <v>2.2525757126248269</v>
      </c>
      <c r="J106" s="777">
        <v>393.55801074999999</v>
      </c>
      <c r="K106" s="777">
        <v>387.03738101615113</v>
      </c>
      <c r="L106" s="777">
        <v>135.45647145391774</v>
      </c>
      <c r="M106" s="777">
        <v>528.34995449999997</v>
      </c>
      <c r="N106" s="434">
        <v>123.44529233745887</v>
      </c>
      <c r="O106" s="777">
        <v>122.92949475</v>
      </c>
      <c r="P106" s="174">
        <v>120.77152455458921</v>
      </c>
      <c r="Q106" s="780"/>
      <c r="R106" s="754"/>
      <c r="T106" s="427"/>
      <c r="U106" s="426"/>
      <c r="V106" s="421"/>
      <c r="W106" s="416"/>
      <c r="X106" s="416"/>
      <c r="Y106" s="416"/>
      <c r="Z106" s="416"/>
      <c r="AA106" s="415"/>
      <c r="AB106" s="438"/>
      <c r="AC106" s="438"/>
      <c r="AD106" s="438"/>
      <c r="AE106" s="438"/>
      <c r="AF106" s="438"/>
      <c r="AG106" s="438"/>
      <c r="AH106" s="438"/>
      <c r="AI106" s="438"/>
      <c r="AJ106" s="438"/>
      <c r="AK106" s="438"/>
      <c r="AL106" s="438"/>
      <c r="AM106" s="438"/>
      <c r="AN106" s="438"/>
      <c r="AO106" s="438"/>
      <c r="AP106" s="438"/>
      <c r="AQ106" s="438"/>
      <c r="AR106" s="438"/>
    </row>
    <row r="107" spans="1:44" ht="15.5">
      <c r="A107" s="755"/>
      <c r="B107" s="770">
        <v>2025</v>
      </c>
      <c r="C107" s="777">
        <v>2.5996271122782799</v>
      </c>
      <c r="D107" s="777">
        <v>2.1953923486296434</v>
      </c>
      <c r="E107" s="777">
        <v>1.7760878895190846</v>
      </c>
      <c r="F107" s="777">
        <v>11.229435527471022</v>
      </c>
      <c r="G107" s="778">
        <v>4.0249664930120446</v>
      </c>
      <c r="H107" s="777">
        <v>1.8966141972205586</v>
      </c>
      <c r="I107" s="174">
        <v>1.6939641093604241</v>
      </c>
      <c r="J107" s="777">
        <v>403.78905150000003</v>
      </c>
      <c r="K107" s="777">
        <v>395.53437006531624</v>
      </c>
      <c r="L107" s="777">
        <v>137.86229743898065</v>
      </c>
      <c r="M107" s="777">
        <v>587.68067199999996</v>
      </c>
      <c r="N107" s="434">
        <v>128.41392399124237</v>
      </c>
      <c r="O107" s="777">
        <v>125.26099300000001</v>
      </c>
      <c r="P107" s="174">
        <v>122.81735083487136</v>
      </c>
      <c r="Q107" s="435"/>
      <c r="R107" s="754"/>
      <c r="T107" s="427"/>
      <c r="U107" s="426"/>
      <c r="V107" s="421"/>
      <c r="W107" s="416"/>
      <c r="X107" s="416"/>
      <c r="Y107" s="416"/>
      <c r="Z107" s="416"/>
      <c r="AA107" s="415"/>
      <c r="AB107" s="438"/>
      <c r="AC107" s="438"/>
      <c r="AD107" s="438"/>
      <c r="AE107" s="438"/>
      <c r="AF107" s="438"/>
      <c r="AG107" s="438"/>
      <c r="AH107" s="438"/>
      <c r="AI107" s="438"/>
      <c r="AJ107" s="438"/>
      <c r="AK107" s="438"/>
      <c r="AL107" s="438"/>
      <c r="AM107" s="438"/>
      <c r="AN107" s="438"/>
      <c r="AO107" s="438"/>
      <c r="AP107" s="438"/>
      <c r="AQ107" s="438"/>
      <c r="AR107" s="438"/>
    </row>
    <row r="108" spans="1:44" ht="15.5">
      <c r="A108" s="755"/>
      <c r="B108" s="770">
        <v>2026</v>
      </c>
      <c r="C108" s="777">
        <v>2.5121856232399598</v>
      </c>
      <c r="D108" s="777">
        <v>2.2864518068409945</v>
      </c>
      <c r="E108" s="777">
        <v>1.446667906451915</v>
      </c>
      <c r="F108" s="777">
        <v>6.9398604026235766</v>
      </c>
      <c r="G108" s="778">
        <v>2.0064140675115425</v>
      </c>
      <c r="H108" s="777">
        <v>1.5676033320284999</v>
      </c>
      <c r="I108" s="174">
        <v>1.6258371132805705</v>
      </c>
      <c r="J108" s="777">
        <v>413.93298200000004</v>
      </c>
      <c r="K108" s="777">
        <v>404.57807281635183</v>
      </c>
      <c r="L108" s="777">
        <v>139.85670705112767</v>
      </c>
      <c r="M108" s="777">
        <v>628.46489025000005</v>
      </c>
      <c r="N108" s="434">
        <v>130.99043902684625</v>
      </c>
      <c r="O108" s="777">
        <v>127.2245885</v>
      </c>
      <c r="P108" s="174">
        <v>124.81416090629271</v>
      </c>
      <c r="Q108" s="435"/>
      <c r="R108" s="754"/>
      <c r="T108" s="427"/>
      <c r="U108" s="426"/>
      <c r="V108" s="421"/>
      <c r="W108" s="416"/>
      <c r="X108" s="416"/>
      <c r="Y108" s="416"/>
      <c r="Z108" s="416"/>
      <c r="AA108" s="415"/>
      <c r="AB108" s="438"/>
      <c r="AC108" s="438"/>
      <c r="AD108" s="438"/>
      <c r="AE108" s="438"/>
      <c r="AF108" s="438"/>
      <c r="AG108" s="438"/>
      <c r="AH108" s="438"/>
      <c r="AI108" s="438"/>
      <c r="AJ108" s="438"/>
      <c r="AK108" s="438"/>
      <c r="AL108" s="438"/>
      <c r="AM108" s="438"/>
      <c r="AN108" s="438"/>
      <c r="AO108" s="438"/>
      <c r="AP108" s="438"/>
      <c r="AQ108" s="438"/>
      <c r="AR108" s="438"/>
    </row>
    <row r="109" spans="1:44" ht="15.5">
      <c r="A109" s="755"/>
      <c r="B109" s="770">
        <v>2027</v>
      </c>
      <c r="C109" s="777">
        <v>2.8036598929437329</v>
      </c>
      <c r="D109" s="777">
        <v>2.622840516352043</v>
      </c>
      <c r="E109" s="777">
        <v>1.7296573062324683</v>
      </c>
      <c r="F109" s="777">
        <v>6.1960236926695833</v>
      </c>
      <c r="G109" s="778">
        <v>1.7712359074523789</v>
      </c>
      <c r="H109" s="777">
        <v>1.7834549726211124</v>
      </c>
      <c r="I109" s="174">
        <v>1.7390936211144403</v>
      </c>
      <c r="J109" s="777">
        <v>425.53825500000005</v>
      </c>
      <c r="K109" s="777">
        <v>415.18951043045536</v>
      </c>
      <c r="L109" s="777">
        <v>142.27574880289365</v>
      </c>
      <c r="M109" s="777">
        <v>667.40472375000002</v>
      </c>
      <c r="N109" s="434">
        <v>133.31058871821926</v>
      </c>
      <c r="O109" s="777">
        <v>129.49358175</v>
      </c>
      <c r="P109" s="174">
        <v>126.98479601686157</v>
      </c>
      <c r="Q109" s="435"/>
      <c r="R109" s="754"/>
      <c r="T109" s="427"/>
      <c r="U109" s="426"/>
      <c r="V109" s="421"/>
      <c r="W109" s="416"/>
      <c r="X109" s="416"/>
      <c r="Y109" s="416"/>
      <c r="Z109" s="416"/>
      <c r="AA109" s="415"/>
      <c r="AB109" s="438"/>
      <c r="AC109" s="438"/>
      <c r="AD109" s="438"/>
      <c r="AE109" s="438"/>
      <c r="AF109" s="438"/>
      <c r="AG109" s="438"/>
      <c r="AH109" s="438"/>
      <c r="AI109" s="438"/>
      <c r="AJ109" s="438"/>
      <c r="AK109" s="438"/>
      <c r="AL109" s="438"/>
      <c r="AM109" s="438"/>
      <c r="AN109" s="438"/>
      <c r="AO109" s="438"/>
      <c r="AP109" s="438"/>
      <c r="AQ109" s="438"/>
      <c r="AR109" s="438"/>
    </row>
    <row r="110" spans="1:44" ht="15.5">
      <c r="A110" s="755"/>
      <c r="B110" s="773">
        <v>2028</v>
      </c>
      <c r="C110" s="781">
        <v>2.8576541255967536</v>
      </c>
      <c r="D110" s="781">
        <v>2.8585493947632212</v>
      </c>
      <c r="E110" s="781">
        <v>1.960504241247718</v>
      </c>
      <c r="F110" s="781">
        <v>2.8414255735929705</v>
      </c>
      <c r="G110" s="782">
        <v>1.9731848367528215</v>
      </c>
      <c r="H110" s="781">
        <v>1.9723415751452977</v>
      </c>
      <c r="I110" s="783">
        <v>1.8606538227387004</v>
      </c>
      <c r="J110" s="781">
        <v>437.69866649999994</v>
      </c>
      <c r="K110" s="781">
        <v>427.05790766798555</v>
      </c>
      <c r="L110" s="781">
        <v>145.06507089244133</v>
      </c>
      <c r="M110" s="781">
        <v>686.36853225000004</v>
      </c>
      <c r="N110" s="784">
        <v>135.94105304059309</v>
      </c>
      <c r="O110" s="781">
        <v>132.04763750000001</v>
      </c>
      <c r="P110" s="783">
        <v>129.34754347824625</v>
      </c>
      <c r="Q110" s="435"/>
      <c r="R110" s="754"/>
      <c r="T110" s="427"/>
      <c r="U110" s="426"/>
      <c r="V110" s="421"/>
      <c r="W110" s="416"/>
      <c r="X110" s="416"/>
      <c r="Y110" s="416"/>
      <c r="Z110" s="416"/>
      <c r="AA110" s="415"/>
      <c r="AB110" s="438"/>
      <c r="AC110" s="438"/>
      <c r="AD110" s="438"/>
      <c r="AE110" s="438"/>
      <c r="AF110" s="438"/>
      <c r="AG110" s="438"/>
      <c r="AH110" s="438"/>
      <c r="AI110" s="438"/>
      <c r="AJ110" s="438"/>
      <c r="AK110" s="438"/>
      <c r="AL110" s="438"/>
      <c r="AM110" s="438"/>
      <c r="AN110" s="438"/>
      <c r="AO110" s="438"/>
      <c r="AP110" s="438"/>
      <c r="AQ110" s="438"/>
      <c r="AR110" s="438"/>
    </row>
    <row r="111" spans="1:44" ht="15.5">
      <c r="A111" s="755"/>
      <c r="B111" s="770" t="s">
        <v>324</v>
      </c>
      <c r="C111" s="434">
        <v>2.9765456985441974</v>
      </c>
      <c r="D111" s="777">
        <v>3.966777445688785</v>
      </c>
      <c r="E111" s="777">
        <v>3.7692252498222389</v>
      </c>
      <c r="F111" s="777">
        <v>-12.784321235498053</v>
      </c>
      <c r="G111" s="778">
        <v>3.2345869116985995</v>
      </c>
      <c r="H111" s="777">
        <v>3.7336694121398395</v>
      </c>
      <c r="I111" s="174">
        <v>3.6002458398288306</v>
      </c>
      <c r="J111" s="777">
        <v>214.78333333333333</v>
      </c>
      <c r="K111" s="777">
        <v>209.67500000000001</v>
      </c>
      <c r="L111" s="777">
        <v>85.356499999999997</v>
      </c>
      <c r="M111" s="777">
        <v>348.60833333333335</v>
      </c>
      <c r="N111" s="434">
        <v>85.366916666666654</v>
      </c>
      <c r="O111" s="777">
        <v>84.833625942621637</v>
      </c>
      <c r="P111" s="174">
        <v>83.449999999999989</v>
      </c>
      <c r="Q111" s="435"/>
      <c r="R111" s="771"/>
      <c r="T111" s="427"/>
      <c r="U111" s="426"/>
      <c r="V111" s="421"/>
      <c r="W111" s="416"/>
      <c r="X111" s="413"/>
      <c r="Y111" s="413"/>
      <c r="Z111" s="416"/>
      <c r="AA111" s="415"/>
      <c r="AB111" s="438"/>
      <c r="AC111" s="438"/>
      <c r="AD111" s="438"/>
      <c r="AE111" s="438"/>
      <c r="AF111" s="438"/>
      <c r="AG111" s="438"/>
      <c r="AH111" s="438"/>
      <c r="AI111" s="438"/>
      <c r="AJ111" s="438"/>
      <c r="AK111" s="438"/>
      <c r="AL111" s="438"/>
      <c r="AM111" s="438"/>
      <c r="AN111" s="438"/>
      <c r="AO111" s="438"/>
      <c r="AP111" s="438"/>
      <c r="AQ111" s="438"/>
      <c r="AR111" s="438"/>
    </row>
    <row r="112" spans="1:44" ht="15.5">
      <c r="A112" s="755"/>
      <c r="B112" s="770" t="s">
        <v>325</v>
      </c>
      <c r="C112" s="434">
        <v>0.45782571583767862</v>
      </c>
      <c r="D112" s="777">
        <v>2.5197726640435514</v>
      </c>
      <c r="E112" s="777">
        <v>2.2387476837343101</v>
      </c>
      <c r="F112" s="777">
        <v>-37.809863026797032</v>
      </c>
      <c r="G112" s="778">
        <v>1.405111074450204</v>
      </c>
      <c r="H112" s="777">
        <v>0.27055666942035206</v>
      </c>
      <c r="I112" s="174">
        <v>1.3780707010185855</v>
      </c>
      <c r="J112" s="777">
        <v>215.76666666666668</v>
      </c>
      <c r="K112" s="777">
        <v>214.95833333333331</v>
      </c>
      <c r="L112" s="777">
        <v>87.267416666666676</v>
      </c>
      <c r="M112" s="777">
        <v>216.79999999999998</v>
      </c>
      <c r="N112" s="434">
        <v>86.566416666666669</v>
      </c>
      <c r="O112" s="777">
        <v>85.063148975520505</v>
      </c>
      <c r="P112" s="174">
        <v>84.6</v>
      </c>
      <c r="Q112" s="435"/>
      <c r="R112" s="771"/>
      <c r="T112" s="427"/>
      <c r="U112" s="426"/>
      <c r="V112" s="412"/>
      <c r="W112" s="411"/>
      <c r="X112" s="413"/>
      <c r="Y112" s="413"/>
      <c r="Z112" s="416"/>
      <c r="AA112" s="415"/>
      <c r="AB112" s="438"/>
      <c r="AC112" s="438"/>
      <c r="AD112" s="438"/>
      <c r="AE112" s="438"/>
      <c r="AF112" s="438"/>
      <c r="AG112" s="438"/>
      <c r="AH112" s="438"/>
      <c r="AI112" s="438"/>
      <c r="AJ112" s="438"/>
      <c r="AK112" s="438"/>
      <c r="AL112" s="438"/>
      <c r="AM112" s="438"/>
      <c r="AN112" s="438"/>
      <c r="AO112" s="438"/>
      <c r="AP112" s="438"/>
      <c r="AQ112" s="438"/>
      <c r="AR112" s="438"/>
    </row>
    <row r="113" spans="1:44" ht="15.5">
      <c r="A113" s="755"/>
      <c r="B113" s="770" t="s">
        <v>188</v>
      </c>
      <c r="C113" s="434">
        <v>4.9629229105515149</v>
      </c>
      <c r="D113" s="777">
        <v>4.9622019771273562</v>
      </c>
      <c r="E113" s="777">
        <v>3.5112379668241767</v>
      </c>
      <c r="F113" s="777">
        <v>4.8124231242312687</v>
      </c>
      <c r="G113" s="778">
        <v>1.5559344125945813</v>
      </c>
      <c r="H113" s="777">
        <v>2.0854050154705428</v>
      </c>
      <c r="I113" s="174">
        <v>1.8617021276595702</v>
      </c>
      <c r="J113" s="777">
        <v>226.47499999999999</v>
      </c>
      <c r="K113" s="777">
        <v>225.625</v>
      </c>
      <c r="L113" s="777">
        <v>90.331583333333327</v>
      </c>
      <c r="M113" s="777">
        <v>227.23333333333338</v>
      </c>
      <c r="N113" s="434">
        <v>87.913333333333341</v>
      </c>
      <c r="O113" s="777">
        <v>86.837060150573194</v>
      </c>
      <c r="P113" s="174">
        <v>86.174999999999997</v>
      </c>
      <c r="Q113" s="434"/>
      <c r="R113" s="446"/>
      <c r="T113" s="427"/>
      <c r="U113" s="425"/>
      <c r="V113" s="421"/>
      <c r="W113" s="411"/>
      <c r="X113" s="413"/>
      <c r="Y113" s="413"/>
      <c r="Z113" s="416"/>
      <c r="AA113" s="415"/>
      <c r="AB113" s="438"/>
      <c r="AC113" s="438"/>
      <c r="AD113" s="438"/>
      <c r="AE113" s="438"/>
      <c r="AF113" s="438"/>
      <c r="AG113" s="438"/>
      <c r="AH113" s="438"/>
      <c r="AI113" s="438"/>
      <c r="AJ113" s="438"/>
      <c r="AK113" s="438"/>
      <c r="AL113" s="438"/>
      <c r="AM113" s="438"/>
      <c r="AN113" s="438"/>
      <c r="AO113" s="438"/>
      <c r="AP113" s="438"/>
      <c r="AQ113" s="438"/>
      <c r="AR113" s="438"/>
    </row>
    <row r="114" spans="1:44" ht="15" customHeight="1">
      <c r="A114" s="755"/>
      <c r="B114" s="770" t="s">
        <v>189</v>
      </c>
      <c r="C114" s="434">
        <v>4.7981749273282581</v>
      </c>
      <c r="D114" s="777">
        <v>4.9012003693444051</v>
      </c>
      <c r="E114" s="777">
        <v>4.3005445677453125</v>
      </c>
      <c r="F114" s="777">
        <v>2.1197007481296604</v>
      </c>
      <c r="G114" s="778">
        <v>2.7878782133919628</v>
      </c>
      <c r="H114" s="777">
        <v>3.3031128361705075</v>
      </c>
      <c r="I114" s="174">
        <v>1.7406440382941923</v>
      </c>
      <c r="J114" s="777">
        <v>237.34166666666667</v>
      </c>
      <c r="K114" s="777">
        <v>236.68333333333334</v>
      </c>
      <c r="L114" s="777">
        <v>94.216333333333324</v>
      </c>
      <c r="M114" s="777">
        <v>232.05</v>
      </c>
      <c r="N114" s="434">
        <v>90.364249999999998</v>
      </c>
      <c r="O114" s="777">
        <v>89.705386230959874</v>
      </c>
      <c r="P114" s="174">
        <v>87.675000000000011</v>
      </c>
      <c r="Q114" s="434"/>
      <c r="R114" s="446"/>
      <c r="T114" s="427"/>
      <c r="U114" s="425"/>
      <c r="V114" s="420"/>
      <c r="W114" s="410"/>
      <c r="X114" s="413"/>
      <c r="Y114" s="413"/>
      <c r="Z114" s="416"/>
      <c r="AA114" s="415"/>
      <c r="AD114" s="438"/>
      <c r="AE114" s="438"/>
      <c r="AF114" s="438"/>
      <c r="AG114" s="438"/>
      <c r="AH114" s="438"/>
      <c r="AI114" s="438"/>
      <c r="AJ114" s="438"/>
      <c r="AK114" s="438"/>
      <c r="AL114" s="438"/>
      <c r="AM114" s="438"/>
      <c r="AN114" s="438"/>
      <c r="AO114" s="438"/>
      <c r="AP114" s="438"/>
      <c r="AQ114" s="438"/>
      <c r="AR114" s="438"/>
    </row>
    <row r="115" spans="1:44" ht="15" customHeight="1">
      <c r="A115" s="755"/>
      <c r="B115" s="770" t="s">
        <v>190</v>
      </c>
      <c r="C115" s="434">
        <v>3.0897791510129613</v>
      </c>
      <c r="D115" s="777">
        <v>3.0737272023096951</v>
      </c>
      <c r="E115" s="777">
        <v>2.6538215242226437</v>
      </c>
      <c r="F115" s="777">
        <v>3.2320620555914781</v>
      </c>
      <c r="G115" s="778">
        <v>3.398191209466134</v>
      </c>
      <c r="H115" s="777">
        <v>1.7517853098752534</v>
      </c>
      <c r="I115" s="174">
        <v>1.8534359851724913</v>
      </c>
      <c r="J115" s="777">
        <v>244.67500000000001</v>
      </c>
      <c r="K115" s="777">
        <v>243.95833333333334</v>
      </c>
      <c r="L115" s="777">
        <v>96.716666666666669</v>
      </c>
      <c r="M115" s="777">
        <v>239.55</v>
      </c>
      <c r="N115" s="434">
        <v>93.435000000000002</v>
      </c>
      <c r="O115" s="777">
        <v>91.276832009120682</v>
      </c>
      <c r="P115" s="174">
        <v>89.3</v>
      </c>
      <c r="Q115" s="434"/>
      <c r="R115" s="446"/>
      <c r="T115" s="427"/>
      <c r="U115" s="425"/>
      <c r="V115" s="419"/>
      <c r="W115" s="409"/>
      <c r="X115" s="413"/>
      <c r="Y115" s="408"/>
      <c r="Z115" s="409"/>
      <c r="AA115" s="407"/>
      <c r="AD115" s="438"/>
      <c r="AE115" s="438"/>
      <c r="AF115" s="438"/>
      <c r="AG115" s="438"/>
      <c r="AH115" s="438"/>
      <c r="AI115" s="438"/>
      <c r="AJ115" s="438"/>
      <c r="AK115" s="438"/>
      <c r="AL115" s="438"/>
      <c r="AM115" s="438"/>
      <c r="AN115" s="438"/>
      <c r="AO115" s="438"/>
      <c r="AP115" s="438"/>
      <c r="AQ115" s="438"/>
      <c r="AR115" s="438"/>
    </row>
    <row r="116" spans="1:44" ht="15" customHeight="1">
      <c r="A116" s="755"/>
      <c r="B116" s="770" t="s">
        <v>191</v>
      </c>
      <c r="C116" s="434">
        <v>2.8847791287762492</v>
      </c>
      <c r="D116" s="777">
        <v>2.9137489325362864</v>
      </c>
      <c r="E116" s="777">
        <v>2.3043253489574145</v>
      </c>
      <c r="F116" s="777">
        <v>1.7985110971961316</v>
      </c>
      <c r="G116" s="778">
        <v>2.1783414494925211</v>
      </c>
      <c r="H116" s="777">
        <v>2.0115388754766261</v>
      </c>
      <c r="I116" s="174">
        <v>1.9316909294512907</v>
      </c>
      <c r="J116" s="777">
        <v>251.73333333333332</v>
      </c>
      <c r="K116" s="777">
        <v>251.06666666666666</v>
      </c>
      <c r="L116" s="777">
        <v>98.945333333333323</v>
      </c>
      <c r="M116" s="777">
        <v>243.85833333333335</v>
      </c>
      <c r="N116" s="434">
        <v>95.470333333333329</v>
      </c>
      <c r="O116" s="777">
        <v>93.112900969287637</v>
      </c>
      <c r="P116" s="174">
        <v>91.025000000000006</v>
      </c>
      <c r="Q116" s="434"/>
      <c r="R116" s="446"/>
      <c r="T116" s="427"/>
      <c r="U116" s="425"/>
      <c r="V116" s="419"/>
      <c r="W116" s="409"/>
      <c r="X116" s="413"/>
      <c r="Y116" s="408"/>
      <c r="Z116" s="409"/>
      <c r="AA116" s="407"/>
      <c r="AD116" s="438"/>
      <c r="AE116" s="438"/>
      <c r="AF116" s="438"/>
      <c r="AG116" s="438"/>
      <c r="AH116" s="438"/>
      <c r="AI116" s="438"/>
      <c r="AJ116" s="438"/>
      <c r="AK116" s="438"/>
      <c r="AL116" s="438"/>
      <c r="AM116" s="438"/>
      <c r="AN116" s="438"/>
      <c r="AO116" s="438"/>
      <c r="AP116" s="438"/>
      <c r="AQ116" s="438"/>
      <c r="AR116" s="438"/>
    </row>
    <row r="117" spans="1:44" ht="15" customHeight="1">
      <c r="A117" s="755"/>
      <c r="B117" s="770" t="s">
        <v>192</v>
      </c>
      <c r="C117" s="434">
        <v>1.9597457627118731</v>
      </c>
      <c r="D117" s="777">
        <v>2.0280138077535703</v>
      </c>
      <c r="E117" s="777">
        <v>1.0507485614952516</v>
      </c>
      <c r="F117" s="777">
        <v>-5.1259269384551498E-2</v>
      </c>
      <c r="G117" s="778">
        <v>2.5326366654911965</v>
      </c>
      <c r="H117" s="777">
        <v>0.83082329493471274</v>
      </c>
      <c r="I117" s="174">
        <v>1.2084592145015005</v>
      </c>
      <c r="J117" s="777">
        <v>256.66666666666669</v>
      </c>
      <c r="K117" s="777">
        <v>256.1583333333333</v>
      </c>
      <c r="L117" s="777">
        <v>99.985000000000014</v>
      </c>
      <c r="M117" s="777">
        <v>243.73333333333335</v>
      </c>
      <c r="N117" s="434">
        <v>97.888249999999999</v>
      </c>
      <c r="O117" s="777">
        <v>93.886504641129974</v>
      </c>
      <c r="P117" s="174">
        <v>92.125</v>
      </c>
      <c r="Q117" s="434"/>
      <c r="R117" s="446"/>
      <c r="T117" s="427"/>
      <c r="U117" s="425"/>
      <c r="V117" s="419"/>
      <c r="W117" s="409"/>
      <c r="X117" s="413"/>
      <c r="Y117" s="408"/>
      <c r="Z117" s="409"/>
      <c r="AA117" s="407"/>
      <c r="AD117" s="438"/>
      <c r="AE117" s="438"/>
      <c r="AF117" s="438"/>
      <c r="AG117" s="438"/>
      <c r="AH117" s="438"/>
      <c r="AI117" s="438"/>
      <c r="AJ117" s="438"/>
      <c r="AK117" s="438"/>
      <c r="AL117" s="438"/>
      <c r="AM117" s="438"/>
      <c r="AN117" s="438"/>
      <c r="AO117" s="438"/>
      <c r="AP117" s="438"/>
      <c r="AQ117" s="438"/>
      <c r="AR117" s="438"/>
    </row>
    <row r="118" spans="1:44" ht="15" customHeight="1">
      <c r="A118" s="755"/>
      <c r="B118" s="770" t="s">
        <v>193</v>
      </c>
      <c r="C118" s="434">
        <v>1.0779220779220777</v>
      </c>
      <c r="D118" s="777">
        <v>1.1386186928657338</v>
      </c>
      <c r="E118" s="777">
        <v>0.10134853561365453</v>
      </c>
      <c r="F118" s="777">
        <v>-0.93681619256018589</v>
      </c>
      <c r="G118" s="778">
        <v>2.8951380783699818</v>
      </c>
      <c r="H118" s="777">
        <v>-0.12882302870340645</v>
      </c>
      <c r="I118" s="174">
        <v>0.73270013568520476</v>
      </c>
      <c r="J118" s="777">
        <v>259.43333333333334</v>
      </c>
      <c r="K118" s="777">
        <v>259.07499999999993</v>
      </c>
      <c r="L118" s="777">
        <v>100.08633333333333</v>
      </c>
      <c r="M118" s="777">
        <v>241.45</v>
      </c>
      <c r="N118" s="434">
        <v>100.72225</v>
      </c>
      <c r="O118" s="777">
        <v>93.765557202307505</v>
      </c>
      <c r="P118" s="174">
        <v>92.8</v>
      </c>
      <c r="Q118" s="434"/>
      <c r="R118" s="446"/>
      <c r="T118" s="427"/>
      <c r="U118" s="425"/>
      <c r="V118" s="419"/>
      <c r="W118" s="409"/>
      <c r="X118" s="413"/>
      <c r="Y118" s="416"/>
      <c r="Z118" s="416"/>
      <c r="AA118" s="415"/>
      <c r="AB118" s="438"/>
      <c r="AC118" s="438"/>
      <c r="AD118" s="438"/>
      <c r="AE118" s="438"/>
      <c r="AF118" s="438"/>
      <c r="AG118" s="438"/>
      <c r="AH118" s="438"/>
      <c r="AI118" s="438"/>
      <c r="AJ118" s="438"/>
      <c r="AK118" s="438"/>
      <c r="AL118" s="438"/>
      <c r="AM118" s="438"/>
      <c r="AN118" s="438"/>
      <c r="AO118" s="438"/>
      <c r="AP118" s="438"/>
      <c r="AQ118" s="438"/>
      <c r="AR118" s="438"/>
    </row>
    <row r="119" spans="1:44" ht="15" customHeight="1">
      <c r="A119" s="755"/>
      <c r="B119" s="770" t="s">
        <v>165</v>
      </c>
      <c r="C119" s="434">
        <v>2.1424900102787969</v>
      </c>
      <c r="D119" s="777">
        <v>2.3191482517932682</v>
      </c>
      <c r="E119" s="777">
        <v>1.1074605590506881</v>
      </c>
      <c r="F119" s="777">
        <v>-4.2244771174156153</v>
      </c>
      <c r="G119" s="778">
        <v>1.33113587117046</v>
      </c>
      <c r="H119" s="777">
        <v>1.5097407394498497</v>
      </c>
      <c r="I119" s="174">
        <v>2.2629310344827624</v>
      </c>
      <c r="J119" s="777">
        <v>264.99166658333331</v>
      </c>
      <c r="K119" s="777">
        <v>265.08333333333331</v>
      </c>
      <c r="L119" s="777">
        <v>101.19475</v>
      </c>
      <c r="M119" s="777">
        <v>231.25</v>
      </c>
      <c r="N119" s="434">
        <v>102.063</v>
      </c>
      <c r="O119" s="777">
        <v>95.181174018962892</v>
      </c>
      <c r="P119" s="174">
        <v>94.9</v>
      </c>
      <c r="Q119" s="434"/>
      <c r="R119" s="446"/>
      <c r="T119" s="427"/>
      <c r="U119" s="425"/>
      <c r="V119" s="419"/>
      <c r="W119" s="409"/>
      <c r="X119" s="413"/>
      <c r="Y119" s="416"/>
      <c r="Z119" s="416"/>
      <c r="AA119" s="415"/>
      <c r="AB119" s="438"/>
      <c r="AC119" s="438"/>
      <c r="AD119" s="438"/>
      <c r="AE119" s="438"/>
      <c r="AF119" s="438"/>
      <c r="AG119" s="438"/>
      <c r="AH119" s="438"/>
      <c r="AI119" s="438"/>
      <c r="AJ119" s="438"/>
      <c r="AK119" s="438"/>
      <c r="AL119" s="438"/>
      <c r="AM119" s="438"/>
      <c r="AN119" s="438"/>
      <c r="AO119" s="438"/>
      <c r="AP119" s="438"/>
      <c r="AQ119" s="438"/>
      <c r="AR119" s="438"/>
    </row>
    <row r="120" spans="1:44" ht="15" customHeight="1" thickBot="1">
      <c r="A120" s="755"/>
      <c r="B120" s="770" t="s">
        <v>167</v>
      </c>
      <c r="C120" s="434">
        <v>3.7422560469644539</v>
      </c>
      <c r="D120" s="777">
        <v>3.9075762338887099</v>
      </c>
      <c r="E120" s="777">
        <v>2.824915982960241</v>
      </c>
      <c r="F120" s="777">
        <v>-2.2882882162162166</v>
      </c>
      <c r="G120" s="778">
        <v>0.72634875844657643</v>
      </c>
      <c r="H120" s="777">
        <v>1.9787910796959407</v>
      </c>
      <c r="I120" s="174">
        <v>1.5542676501580477</v>
      </c>
      <c r="J120" s="777">
        <v>274.90833325</v>
      </c>
      <c r="K120" s="777">
        <v>275.44166666666666</v>
      </c>
      <c r="L120" s="777">
        <v>104.05341666666666</v>
      </c>
      <c r="M120" s="777">
        <v>225.95833350000001</v>
      </c>
      <c r="N120" s="434">
        <v>102.80433333333333</v>
      </c>
      <c r="O120" s="777">
        <v>97.064610599999995</v>
      </c>
      <c r="P120" s="174">
        <v>96.375</v>
      </c>
      <c r="Q120" s="440"/>
      <c r="R120" s="439"/>
      <c r="T120" s="424"/>
      <c r="U120" s="423"/>
      <c r="V120" s="418"/>
      <c r="W120" s="406"/>
      <c r="X120" s="405"/>
      <c r="Y120" s="404"/>
      <c r="Z120" s="404"/>
      <c r="AA120" s="403"/>
      <c r="AB120" s="438"/>
      <c r="AC120" s="438"/>
      <c r="AD120" s="438"/>
      <c r="AE120" s="438"/>
      <c r="AF120" s="438"/>
      <c r="AG120" s="438"/>
      <c r="AH120" s="438"/>
      <c r="AI120" s="438"/>
      <c r="AJ120" s="438"/>
      <c r="AK120" s="438"/>
      <c r="AL120" s="438"/>
      <c r="AM120" s="438"/>
      <c r="AN120" s="438"/>
      <c r="AO120" s="438"/>
      <c r="AP120" s="438"/>
      <c r="AQ120" s="438"/>
      <c r="AR120" s="438"/>
    </row>
    <row r="121" spans="1:44" ht="15" customHeight="1">
      <c r="A121" s="755"/>
      <c r="B121" s="770" t="s">
        <v>168</v>
      </c>
      <c r="C121" s="434">
        <v>3.0555639767970044</v>
      </c>
      <c r="D121" s="777">
        <v>3.0314948718724644</v>
      </c>
      <c r="E121" s="777">
        <v>2.2675853187585693</v>
      </c>
      <c r="F121" s="777">
        <v>4.0973630432621366</v>
      </c>
      <c r="G121" s="778">
        <v>0.54375139828735541</v>
      </c>
      <c r="H121" s="777">
        <v>1.8757359028646947</v>
      </c>
      <c r="I121" s="174">
        <v>2.101167315175112</v>
      </c>
      <c r="J121" s="777">
        <v>283.30833325000003</v>
      </c>
      <c r="K121" s="777">
        <v>283.79166666666669</v>
      </c>
      <c r="L121" s="777">
        <v>106.41291666666667</v>
      </c>
      <c r="M121" s="777">
        <v>235.21666675</v>
      </c>
      <c r="N121" s="434">
        <v>103.36333333333333</v>
      </c>
      <c r="O121" s="777">
        <v>98.885286350000015</v>
      </c>
      <c r="P121" s="174">
        <v>98.4</v>
      </c>
      <c r="Q121" s="434"/>
      <c r="R121" s="434"/>
      <c r="S121" s="433"/>
      <c r="T121" s="433"/>
      <c r="U121" s="172"/>
      <c r="V121" s="432"/>
      <c r="W121" s="431"/>
      <c r="X121" s="430"/>
      <c r="Y121" s="438"/>
      <c r="Z121" s="438"/>
      <c r="AA121" s="438"/>
      <c r="AB121" s="438"/>
      <c r="AC121" s="438"/>
      <c r="AD121" s="438"/>
      <c r="AE121" s="438"/>
      <c r="AF121" s="438"/>
      <c r="AG121" s="438"/>
      <c r="AH121" s="438"/>
      <c r="AI121" s="438"/>
      <c r="AJ121" s="438"/>
      <c r="AK121" s="438"/>
      <c r="AL121" s="438"/>
      <c r="AM121" s="438"/>
      <c r="AN121" s="438"/>
      <c r="AO121" s="438"/>
      <c r="AP121" s="438"/>
      <c r="AQ121" s="438"/>
      <c r="AR121" s="438"/>
    </row>
    <row r="122" spans="1:44" ht="15" customHeight="1">
      <c r="A122" s="755"/>
      <c r="B122" s="770" t="s">
        <v>169</v>
      </c>
      <c r="C122" s="434">
        <v>2.5884636593194843</v>
      </c>
      <c r="D122" s="777">
        <v>2.6016737630303988</v>
      </c>
      <c r="E122" s="777">
        <v>1.7392938670509173</v>
      </c>
      <c r="F122" s="777">
        <v>1.8422730454749958</v>
      </c>
      <c r="G122" s="778">
        <v>0.75518397884486888</v>
      </c>
      <c r="H122" s="777">
        <v>1.3204989824049607</v>
      </c>
      <c r="I122" s="174">
        <v>2.3628048780487632</v>
      </c>
      <c r="J122" s="777">
        <v>290.64166650000004</v>
      </c>
      <c r="K122" s="777">
        <v>291.17500000000001</v>
      </c>
      <c r="L122" s="777">
        <v>108.26375</v>
      </c>
      <c r="M122" s="777">
        <v>239.55</v>
      </c>
      <c r="N122" s="434">
        <v>104.14391666666667</v>
      </c>
      <c r="O122" s="777">
        <v>100.19106555</v>
      </c>
      <c r="P122" s="174">
        <v>100.72499999999999</v>
      </c>
      <c r="Q122" s="1002"/>
      <c r="R122" s="1002"/>
      <c r="S122" s="438"/>
      <c r="T122" s="438"/>
      <c r="U122" s="438"/>
      <c r="V122" s="438"/>
      <c r="W122" s="438"/>
      <c r="X122" s="438"/>
      <c r="Y122" s="438"/>
      <c r="Z122" s="438"/>
      <c r="AA122" s="438"/>
      <c r="AB122" s="438"/>
      <c r="AC122" s="438"/>
      <c r="AD122" s="438"/>
      <c r="AE122" s="438"/>
      <c r="AF122" s="438"/>
      <c r="AG122" s="438"/>
      <c r="AH122" s="438"/>
      <c r="AI122" s="438"/>
      <c r="AJ122" s="438"/>
      <c r="AK122" s="438"/>
      <c r="AL122" s="438"/>
      <c r="AM122" s="438"/>
      <c r="AN122" s="438"/>
      <c r="AO122" s="438"/>
      <c r="AP122" s="438"/>
      <c r="AQ122" s="438"/>
      <c r="AR122" s="438"/>
    </row>
    <row r="123" spans="1:44" ht="15" customHeight="1">
      <c r="A123" s="755"/>
      <c r="B123" s="770" t="s">
        <v>170</v>
      </c>
      <c r="C123" s="434">
        <v>1.2128336733163936</v>
      </c>
      <c r="D123" s="777">
        <v>1.4195357889012827</v>
      </c>
      <c r="E123" s="777">
        <v>0.5890706723164385</v>
      </c>
      <c r="F123" s="777">
        <v>-7.1731719891463319</v>
      </c>
      <c r="G123" s="778">
        <v>1.671645087287061</v>
      </c>
      <c r="H123" s="777">
        <v>0.83511408468097681</v>
      </c>
      <c r="I123" s="174">
        <v>5.4355919583022994</v>
      </c>
      <c r="J123" s="777">
        <v>294.16666649999996</v>
      </c>
      <c r="K123" s="777">
        <v>295.30833333333334</v>
      </c>
      <c r="L123" s="777">
        <v>108.9015</v>
      </c>
      <c r="M123" s="777">
        <v>222.36666649999998</v>
      </c>
      <c r="N123" s="434">
        <v>105.88483333333333</v>
      </c>
      <c r="O123" s="777">
        <v>101.02777525</v>
      </c>
      <c r="P123" s="174">
        <v>106.19999999999999</v>
      </c>
      <c r="Q123" s="1002"/>
      <c r="R123" s="1002"/>
      <c r="S123" s="438"/>
      <c r="T123" s="438"/>
      <c r="U123" s="438"/>
      <c r="V123" s="438"/>
      <c r="W123" s="438"/>
      <c r="X123" s="429"/>
      <c r="Y123" s="438"/>
      <c r="Z123" s="438"/>
      <c r="AA123" s="438"/>
      <c r="AB123" s="438"/>
      <c r="AC123" s="438"/>
      <c r="AD123" s="438"/>
      <c r="AE123" s="438"/>
      <c r="AF123" s="438"/>
      <c r="AG123" s="438"/>
      <c r="AH123" s="438"/>
      <c r="AI123" s="438"/>
      <c r="AJ123" s="438"/>
      <c r="AK123" s="438"/>
      <c r="AL123" s="438"/>
      <c r="AM123" s="438"/>
      <c r="AN123" s="438"/>
      <c r="AO123" s="438"/>
      <c r="AP123" s="438"/>
      <c r="AQ123" s="438"/>
      <c r="AR123" s="438"/>
    </row>
    <row r="124" spans="1:44" ht="15.5">
      <c r="A124" s="755"/>
      <c r="B124" s="770" t="s">
        <v>171</v>
      </c>
      <c r="C124" s="434">
        <v>5.7762040825927619</v>
      </c>
      <c r="D124" s="777">
        <v>5.9118999915342751</v>
      </c>
      <c r="E124" s="777">
        <v>3.9909153378664852</v>
      </c>
      <c r="F124" s="777">
        <v>0.26982461420315129</v>
      </c>
      <c r="G124" s="778">
        <v>1.817934265058426</v>
      </c>
      <c r="H124" s="777">
        <v>2.9622776930347205</v>
      </c>
      <c r="I124" s="174">
        <v>-0.77683615819208462</v>
      </c>
      <c r="J124" s="777">
        <v>311.15833349999997</v>
      </c>
      <c r="K124" s="777">
        <v>312.76666666666665</v>
      </c>
      <c r="L124" s="777">
        <v>113.24766666666667</v>
      </c>
      <c r="M124" s="777">
        <v>222.9666665</v>
      </c>
      <c r="N124" s="434">
        <v>107.80975000000001</v>
      </c>
      <c r="O124" s="777">
        <v>104.0204985</v>
      </c>
      <c r="P124" s="174">
        <v>105.375</v>
      </c>
      <c r="Q124" s="1002"/>
      <c r="R124" s="1002"/>
      <c r="S124" s="438"/>
      <c r="T124" s="438"/>
      <c r="U124" s="438"/>
      <c r="V124" s="438"/>
      <c r="W124" s="438"/>
      <c r="X124" s="438"/>
      <c r="Y124" s="438"/>
      <c r="Z124" s="438"/>
      <c r="AA124" s="438"/>
      <c r="AB124" s="438"/>
      <c r="AC124" s="438"/>
      <c r="AD124" s="438"/>
      <c r="AE124" s="438"/>
      <c r="AF124" s="438"/>
      <c r="AG124" s="438"/>
      <c r="AH124" s="438"/>
      <c r="AI124" s="438"/>
      <c r="AJ124" s="438"/>
      <c r="AK124" s="438"/>
      <c r="AL124" s="438"/>
      <c r="AM124" s="438"/>
      <c r="AN124" s="438"/>
      <c r="AO124" s="438"/>
      <c r="AP124" s="438"/>
      <c r="AQ124" s="438"/>
      <c r="AR124" s="438"/>
    </row>
    <row r="125" spans="1:44" ht="15.5">
      <c r="A125" s="755"/>
      <c r="B125" s="770" t="s">
        <v>172</v>
      </c>
      <c r="C125" s="434">
        <v>12.873938663127603</v>
      </c>
      <c r="D125" s="777">
        <v>12.53064052008952</v>
      </c>
      <c r="E125" s="777">
        <v>10.036409874522789</v>
      </c>
      <c r="F125" s="777">
        <v>26.296905349302513</v>
      </c>
      <c r="G125" s="778">
        <v>4.0575334481961676</v>
      </c>
      <c r="H125" s="777">
        <v>9.0259940448179865</v>
      </c>
      <c r="I125" s="174">
        <v>6.6666666666666652</v>
      </c>
      <c r="J125" s="777">
        <v>351.21666649999997</v>
      </c>
      <c r="K125" s="777">
        <v>351.95833333333331</v>
      </c>
      <c r="L125" s="777">
        <v>124.61366666666667</v>
      </c>
      <c r="M125" s="777">
        <v>281.59999974999999</v>
      </c>
      <c r="N125" s="434">
        <v>112.18416666666667</v>
      </c>
      <c r="O125" s="777">
        <v>113.40938249999999</v>
      </c>
      <c r="P125" s="174">
        <v>112.4</v>
      </c>
      <c r="Q125" s="1002"/>
      <c r="R125" s="1002"/>
      <c r="S125" s="438"/>
      <c r="T125" s="438"/>
      <c r="U125" s="438"/>
      <c r="V125" s="438"/>
      <c r="W125" s="438"/>
      <c r="X125" s="438"/>
      <c r="Y125" s="438"/>
      <c r="Z125" s="438"/>
      <c r="AA125" s="438"/>
      <c r="AB125" s="438"/>
      <c r="AC125" s="438"/>
      <c r="AD125" s="438"/>
      <c r="AE125" s="438"/>
      <c r="AF125" s="438"/>
      <c r="AG125" s="438"/>
      <c r="AH125" s="438"/>
      <c r="AI125" s="438"/>
      <c r="AJ125" s="438"/>
      <c r="AK125" s="438"/>
      <c r="AL125" s="438"/>
      <c r="AM125" s="438"/>
      <c r="AN125" s="438"/>
      <c r="AO125" s="438"/>
      <c r="AP125" s="438"/>
      <c r="AQ125" s="438"/>
      <c r="AR125" s="438"/>
    </row>
    <row r="126" spans="1:44" ht="57.65" customHeight="1">
      <c r="A126" s="755"/>
      <c r="B126" s="770" t="s">
        <v>173</v>
      </c>
      <c r="C126" s="434">
        <v>8.2637717734844518</v>
      </c>
      <c r="D126" s="777">
        <v>7.0653155708838344</v>
      </c>
      <c r="E126" s="777">
        <v>6.0923113098974468</v>
      </c>
      <c r="F126" s="777">
        <v>51.599382414417065</v>
      </c>
      <c r="G126" s="778">
        <v>6.1016687586508169</v>
      </c>
      <c r="H126" s="777">
        <v>5.9185577083977314</v>
      </c>
      <c r="I126" s="174">
        <v>6.0986678864953792</v>
      </c>
      <c r="J126" s="777">
        <v>380.24041024999997</v>
      </c>
      <c r="K126" s="777">
        <v>376.82530026135657</v>
      </c>
      <c r="L126" s="777">
        <v>132.2055191746779</v>
      </c>
      <c r="M126" s="777">
        <v>426.90386049999995</v>
      </c>
      <c r="N126" s="434">
        <v>119.02927291631943</v>
      </c>
      <c r="O126" s="777">
        <v>120.12158225</v>
      </c>
      <c r="P126" s="174">
        <v>119.2549027044208</v>
      </c>
      <c r="Q126" s="1001"/>
      <c r="R126" s="1001"/>
      <c r="S126" s="438"/>
      <c r="T126" s="438"/>
      <c r="U126" s="438"/>
      <c r="V126" s="428"/>
      <c r="W126" s="428"/>
      <c r="X126" s="428"/>
      <c r="Y126" s="438"/>
      <c r="Z126" s="438"/>
      <c r="AA126" s="438"/>
      <c r="AB126" s="438"/>
      <c r="AC126" s="438"/>
      <c r="AD126" s="438"/>
      <c r="AE126" s="438"/>
      <c r="AF126" s="438"/>
      <c r="AG126" s="438"/>
      <c r="AH126" s="438"/>
      <c r="AI126" s="438"/>
      <c r="AJ126" s="438"/>
      <c r="AK126" s="438"/>
      <c r="AL126" s="438"/>
      <c r="AM126" s="438"/>
      <c r="AN126" s="438"/>
      <c r="AO126" s="438"/>
      <c r="AP126" s="438"/>
      <c r="AQ126" s="438"/>
      <c r="AR126" s="438"/>
    </row>
    <row r="127" spans="1:44" ht="35.5" customHeight="1">
      <c r="A127" s="755"/>
      <c r="B127" s="770" t="s">
        <v>174</v>
      </c>
      <c r="C127" s="434">
        <v>4.2964206485204937</v>
      </c>
      <c r="D127" s="777">
        <v>3.3350554873689209</v>
      </c>
      <c r="E127" s="777">
        <v>3.0282015191896328</v>
      </c>
      <c r="F127" s="777">
        <v>28.903195758287147</v>
      </c>
      <c r="G127" s="778">
        <v>4.9224325049109154</v>
      </c>
      <c r="H127" s="777">
        <v>2.9174007987228245</v>
      </c>
      <c r="I127" s="174">
        <v>1.6772140730398455</v>
      </c>
      <c r="J127" s="777">
        <v>396.57713775000002</v>
      </c>
      <c r="K127" s="777">
        <v>389.39263311551736</v>
      </c>
      <c r="L127" s="777">
        <v>136.20896871477805</v>
      </c>
      <c r="M127" s="777">
        <v>550.29271900000003</v>
      </c>
      <c r="N127" s="434">
        <v>124.88840853671145</v>
      </c>
      <c r="O127" s="777">
        <v>123.62601025000001</v>
      </c>
      <c r="P127" s="174">
        <v>121.25506271536932</v>
      </c>
      <c r="Q127" s="1001"/>
      <c r="R127" s="1001"/>
      <c r="V127" s="172"/>
      <c r="W127" s="172"/>
      <c r="X127" s="172"/>
    </row>
    <row r="128" spans="1:44" ht="25.4" customHeight="1">
      <c r="A128" s="755"/>
      <c r="B128" s="770" t="s">
        <v>139</v>
      </c>
      <c r="C128" s="434">
        <v>2.4133767655646787</v>
      </c>
      <c r="D128" s="777">
        <v>2.1220656001570415</v>
      </c>
      <c r="E128" s="777">
        <v>1.5627140285505492</v>
      </c>
      <c r="F128" s="777">
        <v>8.4207867285992499</v>
      </c>
      <c r="G128" s="778">
        <v>3.4026088022552017</v>
      </c>
      <c r="H128" s="777">
        <v>1.7138620309070429</v>
      </c>
      <c r="I128" s="174">
        <v>1.7120682980283464</v>
      </c>
      <c r="J128" s="777">
        <v>406.14803824999996</v>
      </c>
      <c r="K128" s="777">
        <v>397.6558002324075</v>
      </c>
      <c r="L128" s="777">
        <v>138.33752537702793</v>
      </c>
      <c r="M128" s="777">
        <v>596.63169525000001</v>
      </c>
      <c r="N128" s="434">
        <v>129.13787251857804</v>
      </c>
      <c r="O128" s="777">
        <v>125.74478950000001</v>
      </c>
      <c r="P128" s="174">
        <v>123.33103220387355</v>
      </c>
      <c r="Q128" s="1001"/>
      <c r="R128" s="1001"/>
    </row>
    <row r="129" spans="1:18" ht="24.65" customHeight="1">
      <c r="A129" s="755"/>
      <c r="B129" s="770" t="s">
        <v>328</v>
      </c>
      <c r="C129" s="434">
        <v>2.5980429563234653</v>
      </c>
      <c r="D129" s="777">
        <v>2.3602856029845354</v>
      </c>
      <c r="E129" s="777">
        <v>1.4928761675338187</v>
      </c>
      <c r="F129" s="777">
        <v>7.2162262066817195</v>
      </c>
      <c r="G129" s="778">
        <v>1.8495770237292533</v>
      </c>
      <c r="H129" s="777">
        <v>1.5988996506292485</v>
      </c>
      <c r="I129" s="174">
        <v>1.6244775980841286</v>
      </c>
      <c r="J129" s="777">
        <v>416.69993875</v>
      </c>
      <c r="K129" s="777">
        <v>407.04161283472598</v>
      </c>
      <c r="L129" s="777">
        <v>140.40273332413761</v>
      </c>
      <c r="M129" s="777">
        <v>639.68598799999995</v>
      </c>
      <c r="N129" s="434">
        <v>131.52637693761443</v>
      </c>
      <c r="O129" s="777">
        <v>127.75532249999999</v>
      </c>
      <c r="P129" s="174">
        <v>125.3345171935114</v>
      </c>
      <c r="Q129" s="1001"/>
      <c r="R129" s="1001"/>
    </row>
    <row r="130" spans="1:18" ht="15.5">
      <c r="A130" s="755"/>
      <c r="B130" s="770" t="s">
        <v>330</v>
      </c>
      <c r="C130" s="434">
        <v>2.8420642526432394</v>
      </c>
      <c r="D130" s="777">
        <v>2.7100069388133363</v>
      </c>
      <c r="E130" s="777">
        <v>1.8139542644850737</v>
      </c>
      <c r="F130" s="777">
        <v>5.2909630091819482</v>
      </c>
      <c r="G130" s="778">
        <v>1.8403046166658186</v>
      </c>
      <c r="H130" s="777">
        <v>1.8460452009739114</v>
      </c>
      <c r="I130" s="174">
        <v>1.77438819583291</v>
      </c>
      <c r="J130" s="777">
        <v>428.54281875000004</v>
      </c>
      <c r="K130" s="777">
        <v>418.07246878640478</v>
      </c>
      <c r="L130" s="777">
        <v>142.94957469272441</v>
      </c>
      <c r="M130" s="777">
        <v>673.53153700000007</v>
      </c>
      <c r="N130" s="434">
        <v>133.94686292453065</v>
      </c>
      <c r="O130" s="777">
        <v>130.1137435</v>
      </c>
      <c r="P130" s="174">
        <v>127.55843807189723</v>
      </c>
      <c r="Q130" s="294"/>
      <c r="R130"/>
    </row>
    <row r="131" spans="1:18" ht="16" thickBot="1">
      <c r="A131" s="755"/>
      <c r="B131" s="1012" t="s">
        <v>332</v>
      </c>
      <c r="C131" s="1008">
        <v>2.8604939141801955</v>
      </c>
      <c r="D131" s="1009">
        <v>2.8794427790760801</v>
      </c>
      <c r="E131" s="1009">
        <v>1.9814449167395942</v>
      </c>
      <c r="F131" s="1009">
        <v>2.5177168504286307</v>
      </c>
      <c r="G131" s="1010">
        <v>2.0039504767731984</v>
      </c>
      <c r="H131" s="1009">
        <v>1.9928135032099892</v>
      </c>
      <c r="I131" s="1011">
        <v>1.8808727517729329</v>
      </c>
      <c r="J131" s="1009">
        <v>440.80126000000001</v>
      </c>
      <c r="K131" s="1009">
        <v>430.11062630018</v>
      </c>
      <c r="L131" s="1009">
        <v>145.78204177397427</v>
      </c>
      <c r="M131" s="1009">
        <v>690.48915399999998</v>
      </c>
      <c r="N131" s="1008">
        <v>136.63109172272954</v>
      </c>
      <c r="O131" s="1009">
        <v>132.70666775000001</v>
      </c>
      <c r="P131" s="1011">
        <v>129.95764997617869</v>
      </c>
      <c r="Q131" s="297"/>
    </row>
    <row r="132" spans="1:18" ht="15.5">
      <c r="A132" s="755"/>
      <c r="B132" s="1823" t="s">
        <v>1500</v>
      </c>
      <c r="C132" s="1824"/>
      <c r="D132" s="1824"/>
      <c r="E132" s="1824"/>
      <c r="F132" s="1824"/>
      <c r="G132" s="1824"/>
      <c r="H132" s="1824"/>
      <c r="I132" s="1824"/>
      <c r="J132" s="1824"/>
      <c r="K132" s="1824"/>
      <c r="L132" s="1824"/>
      <c r="M132" s="1824"/>
      <c r="N132" s="1824"/>
      <c r="O132" s="1824"/>
      <c r="P132" s="1825"/>
      <c r="Q132" s="294"/>
    </row>
    <row r="133" spans="1:18" ht="15.5">
      <c r="A133" s="755"/>
      <c r="B133" s="1826" t="s">
        <v>1501</v>
      </c>
      <c r="C133" s="1827"/>
      <c r="D133" s="1827"/>
      <c r="E133" s="1827"/>
      <c r="F133" s="1827"/>
      <c r="G133" s="1827"/>
      <c r="H133" s="1827"/>
      <c r="I133" s="1827"/>
      <c r="J133" s="1827"/>
      <c r="K133" s="1827"/>
      <c r="L133" s="1827"/>
      <c r="M133" s="1827"/>
      <c r="N133" s="1827"/>
      <c r="O133" s="1827"/>
      <c r="P133" s="1828"/>
    </row>
    <row r="134" spans="1:18" ht="15.5">
      <c r="A134" s="755"/>
      <c r="B134" s="1829" t="s">
        <v>1502</v>
      </c>
      <c r="C134" s="1827"/>
      <c r="D134" s="1827"/>
      <c r="E134" s="1827"/>
      <c r="F134" s="1827"/>
      <c r="G134" s="1827"/>
      <c r="H134" s="1827"/>
      <c r="I134" s="1827"/>
      <c r="J134" s="1827"/>
      <c r="K134" s="1827"/>
      <c r="L134" s="1827"/>
      <c r="M134" s="1827"/>
      <c r="N134" s="1827"/>
      <c r="O134" s="1827"/>
      <c r="P134" s="1828"/>
    </row>
    <row r="135" spans="1:18" ht="15.5">
      <c r="A135" s="755"/>
      <c r="B135" s="1823" t="s">
        <v>1503</v>
      </c>
      <c r="C135" s="1824"/>
      <c r="D135" s="1824"/>
      <c r="E135" s="1824"/>
      <c r="F135" s="1824"/>
      <c r="G135" s="1824"/>
      <c r="H135" s="1824"/>
      <c r="I135" s="1824"/>
      <c r="J135" s="1824"/>
      <c r="K135" s="1824"/>
      <c r="L135" s="1824"/>
      <c r="M135" s="1824"/>
      <c r="N135" s="1824"/>
      <c r="O135" s="1824"/>
      <c r="P135" s="1825"/>
    </row>
    <row r="136" spans="1:18" ht="15.5">
      <c r="A136" s="755"/>
      <c r="B136" s="1809" t="s">
        <v>1504</v>
      </c>
      <c r="C136" s="1810"/>
      <c r="D136" s="1810"/>
      <c r="E136" s="1810"/>
      <c r="F136" s="1810"/>
      <c r="G136" s="1810"/>
      <c r="H136" s="1810"/>
      <c r="I136" s="1810"/>
      <c r="J136" s="1810"/>
      <c r="K136" s="1810"/>
      <c r="L136" s="1810"/>
      <c r="M136" s="1810"/>
      <c r="N136" s="1810"/>
      <c r="O136" s="1810"/>
      <c r="P136" s="1811"/>
    </row>
    <row r="137" spans="1:18" ht="15.5">
      <c r="A137" s="755"/>
      <c r="B137" s="1809" t="s">
        <v>1505</v>
      </c>
      <c r="C137" s="1810"/>
      <c r="D137" s="1810"/>
      <c r="E137" s="1810"/>
      <c r="F137" s="1810"/>
      <c r="G137" s="1810"/>
      <c r="H137" s="1810"/>
      <c r="I137" s="1810"/>
      <c r="J137" s="1810"/>
      <c r="K137" s="1810"/>
      <c r="L137" s="1810"/>
      <c r="M137" s="1810"/>
      <c r="N137" s="1810"/>
      <c r="O137" s="1810"/>
      <c r="P137" s="1811"/>
    </row>
    <row r="138" spans="1:18" ht="15.5">
      <c r="A138" s="755"/>
      <c r="B138" s="1812" t="s">
        <v>1506</v>
      </c>
      <c r="C138" s="1813"/>
      <c r="D138" s="1813"/>
      <c r="E138" s="1813"/>
      <c r="F138" s="1813"/>
      <c r="G138" s="1813"/>
      <c r="H138" s="1813"/>
      <c r="I138" s="1813"/>
      <c r="J138" s="1813"/>
      <c r="K138" s="1813"/>
      <c r="L138" s="1813"/>
      <c r="M138" s="1813"/>
      <c r="N138" s="1813"/>
      <c r="O138" s="1813"/>
      <c r="P138" s="1814"/>
    </row>
    <row r="139" spans="1:18" ht="16" thickBot="1">
      <c r="A139" s="755"/>
      <c r="B139" s="1815" t="s">
        <v>1507</v>
      </c>
      <c r="C139" s="1816"/>
      <c r="D139" s="1816"/>
      <c r="E139" s="1816"/>
      <c r="F139" s="1816"/>
      <c r="G139" s="1816"/>
      <c r="H139" s="1816"/>
      <c r="I139" s="1816"/>
      <c r="J139" s="1816"/>
      <c r="K139" s="1816"/>
      <c r="L139" s="1816"/>
      <c r="M139" s="1816"/>
      <c r="N139" s="1816"/>
      <c r="O139" s="1816"/>
      <c r="P139" s="1817"/>
    </row>
    <row r="140" spans="1:18" ht="18.5">
      <c r="A140" s="755"/>
      <c r="B140" s="790"/>
      <c r="C140" s="754"/>
      <c r="D140" s="754"/>
      <c r="E140" s="754"/>
      <c r="F140" s="754"/>
      <c r="G140" s="754"/>
      <c r="H140" s="754"/>
      <c r="I140" s="754"/>
      <c r="J140" s="791"/>
      <c r="K140" s="791"/>
      <c r="L140" s="791"/>
      <c r="M140" s="791"/>
      <c r="N140" s="791"/>
      <c r="O140" s="791"/>
      <c r="P140" s="754"/>
    </row>
    <row r="141" spans="1:18" ht="15.5">
      <c r="A141" s="755"/>
      <c r="B141" s="755"/>
      <c r="C141" s="755"/>
      <c r="D141" s="755"/>
      <c r="E141" s="755"/>
      <c r="F141" s="755"/>
      <c r="G141" s="755"/>
      <c r="H141" s="755"/>
      <c r="I141" s="754"/>
      <c r="J141" s="792"/>
      <c r="K141" s="792"/>
      <c r="L141" s="792"/>
      <c r="M141" s="792"/>
      <c r="N141" s="792"/>
      <c r="O141" s="792"/>
      <c r="P141" s="754"/>
    </row>
    <row r="142" spans="1:18" ht="15.5">
      <c r="A142" s="755"/>
      <c r="B142" s="755"/>
      <c r="C142" s="755"/>
      <c r="D142" s="755"/>
      <c r="E142" s="755"/>
      <c r="F142" s="755"/>
      <c r="G142" s="755"/>
      <c r="H142" s="755"/>
      <c r="I142" s="754"/>
      <c r="J142" s="791"/>
      <c r="K142" s="791"/>
      <c r="L142" s="791"/>
      <c r="M142" s="791"/>
      <c r="N142" s="791"/>
      <c r="O142" s="791"/>
      <c r="P142" s="754"/>
    </row>
  </sheetData>
  <mergeCells count="10">
    <mergeCell ref="B136:P136"/>
    <mergeCell ref="B137:P137"/>
    <mergeCell ref="B138:P138"/>
    <mergeCell ref="B139:P139"/>
    <mergeCell ref="B2:P2"/>
    <mergeCell ref="C3:I3"/>
    <mergeCell ref="B132:P132"/>
    <mergeCell ref="B133:P133"/>
    <mergeCell ref="B134:P134"/>
    <mergeCell ref="B135:P135"/>
  </mergeCells>
  <hyperlinks>
    <hyperlink ref="A1" location="Contents!A1" display="Back to contents" xr:uid="{113CDC2A-6455-45E4-95B4-4035EE8A3D6F}"/>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10117-D315-4BBD-B357-1D1D81060877}">
  <dimension ref="A1:O34"/>
  <sheetViews>
    <sheetView zoomScale="55" zoomScaleNormal="55" workbookViewId="0">
      <selection activeCell="C37" sqref="C37"/>
    </sheetView>
  </sheetViews>
  <sheetFormatPr defaultRowHeight="15.5"/>
  <cols>
    <col min="2" max="2" width="23.81640625" customWidth="1"/>
    <col min="3" max="3" width="21.1796875" customWidth="1"/>
    <col min="4" max="4" width="21.54296875" customWidth="1"/>
    <col min="5" max="5" width="19.81640625" customWidth="1"/>
    <col min="6" max="7" width="8.54296875" style="939"/>
  </cols>
  <sheetData>
    <row r="1" spans="1:15" ht="18.5" thickBot="1">
      <c r="A1" s="938" t="s">
        <v>1508</v>
      </c>
    </row>
    <row r="2" spans="1:15" ht="16" thickTop="1">
      <c r="A2" s="940" t="s">
        <v>1509</v>
      </c>
    </row>
    <row r="3" spans="1:15">
      <c r="A3" s="940" t="s">
        <v>1510</v>
      </c>
    </row>
    <row r="4" spans="1:15" ht="108.5">
      <c r="A4" s="941" t="s">
        <v>1511</v>
      </c>
      <c r="B4" s="942" t="s">
        <v>1512</v>
      </c>
      <c r="C4" s="942" t="s">
        <v>1513</v>
      </c>
      <c r="D4" s="942" t="s">
        <v>1514</v>
      </c>
      <c r="E4" s="942" t="s">
        <v>1515</v>
      </c>
    </row>
    <row r="5" spans="1:15">
      <c r="A5" s="943" t="s">
        <v>960</v>
      </c>
      <c r="B5" s="944">
        <v>100</v>
      </c>
      <c r="C5" s="944"/>
      <c r="D5" s="944">
        <v>0</v>
      </c>
      <c r="E5" s="944"/>
      <c r="O5" s="51"/>
    </row>
    <row r="6" spans="1:15">
      <c r="A6" s="943" t="s">
        <v>1516</v>
      </c>
      <c r="B6" s="944">
        <v>101.2</v>
      </c>
      <c r="C6" s="944"/>
      <c r="D6" s="944">
        <v>1.2</v>
      </c>
      <c r="E6" s="944"/>
      <c r="O6" s="51"/>
    </row>
    <row r="7" spans="1:15">
      <c r="A7" s="943" t="s">
        <v>965</v>
      </c>
      <c r="B7" s="944">
        <v>101.2</v>
      </c>
      <c r="C7" s="944"/>
      <c r="D7" s="944">
        <v>0</v>
      </c>
      <c r="E7" s="944"/>
      <c r="O7" s="51"/>
    </row>
    <row r="8" spans="1:15">
      <c r="A8" s="943" t="s">
        <v>968</v>
      </c>
      <c r="B8" s="944">
        <v>101.2</v>
      </c>
      <c r="C8" s="944"/>
      <c r="D8" s="944">
        <v>0</v>
      </c>
      <c r="E8" s="944"/>
      <c r="O8" s="51"/>
    </row>
    <row r="9" spans="1:15">
      <c r="A9" s="943" t="s">
        <v>971</v>
      </c>
      <c r="B9" s="944">
        <v>101.6</v>
      </c>
      <c r="C9" s="944"/>
      <c r="D9" s="944">
        <v>0.4</v>
      </c>
      <c r="E9" s="944"/>
      <c r="O9" s="51"/>
    </row>
    <row r="10" spans="1:15">
      <c r="A10" s="943" t="s">
        <v>977</v>
      </c>
      <c r="B10" s="944">
        <v>100.5</v>
      </c>
      <c r="C10" s="944"/>
      <c r="D10" s="944">
        <v>-1.1000000000000001</v>
      </c>
      <c r="E10" s="944"/>
      <c r="O10" s="51"/>
    </row>
    <row r="11" spans="1:15">
      <c r="A11" s="943" t="s">
        <v>980</v>
      </c>
      <c r="B11" s="944">
        <v>100.8</v>
      </c>
      <c r="C11" s="944"/>
      <c r="D11" s="944">
        <v>0.3</v>
      </c>
      <c r="E11" s="944"/>
      <c r="O11" s="51"/>
    </row>
    <row r="12" spans="1:15">
      <c r="A12" s="943" t="s">
        <v>983</v>
      </c>
      <c r="B12" s="944">
        <v>101.8</v>
      </c>
      <c r="C12" s="944"/>
      <c r="D12" s="944">
        <v>0.9</v>
      </c>
      <c r="E12" s="944"/>
      <c r="O12" s="51"/>
    </row>
    <row r="13" spans="1:15">
      <c r="A13" s="943" t="s">
        <v>1517</v>
      </c>
      <c r="B13" s="944">
        <v>103.6</v>
      </c>
      <c r="C13" s="944"/>
      <c r="D13" s="944">
        <v>1.8</v>
      </c>
      <c r="E13" s="944"/>
      <c r="O13" s="51"/>
    </row>
    <row r="14" spans="1:15">
      <c r="A14" s="943" t="s">
        <v>992</v>
      </c>
      <c r="B14" s="944">
        <v>104.9</v>
      </c>
      <c r="C14" s="944"/>
      <c r="D14" s="944">
        <v>1.2</v>
      </c>
      <c r="E14" s="944"/>
      <c r="O14" s="51"/>
    </row>
    <row r="15" spans="1:15">
      <c r="A15" s="943" t="s">
        <v>995</v>
      </c>
      <c r="B15" s="944">
        <v>105.7</v>
      </c>
      <c r="C15" s="944"/>
      <c r="D15" s="944">
        <v>0.8</v>
      </c>
      <c r="E15" s="944"/>
      <c r="O15" s="51"/>
    </row>
    <row r="16" spans="1:15">
      <c r="A16" s="943" t="s">
        <v>998</v>
      </c>
      <c r="B16" s="944">
        <v>109.2</v>
      </c>
      <c r="C16" s="944"/>
      <c r="D16" s="944">
        <v>3.3</v>
      </c>
      <c r="E16" s="944"/>
      <c r="O16" s="51"/>
    </row>
    <row r="17" spans="1:15">
      <c r="A17" s="943" t="s">
        <v>1001</v>
      </c>
      <c r="B17" s="944">
        <v>111.1</v>
      </c>
      <c r="C17" s="944"/>
      <c r="D17" s="944">
        <v>1.8</v>
      </c>
      <c r="E17" s="944"/>
      <c r="O17" s="51"/>
    </row>
    <row r="18" spans="1:15">
      <c r="A18" s="943" t="s">
        <v>1004</v>
      </c>
      <c r="B18" s="944">
        <v>116.6</v>
      </c>
      <c r="C18" s="944"/>
      <c r="D18" s="944">
        <v>4.9000000000000004</v>
      </c>
      <c r="E18" s="944"/>
      <c r="O18" s="51"/>
    </row>
    <row r="19" spans="1:15">
      <c r="A19" s="943" t="s">
        <v>1007</v>
      </c>
      <c r="B19" s="944">
        <v>114.3</v>
      </c>
      <c r="C19" s="944"/>
      <c r="D19" s="944">
        <v>-1.9</v>
      </c>
      <c r="E19" s="944"/>
      <c r="O19" s="51"/>
    </row>
    <row r="20" spans="1:15">
      <c r="A20" s="943" t="s">
        <v>1010</v>
      </c>
      <c r="B20" s="944">
        <v>116.6</v>
      </c>
      <c r="C20" s="944"/>
      <c r="D20" s="944">
        <v>2</v>
      </c>
      <c r="E20" s="944"/>
      <c r="O20" s="51"/>
    </row>
    <row r="21" spans="1:15">
      <c r="A21" s="943" t="s">
        <v>1013</v>
      </c>
      <c r="B21" s="944">
        <v>119.6</v>
      </c>
      <c r="C21" s="944"/>
      <c r="D21" s="944">
        <v>2.6</v>
      </c>
      <c r="E21" s="944"/>
      <c r="O21" s="51"/>
    </row>
    <row r="22" spans="1:15">
      <c r="A22" s="943" t="s">
        <v>1016</v>
      </c>
      <c r="B22" s="944">
        <v>122.5</v>
      </c>
      <c r="C22" s="944"/>
      <c r="D22" s="944">
        <v>2.4</v>
      </c>
      <c r="E22" s="944"/>
      <c r="O22" s="51"/>
    </row>
    <row r="23" spans="1:15">
      <c r="A23" s="943" t="s">
        <v>1019</v>
      </c>
      <c r="B23" s="944">
        <v>124.1</v>
      </c>
      <c r="C23" s="944"/>
      <c r="D23" s="944">
        <v>1.3</v>
      </c>
      <c r="E23" s="944"/>
      <c r="O23" s="51"/>
    </row>
    <row r="24" spans="1:15" ht="31">
      <c r="A24" s="943" t="s">
        <v>1022</v>
      </c>
      <c r="B24" s="944">
        <v>124.9</v>
      </c>
      <c r="C24" s="944"/>
      <c r="D24" s="944">
        <v>0.6</v>
      </c>
      <c r="E24" s="942" t="s">
        <v>1518</v>
      </c>
      <c r="F24" s="939" t="s">
        <v>226</v>
      </c>
      <c r="G24" s="939" t="s">
        <v>1378</v>
      </c>
      <c r="O24" s="51"/>
    </row>
    <row r="25" spans="1:15">
      <c r="A25" s="943" t="s">
        <v>1025</v>
      </c>
      <c r="B25" s="944"/>
      <c r="C25" s="944">
        <v>125.2</v>
      </c>
      <c r="D25" s="944"/>
      <c r="E25" s="944">
        <v>0.3</v>
      </c>
      <c r="F25" s="945">
        <f>Deflator_HMT_SpringBudget24!D68</f>
        <v>0.71945695833180034</v>
      </c>
    </row>
    <row r="26" spans="1:15">
      <c r="A26" s="943" t="s">
        <v>1028</v>
      </c>
      <c r="B26" s="944"/>
      <c r="C26" s="944">
        <v>127.7</v>
      </c>
      <c r="D26" s="944"/>
      <c r="E26" s="944">
        <v>2</v>
      </c>
      <c r="F26" s="945">
        <f>Deflator_HMT_SpringBudget24!D69</f>
        <v>2.2745923249327475</v>
      </c>
    </row>
    <row r="27" spans="1:15" ht="77.5">
      <c r="A27" s="943" t="s">
        <v>1031</v>
      </c>
      <c r="B27" s="944"/>
      <c r="C27" s="944">
        <v>129.19999999999999</v>
      </c>
      <c r="D27" s="944"/>
      <c r="E27" s="944">
        <v>1.2</v>
      </c>
      <c r="F27" s="945">
        <f>Deflator_HMT_SpringBudget24!D70</f>
        <v>1.5659888971588769</v>
      </c>
      <c r="G27">
        <v>2.1</v>
      </c>
      <c r="H27" t="s">
        <v>1519</v>
      </c>
      <c r="J27" s="942" t="s">
        <v>1518</v>
      </c>
      <c r="K27" s="939" t="s">
        <v>226</v>
      </c>
      <c r="L27" s="939" t="s">
        <v>1378</v>
      </c>
    </row>
    <row r="28" spans="1:15">
      <c r="A28" s="943" t="s">
        <v>1034</v>
      </c>
      <c r="B28" s="51"/>
      <c r="C28" s="944">
        <v>131.4</v>
      </c>
      <c r="D28" s="51"/>
      <c r="E28" s="944">
        <v>1.7</v>
      </c>
      <c r="F28" s="945">
        <f>Deflator_HMT_SpringBudget24!D71</f>
        <v>2.1094308842526055</v>
      </c>
      <c r="G28">
        <v>2.1</v>
      </c>
      <c r="H28" t="s">
        <v>1519</v>
      </c>
      <c r="I28" t="str">
        <f>A28</f>
        <v>2018/19</v>
      </c>
      <c r="J28">
        <v>100</v>
      </c>
      <c r="K28">
        <v>100</v>
      </c>
      <c r="L28">
        <v>100</v>
      </c>
    </row>
    <row r="29" spans="1:15">
      <c r="A29" s="943" t="s">
        <v>1256</v>
      </c>
      <c r="B29" s="51"/>
      <c r="C29" s="944">
        <v>134.6</v>
      </c>
      <c r="D29" s="51"/>
      <c r="E29" s="944">
        <v>2.4</v>
      </c>
      <c r="F29" s="945">
        <f>Deflator_HMT_SpringBudget24!D72</f>
        <v>2.360926039783414</v>
      </c>
      <c r="G29">
        <v>3.8</v>
      </c>
      <c r="H29" t="s">
        <v>1519</v>
      </c>
      <c r="I29" t="str">
        <f t="shared" ref="I29:I34" si="0">A29</f>
        <v>2019/20</v>
      </c>
      <c r="J29">
        <f t="shared" ref="J29:L30" si="1">J28*(1+(E29/100))</f>
        <v>102.4</v>
      </c>
      <c r="K29">
        <f t="shared" si="1"/>
        <v>102.36092603978342</v>
      </c>
      <c r="L29">
        <f t="shared" si="1"/>
        <v>103.8</v>
      </c>
    </row>
    <row r="30" spans="1:15">
      <c r="A30" s="943" t="s">
        <v>1257</v>
      </c>
      <c r="C30" s="944">
        <v>133.80000000000001</v>
      </c>
      <c r="E30" s="944">
        <v>-0.6</v>
      </c>
      <c r="F30" s="945">
        <f>Deflator_HMT_SpringBudget24!D73</f>
        <v>5.4455915337441132</v>
      </c>
      <c r="G30">
        <v>2.5</v>
      </c>
      <c r="H30" t="s">
        <v>1519</v>
      </c>
      <c r="I30" t="str">
        <f t="shared" si="0"/>
        <v>2020/21</v>
      </c>
      <c r="J30">
        <f t="shared" si="1"/>
        <v>101.7856</v>
      </c>
      <c r="K30">
        <f t="shared" si="1"/>
        <v>107.93508396206794</v>
      </c>
      <c r="L30">
        <f t="shared" si="1"/>
        <v>106.39499999999998</v>
      </c>
    </row>
    <row r="31" spans="1:15">
      <c r="A31" s="943" t="s">
        <v>1246</v>
      </c>
      <c r="F31" s="945">
        <f>Deflator_HMT_SpringBudget24!D74</f>
        <v>-0.8192928754977582</v>
      </c>
      <c r="G31">
        <v>3.1</v>
      </c>
      <c r="H31" s="939" t="s">
        <v>1520</v>
      </c>
      <c r="I31" t="str">
        <f t="shared" si="0"/>
        <v>2021/22</v>
      </c>
      <c r="K31">
        <f t="shared" ref="K31:L33" si="2">K30*(1+(F31/100))</f>
        <v>107.05077950900419</v>
      </c>
      <c r="L31">
        <f t="shared" si="2"/>
        <v>109.69324499999998</v>
      </c>
    </row>
    <row r="32" spans="1:15">
      <c r="A32" s="943" t="s">
        <v>300</v>
      </c>
      <c r="F32" s="945">
        <f>Deflator_HMT_SpringBudget24!D75</f>
        <v>6.7537777493100988</v>
      </c>
      <c r="G32" s="946">
        <v>4.7</v>
      </c>
      <c r="H32" s="127" t="s">
        <v>1521</v>
      </c>
      <c r="I32" t="str">
        <f t="shared" si="0"/>
        <v>2022/23</v>
      </c>
      <c r="K32">
        <f t="shared" si="2"/>
        <v>114.28075123594633</v>
      </c>
      <c r="L32">
        <f t="shared" si="2"/>
        <v>114.84882751499997</v>
      </c>
    </row>
    <row r="33" spans="1:13">
      <c r="A33" s="943" t="s">
        <v>274</v>
      </c>
      <c r="F33" s="945">
        <f>Deflator_HMT_SpringBudget24!D76</f>
        <v>6.5443909514110166</v>
      </c>
      <c r="G33" s="947">
        <v>5.2</v>
      </c>
      <c r="H33" s="127" t="s">
        <v>1522</v>
      </c>
      <c r="I33" t="str">
        <f t="shared" si="0"/>
        <v>2023/24</v>
      </c>
      <c r="K33">
        <f t="shared" si="2"/>
        <v>121.75973037903613</v>
      </c>
      <c r="L33">
        <f t="shared" si="2"/>
        <v>120.82096654577997</v>
      </c>
      <c r="M33">
        <f>L33-K33</f>
        <v>-0.93876383325616075</v>
      </c>
    </row>
    <row r="34" spans="1:13">
      <c r="A34" s="943" t="s">
        <v>275</v>
      </c>
      <c r="F34" s="945">
        <f>Deflator_HMT_SpringBudget24!D77</f>
        <v>0.80384499127270637</v>
      </c>
      <c r="I34" t="str">
        <f t="shared" si="0"/>
        <v>2024/25</v>
      </c>
      <c r="K34">
        <f>K33*(1+(F34/100))</f>
        <v>122.73848987307517</v>
      </c>
    </row>
  </sheetData>
  <phoneticPr fontId="21" type="noConversion"/>
  <hyperlinks>
    <hyperlink ref="H32" r:id="rId1" xr:uid="{A873407C-30FB-4CEA-82D3-D1777A01ABCF}"/>
    <hyperlink ref="H33" r:id="rId2" xr:uid="{F30718C5-5D08-4A24-BB5B-80162970ACE1}"/>
  </hyperlinks>
  <pageMargins left="0.7" right="0.7" top="0.75" bottom="0.75" header="0.3" footer="0.3"/>
  <pageSetup paperSize="9" orientation="portrait" r:id="rId3"/>
  <drawing r:id="rId4"/>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49622-6BFA-460D-9344-B59EFBAA59EC}">
  <dimension ref="A1:AA37"/>
  <sheetViews>
    <sheetView zoomScale="90" workbookViewId="0">
      <selection activeCell="R8" sqref="R8"/>
    </sheetView>
  </sheetViews>
  <sheetFormatPr defaultRowHeight="14.5"/>
  <cols>
    <col min="2" max="2" width="17.81640625" bestFit="1" customWidth="1"/>
  </cols>
  <sheetData>
    <row r="1" spans="1:27" ht="15" thickBot="1">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row>
    <row r="2" spans="1:27">
      <c r="A2" s="125"/>
      <c r="B2" s="1057" t="s">
        <v>146</v>
      </c>
      <c r="C2" s="1058"/>
      <c r="D2" s="1058"/>
      <c r="E2" s="1058"/>
      <c r="F2" s="1058"/>
      <c r="G2" s="1058"/>
      <c r="H2" s="1058"/>
      <c r="I2" s="1058"/>
      <c r="J2" s="1058"/>
      <c r="K2" s="1058"/>
      <c r="L2" s="1058"/>
      <c r="M2" s="1058"/>
      <c r="N2" s="1058"/>
      <c r="O2" s="1058"/>
      <c r="P2" s="1058"/>
      <c r="Q2" s="1058"/>
      <c r="R2" s="1058"/>
      <c r="S2" s="1058"/>
      <c r="T2" s="1058"/>
      <c r="U2" s="1058"/>
      <c r="V2" s="1058"/>
      <c r="W2" s="1059"/>
      <c r="X2" s="125"/>
      <c r="Y2" s="125"/>
      <c r="Z2" s="125"/>
      <c r="AA2" s="125"/>
    </row>
    <row r="3" spans="1:27">
      <c r="A3" s="125"/>
      <c r="B3" s="726"/>
      <c r="C3" s="727" t="s">
        <v>324</v>
      </c>
      <c r="D3" s="727" t="s">
        <v>325</v>
      </c>
      <c r="E3" s="727" t="s">
        <v>188</v>
      </c>
      <c r="F3" s="727" t="s">
        <v>189</v>
      </c>
      <c r="G3" s="727" t="s">
        <v>681</v>
      </c>
      <c r="H3" s="727" t="s">
        <v>245</v>
      </c>
      <c r="I3" s="727" t="s">
        <v>192</v>
      </c>
      <c r="J3" s="727" t="s">
        <v>193</v>
      </c>
      <c r="K3" s="727" t="s">
        <v>165</v>
      </c>
      <c r="L3" s="727" t="s">
        <v>167</v>
      </c>
      <c r="M3" s="727" t="s">
        <v>168</v>
      </c>
      <c r="N3" s="727" t="s">
        <v>169</v>
      </c>
      <c r="O3" s="727" t="s">
        <v>170</v>
      </c>
      <c r="P3" s="727" t="s">
        <v>171</v>
      </c>
      <c r="Q3" s="727" t="s">
        <v>172</v>
      </c>
      <c r="R3" s="727" t="s">
        <v>173</v>
      </c>
      <c r="S3" s="727" t="s">
        <v>174</v>
      </c>
      <c r="T3" s="727" t="s">
        <v>139</v>
      </c>
      <c r="U3" s="727" t="s">
        <v>328</v>
      </c>
      <c r="V3" s="727" t="s">
        <v>330</v>
      </c>
      <c r="W3" s="728"/>
      <c r="X3" s="125"/>
      <c r="Y3" s="125"/>
      <c r="Z3" s="125"/>
      <c r="AA3" s="125"/>
    </row>
    <row r="4" spans="1:27">
      <c r="A4" s="125"/>
      <c r="B4" s="729">
        <v>44470</v>
      </c>
      <c r="C4" s="730">
        <v>84.5</v>
      </c>
      <c r="D4" s="730">
        <v>85.9</v>
      </c>
      <c r="E4" s="730">
        <v>87.4</v>
      </c>
      <c r="F4" s="730">
        <v>88.8</v>
      </c>
      <c r="G4" s="730">
        <v>90.6</v>
      </c>
      <c r="H4" s="730">
        <v>92.2</v>
      </c>
      <c r="I4" s="730">
        <v>93.5</v>
      </c>
      <c r="J4" s="730">
        <v>94.2</v>
      </c>
      <c r="K4" s="730">
        <v>96.6</v>
      </c>
      <c r="L4" s="730">
        <v>98.3</v>
      </c>
      <c r="M4" s="730">
        <v>100.6</v>
      </c>
      <c r="N4" s="730">
        <v>102.8</v>
      </c>
      <c r="O4" s="730">
        <v>109.3</v>
      </c>
      <c r="P4" s="730">
        <v>108.5</v>
      </c>
      <c r="Q4" s="730" t="e">
        <f>Q3*inflation_comparison!Q7/inflation_comparison!P7</f>
        <v>#VALUE!</v>
      </c>
      <c r="R4" s="730">
        <v>113.9</v>
      </c>
      <c r="S4" s="730">
        <v>116.1</v>
      </c>
      <c r="T4" s="730">
        <v>118.4</v>
      </c>
      <c r="U4" s="730">
        <v>120.8</v>
      </c>
      <c r="V4" s="125"/>
      <c r="W4" s="728"/>
      <c r="X4" s="125"/>
      <c r="Y4" s="125"/>
      <c r="Z4" s="125"/>
      <c r="AA4" s="125"/>
    </row>
    <row r="5" spans="1:27">
      <c r="A5" s="125"/>
      <c r="B5" s="729">
        <v>44621</v>
      </c>
      <c r="C5" s="731">
        <v>83.4</v>
      </c>
      <c r="D5" s="731">
        <v>84.7</v>
      </c>
      <c r="E5" s="731">
        <v>86.1</v>
      </c>
      <c r="F5" s="731">
        <v>87.4</v>
      </c>
      <c r="G5" s="731">
        <v>89.2</v>
      </c>
      <c r="H5" s="731">
        <v>91.3</v>
      </c>
      <c r="I5" s="731">
        <v>92.3</v>
      </c>
      <c r="J5" s="731">
        <v>92.9</v>
      </c>
      <c r="K5" s="731">
        <v>94.9</v>
      </c>
      <c r="L5" s="731">
        <v>96.6</v>
      </c>
      <c r="M5" s="731">
        <v>98.4</v>
      </c>
      <c r="N5" s="731">
        <v>100.8</v>
      </c>
      <c r="O5" s="731">
        <v>106.6</v>
      </c>
      <c r="P5" s="731">
        <v>105.5</v>
      </c>
      <c r="Q5" s="731">
        <v>109.8</v>
      </c>
      <c r="R5" s="731">
        <v>112.5</v>
      </c>
      <c r="S5" s="731">
        <v>114.5</v>
      </c>
      <c r="T5" s="731">
        <v>116.8</v>
      </c>
      <c r="U5" s="731">
        <v>119.1</v>
      </c>
      <c r="V5" s="125"/>
      <c r="W5" s="728"/>
      <c r="X5" s="125"/>
      <c r="Y5" s="125"/>
      <c r="Z5" s="125"/>
      <c r="AA5" s="125"/>
    </row>
    <row r="6" spans="1:27">
      <c r="A6" s="125"/>
      <c r="B6" s="729">
        <v>44866</v>
      </c>
      <c r="C6" s="731">
        <v>83.924999999999997</v>
      </c>
      <c r="D6" s="731">
        <v>85.025000000000006</v>
      </c>
      <c r="E6" s="731">
        <v>86.45</v>
      </c>
      <c r="F6" s="731">
        <v>88</v>
      </c>
      <c r="G6" s="731">
        <v>89.5</v>
      </c>
      <c r="H6" s="731">
        <v>91.375</v>
      </c>
      <c r="I6" s="731">
        <v>92.4</v>
      </c>
      <c r="J6" s="731">
        <v>93.1</v>
      </c>
      <c r="K6" s="731">
        <v>95</v>
      </c>
      <c r="L6" s="731">
        <v>96.6</v>
      </c>
      <c r="M6" s="731">
        <v>98.35</v>
      </c>
      <c r="N6" s="731">
        <v>100.9</v>
      </c>
      <c r="O6" s="731">
        <v>107.35</v>
      </c>
      <c r="P6" s="731">
        <v>106.85</v>
      </c>
      <c r="Q6" s="731">
        <v>112.04222179999999</v>
      </c>
      <c r="R6" s="731">
        <v>115.6640197</v>
      </c>
      <c r="S6" s="731">
        <v>117.1854201</v>
      </c>
      <c r="T6" s="731">
        <v>117.8087721</v>
      </c>
      <c r="U6" s="731">
        <v>119.2410525</v>
      </c>
      <c r="V6" s="125">
        <v>121.3835541</v>
      </c>
      <c r="W6" s="728"/>
      <c r="X6" s="125"/>
      <c r="Y6" s="125"/>
      <c r="Z6" s="125"/>
      <c r="AA6" s="125"/>
    </row>
    <row r="7" spans="1:27">
      <c r="A7" s="125"/>
      <c r="B7" s="729">
        <v>44986</v>
      </c>
      <c r="C7" s="732">
        <v>83.924999999999997</v>
      </c>
      <c r="D7" s="732">
        <v>85.025000000000006</v>
      </c>
      <c r="E7" s="732">
        <v>86.45</v>
      </c>
      <c r="F7" s="732">
        <v>88</v>
      </c>
      <c r="G7" s="732">
        <v>89.5</v>
      </c>
      <c r="H7" s="732">
        <v>91.375</v>
      </c>
      <c r="I7" s="732">
        <v>92.399999999999991</v>
      </c>
      <c r="J7" s="732">
        <v>93.1</v>
      </c>
      <c r="K7" s="732">
        <v>95.000000000000014</v>
      </c>
      <c r="L7" s="732">
        <v>96.6</v>
      </c>
      <c r="M7" s="732">
        <v>98.35</v>
      </c>
      <c r="N7" s="732">
        <v>100.9</v>
      </c>
      <c r="O7" s="732">
        <v>107.22500000000001</v>
      </c>
      <c r="P7" s="732">
        <v>106.42500000000001</v>
      </c>
      <c r="Q7" s="732">
        <v>112.47365648063044</v>
      </c>
      <c r="R7" s="732">
        <v>115.31321736598225</v>
      </c>
      <c r="S7" s="732">
        <v>117.12306758083731</v>
      </c>
      <c r="T7" s="732">
        <v>118.25174249496325</v>
      </c>
      <c r="U7" s="732">
        <v>119.66754754478164</v>
      </c>
      <c r="V7" s="125">
        <v>121.64475424934196</v>
      </c>
      <c r="W7" s="733"/>
      <c r="X7" s="125"/>
      <c r="Y7" s="125"/>
      <c r="Z7" s="125"/>
      <c r="AA7" s="125"/>
    </row>
    <row r="8" spans="1:27">
      <c r="A8" s="125"/>
      <c r="B8" s="734" t="s">
        <v>1523</v>
      </c>
      <c r="C8" s="731"/>
      <c r="D8" s="731"/>
      <c r="E8" s="731"/>
      <c r="F8" s="731"/>
      <c r="G8" s="731"/>
      <c r="H8" s="731"/>
      <c r="I8" s="731"/>
      <c r="J8" s="731"/>
      <c r="K8" s="731"/>
      <c r="L8" s="731"/>
      <c r="M8" s="731"/>
      <c r="N8" s="731"/>
      <c r="O8" s="731"/>
      <c r="P8" s="731"/>
      <c r="Q8" s="731"/>
      <c r="R8" s="731"/>
      <c r="S8" s="731"/>
      <c r="T8" s="731"/>
      <c r="U8" s="731"/>
      <c r="V8" s="125"/>
      <c r="W8" s="728"/>
      <c r="X8" s="125"/>
      <c r="Y8" s="125"/>
      <c r="Z8" s="125"/>
      <c r="AA8" s="125"/>
    </row>
    <row r="9" spans="1:27">
      <c r="A9" s="125"/>
      <c r="B9" s="735">
        <v>44470</v>
      </c>
      <c r="C9" s="731"/>
      <c r="D9" s="736">
        <f>D4/C4-1</f>
        <v>1.6568047337278236E-2</v>
      </c>
      <c r="E9" s="736">
        <f>E4/D4-1</f>
        <v>1.7462165308498312E-2</v>
      </c>
      <c r="F9" s="736">
        <f t="shared" ref="F9:U9" si="0">F4/E4-1</f>
        <v>1.6018306636155444E-2</v>
      </c>
      <c r="G9" s="736">
        <f t="shared" si="0"/>
        <v>2.0270270270270174E-2</v>
      </c>
      <c r="H9" s="736">
        <f t="shared" si="0"/>
        <v>1.7660044150110465E-2</v>
      </c>
      <c r="I9" s="736">
        <f t="shared" si="0"/>
        <v>1.4099783080260275E-2</v>
      </c>
      <c r="J9" s="736">
        <f t="shared" si="0"/>
        <v>7.4866310160428551E-3</v>
      </c>
      <c r="K9" s="736">
        <f t="shared" si="0"/>
        <v>2.5477707006369421E-2</v>
      </c>
      <c r="L9" s="736">
        <f t="shared" si="0"/>
        <v>1.7598343685300222E-2</v>
      </c>
      <c r="M9" s="736">
        <f t="shared" si="0"/>
        <v>2.3397761953204421E-2</v>
      </c>
      <c r="N9" s="736">
        <f t="shared" si="0"/>
        <v>2.1868787276341894E-2</v>
      </c>
      <c r="O9" s="736">
        <f t="shared" si="0"/>
        <v>6.3229571984435795E-2</v>
      </c>
      <c r="P9" s="736">
        <f t="shared" si="0"/>
        <v>-7.3193046660566807E-3</v>
      </c>
      <c r="Q9" s="736" t="e">
        <f t="shared" si="0"/>
        <v>#VALUE!</v>
      </c>
      <c r="R9" s="736" t="e">
        <f t="shared" si="0"/>
        <v>#VALUE!</v>
      </c>
      <c r="S9" s="736">
        <f t="shared" si="0"/>
        <v>1.9315188762071944E-2</v>
      </c>
      <c r="T9" s="736">
        <f t="shared" si="0"/>
        <v>1.9810508182601216E-2</v>
      </c>
      <c r="U9" s="736">
        <f t="shared" si="0"/>
        <v>2.0270270270270174E-2</v>
      </c>
      <c r="V9" s="125"/>
      <c r="W9" s="728"/>
      <c r="X9" s="125"/>
      <c r="Y9" s="125"/>
      <c r="Z9" s="125"/>
      <c r="AA9" s="125"/>
    </row>
    <row r="10" spans="1:27">
      <c r="A10" s="125"/>
      <c r="B10" s="735">
        <v>44621</v>
      </c>
      <c r="C10" s="731"/>
      <c r="D10" s="736">
        <f t="shared" ref="D10:U12" si="1">D5/C5-1</f>
        <v>1.5587529976019088E-2</v>
      </c>
      <c r="E10" s="736">
        <f t="shared" si="1"/>
        <v>1.6528925619834656E-2</v>
      </c>
      <c r="F10" s="736">
        <f t="shared" si="1"/>
        <v>1.5098722415795685E-2</v>
      </c>
      <c r="G10" s="736">
        <f t="shared" si="1"/>
        <v>2.0594965675057253E-2</v>
      </c>
      <c r="H10" s="736">
        <f t="shared" si="1"/>
        <v>2.3542600896860888E-2</v>
      </c>
      <c r="I10" s="736">
        <f t="shared" si="1"/>
        <v>1.0952902519167473E-2</v>
      </c>
      <c r="J10" s="736">
        <f t="shared" si="1"/>
        <v>6.50054171180936E-3</v>
      </c>
      <c r="K10" s="736">
        <f t="shared" si="1"/>
        <v>2.152852529601712E-2</v>
      </c>
      <c r="L10" s="736">
        <f t="shared" si="1"/>
        <v>1.7913593256058791E-2</v>
      </c>
      <c r="M10" s="736">
        <f t="shared" si="1"/>
        <v>1.8633540372670954E-2</v>
      </c>
      <c r="N10" s="736">
        <f t="shared" si="1"/>
        <v>2.4390243902439046E-2</v>
      </c>
      <c r="O10" s="736">
        <f t="shared" si="1"/>
        <v>5.7539682539682557E-2</v>
      </c>
      <c r="P10" s="736">
        <f t="shared" si="1"/>
        <v>-1.0318949343339545E-2</v>
      </c>
      <c r="Q10" s="736">
        <f t="shared" si="1"/>
        <v>4.0758293838862425E-2</v>
      </c>
      <c r="R10" s="736">
        <f t="shared" si="1"/>
        <v>2.4590163934426146E-2</v>
      </c>
      <c r="S10" s="736">
        <f t="shared" si="1"/>
        <v>1.777777777777767E-2</v>
      </c>
      <c r="T10" s="736">
        <f t="shared" si="1"/>
        <v>2.0087336244541509E-2</v>
      </c>
      <c r="U10" s="736">
        <f t="shared" si="1"/>
        <v>1.9691780821917693E-2</v>
      </c>
      <c r="V10" s="125"/>
      <c r="W10" s="728"/>
      <c r="X10" s="125"/>
      <c r="Y10" s="125"/>
      <c r="Z10" s="125"/>
      <c r="AA10" s="125"/>
    </row>
    <row r="11" spans="1:27">
      <c r="A11" s="125"/>
      <c r="B11" s="735">
        <v>44866</v>
      </c>
      <c r="C11" s="731"/>
      <c r="D11" s="736">
        <f t="shared" si="1"/>
        <v>1.3106940720881921E-2</v>
      </c>
      <c r="E11" s="736">
        <f t="shared" si="1"/>
        <v>1.6759776536312776E-2</v>
      </c>
      <c r="F11" s="736">
        <f t="shared" si="1"/>
        <v>1.7929438982070556E-2</v>
      </c>
      <c r="G11" s="736">
        <f t="shared" si="1"/>
        <v>1.7045454545454586E-2</v>
      </c>
      <c r="H11" s="736">
        <f t="shared" si="1"/>
        <v>2.0949720670391025E-2</v>
      </c>
      <c r="I11" s="736">
        <f t="shared" si="1"/>
        <v>1.1217510259917907E-2</v>
      </c>
      <c r="J11" s="736">
        <f t="shared" si="1"/>
        <v>7.575757575757347E-3</v>
      </c>
      <c r="K11" s="736">
        <f t="shared" si="1"/>
        <v>2.0408163265306145E-2</v>
      </c>
      <c r="L11" s="736">
        <f t="shared" si="1"/>
        <v>1.6842105263157769E-2</v>
      </c>
      <c r="M11" s="736">
        <f t="shared" si="1"/>
        <v>1.8115942028985588E-2</v>
      </c>
      <c r="N11" s="736">
        <f t="shared" si="1"/>
        <v>2.5927808845958467E-2</v>
      </c>
      <c r="O11" s="736">
        <f t="shared" si="1"/>
        <v>6.3924677898909765E-2</v>
      </c>
      <c r="P11" s="736">
        <f t="shared" si="1"/>
        <v>-4.6576618537493841E-3</v>
      </c>
      <c r="Q11" s="736">
        <f t="shared" si="1"/>
        <v>4.8593559195133418E-2</v>
      </c>
      <c r="R11" s="736">
        <f t="shared" si="1"/>
        <v>3.2325295248652353E-2</v>
      </c>
      <c r="S11" s="736">
        <f t="shared" si="1"/>
        <v>1.3153618592420369E-2</v>
      </c>
      <c r="T11" s="736">
        <f t="shared" si="1"/>
        <v>5.3193648106399927E-3</v>
      </c>
      <c r="U11" s="736">
        <f t="shared" si="1"/>
        <v>1.215767191584205E-2</v>
      </c>
      <c r="V11" s="125"/>
      <c r="W11" s="728"/>
      <c r="X11" s="125"/>
      <c r="Y11" s="125"/>
      <c r="Z11" s="125"/>
      <c r="AA11" s="125"/>
    </row>
    <row r="12" spans="1:27" ht="15" thickBot="1">
      <c r="A12" s="125"/>
      <c r="B12" s="737">
        <v>44986</v>
      </c>
      <c r="C12" s="738"/>
      <c r="D12" s="739">
        <f>D7/C7-1</f>
        <v>1.3106940720881921E-2</v>
      </c>
      <c r="E12" s="739">
        <f t="shared" si="1"/>
        <v>1.6759776536312776E-2</v>
      </c>
      <c r="F12" s="739">
        <f t="shared" si="1"/>
        <v>1.7929438982070556E-2</v>
      </c>
      <c r="G12" s="739">
        <f t="shared" si="1"/>
        <v>1.7045454545454586E-2</v>
      </c>
      <c r="H12" s="739">
        <f t="shared" si="1"/>
        <v>2.0949720670391025E-2</v>
      </c>
      <c r="I12" s="739">
        <f t="shared" si="1"/>
        <v>1.1217510259917907E-2</v>
      </c>
      <c r="J12" s="739">
        <f t="shared" si="1"/>
        <v>7.575757575757569E-3</v>
      </c>
      <c r="K12" s="739">
        <f t="shared" si="1"/>
        <v>2.0408163265306367E-2</v>
      </c>
      <c r="L12" s="739">
        <f t="shared" si="1"/>
        <v>1.6842105263157769E-2</v>
      </c>
      <c r="M12" s="739">
        <f t="shared" si="1"/>
        <v>1.8115942028985588E-2</v>
      </c>
      <c r="N12" s="739">
        <f t="shared" si="1"/>
        <v>2.5927808845958467E-2</v>
      </c>
      <c r="O12" s="739">
        <f t="shared" si="1"/>
        <v>6.268582755203167E-2</v>
      </c>
      <c r="P12" s="739">
        <f t="shared" si="1"/>
        <v>-7.4609466076007713E-3</v>
      </c>
      <c r="Q12" s="739">
        <f t="shared" si="1"/>
        <v>5.683492112408195E-2</v>
      </c>
      <c r="R12" s="739">
        <f t="shared" si="1"/>
        <v>2.5246453029121874E-2</v>
      </c>
      <c r="S12" s="739">
        <f t="shared" si="1"/>
        <v>1.5695080374966475E-2</v>
      </c>
      <c r="T12" s="739">
        <f t="shared" si="1"/>
        <v>9.6366577262581021E-3</v>
      </c>
      <c r="U12" s="739">
        <f t="shared" si="1"/>
        <v>1.1972804966309036E-2</v>
      </c>
      <c r="V12" s="740"/>
      <c r="W12" s="741"/>
      <c r="X12" s="125"/>
      <c r="Y12" s="125"/>
      <c r="Z12" s="125">
        <v>2.0408163E-2</v>
      </c>
      <c r="AA12" s="125"/>
    </row>
    <row r="13" spans="1:27" ht="15" thickBot="1">
      <c r="A13" s="125"/>
      <c r="B13" s="125"/>
      <c r="C13" s="731"/>
      <c r="D13" s="731"/>
      <c r="E13" s="731"/>
      <c r="F13" s="731"/>
      <c r="G13" s="731"/>
      <c r="H13" s="731"/>
      <c r="I13" s="731"/>
      <c r="J13" s="731"/>
      <c r="K13" s="731"/>
      <c r="L13" s="731"/>
      <c r="M13" s="731"/>
      <c r="N13" s="731"/>
      <c r="O13" s="731"/>
      <c r="P13" s="731"/>
      <c r="Q13" s="731"/>
      <c r="R13" s="731"/>
      <c r="S13" s="731"/>
      <c r="T13" s="731"/>
      <c r="U13" s="731"/>
      <c r="V13" s="125"/>
      <c r="W13" s="125"/>
      <c r="X13" s="125"/>
      <c r="Y13" s="125"/>
      <c r="Z13" s="125">
        <v>1.6842105E-2</v>
      </c>
      <c r="AA13" s="125"/>
    </row>
    <row r="14" spans="1:27">
      <c r="A14" s="125"/>
      <c r="B14" s="1057" t="s">
        <v>1411</v>
      </c>
      <c r="C14" s="1060" t="s">
        <v>324</v>
      </c>
      <c r="D14" s="1060" t="s">
        <v>325</v>
      </c>
      <c r="E14" s="1060" t="s">
        <v>188</v>
      </c>
      <c r="F14" s="1060" t="s">
        <v>189</v>
      </c>
      <c r="G14" s="1060" t="s">
        <v>681</v>
      </c>
      <c r="H14" s="1060" t="s">
        <v>245</v>
      </c>
      <c r="I14" s="1060" t="s">
        <v>192</v>
      </c>
      <c r="J14" s="1060" t="s">
        <v>193</v>
      </c>
      <c r="K14" s="1060" t="s">
        <v>165</v>
      </c>
      <c r="L14" s="1060" t="s">
        <v>167</v>
      </c>
      <c r="M14" s="1060" t="s">
        <v>168</v>
      </c>
      <c r="N14" s="1060" t="s">
        <v>169</v>
      </c>
      <c r="O14" s="1060" t="s">
        <v>170</v>
      </c>
      <c r="P14" s="1060" t="s">
        <v>171</v>
      </c>
      <c r="Q14" s="1060" t="s">
        <v>172</v>
      </c>
      <c r="R14" s="1060" t="s">
        <v>173</v>
      </c>
      <c r="S14" s="1060" t="s">
        <v>174</v>
      </c>
      <c r="T14" s="1060" t="s">
        <v>139</v>
      </c>
      <c r="U14" s="1060" t="s">
        <v>328</v>
      </c>
      <c r="V14" s="1058" t="s">
        <v>330</v>
      </c>
      <c r="W14" s="1059"/>
      <c r="X14" s="125"/>
      <c r="Y14" s="125"/>
      <c r="Z14" s="125">
        <v>1.8115941999999999E-2</v>
      </c>
      <c r="AA14" s="125"/>
    </row>
    <row r="15" spans="1:27">
      <c r="A15" s="125"/>
      <c r="B15" s="729">
        <v>44470</v>
      </c>
      <c r="C15" s="731">
        <v>85.4</v>
      </c>
      <c r="D15" s="731">
        <v>87.3</v>
      </c>
      <c r="E15" s="731">
        <v>90.3</v>
      </c>
      <c r="F15" s="731">
        <v>94.2</v>
      </c>
      <c r="G15" s="731">
        <v>96.7</v>
      </c>
      <c r="H15" s="731">
        <v>98.9</v>
      </c>
      <c r="I15" s="731">
        <v>100</v>
      </c>
      <c r="J15" s="731">
        <v>100.1</v>
      </c>
      <c r="K15" s="731">
        <v>101.2</v>
      </c>
      <c r="L15" s="731">
        <v>104.1</v>
      </c>
      <c r="M15" s="731">
        <v>106.4</v>
      </c>
      <c r="N15" s="731">
        <v>108.3</v>
      </c>
      <c r="O15" s="731">
        <v>108.9</v>
      </c>
      <c r="P15" s="731">
        <v>112.5</v>
      </c>
      <c r="Q15" s="731">
        <v>116.6</v>
      </c>
      <c r="R15" s="731">
        <v>119.3</v>
      </c>
      <c r="S15" s="731">
        <v>121.8</v>
      </c>
      <c r="T15" s="731">
        <v>124.2</v>
      </c>
      <c r="U15" s="731">
        <v>126.7</v>
      </c>
      <c r="V15" s="125"/>
      <c r="W15" s="728"/>
      <c r="X15" s="125"/>
      <c r="Y15" s="125"/>
      <c r="Z15" s="125">
        <v>2.5927809E-2</v>
      </c>
      <c r="AA15" s="125"/>
    </row>
    <row r="16" spans="1:27">
      <c r="A16" s="125"/>
      <c r="B16" s="729">
        <v>44621</v>
      </c>
      <c r="C16" s="731">
        <v>85.4</v>
      </c>
      <c r="D16" s="731">
        <v>87.3</v>
      </c>
      <c r="E16" s="731">
        <v>90.3</v>
      </c>
      <c r="F16" s="731">
        <v>94.2</v>
      </c>
      <c r="G16" s="731">
        <v>96.7</v>
      </c>
      <c r="H16" s="731">
        <v>98.9</v>
      </c>
      <c r="I16" s="731">
        <v>100</v>
      </c>
      <c r="J16" s="731">
        <v>100.1</v>
      </c>
      <c r="K16" s="731">
        <v>101.2</v>
      </c>
      <c r="L16" s="731">
        <v>104.1</v>
      </c>
      <c r="M16" s="731">
        <v>106.4</v>
      </c>
      <c r="N16" s="731">
        <v>108.3</v>
      </c>
      <c r="O16" s="731">
        <v>108.9</v>
      </c>
      <c r="P16" s="731">
        <v>113.1</v>
      </c>
      <c r="Q16" s="731">
        <v>122.2</v>
      </c>
      <c r="R16" s="731">
        <v>125.1</v>
      </c>
      <c r="S16" s="731">
        <v>127.1</v>
      </c>
      <c r="T16" s="731">
        <v>129.6</v>
      </c>
      <c r="U16" s="731">
        <v>132.19999999999999</v>
      </c>
      <c r="V16" s="125"/>
      <c r="W16" s="728"/>
      <c r="X16" s="125"/>
      <c r="Y16" s="125"/>
      <c r="Z16" s="125">
        <v>6.3924677999999999E-2</v>
      </c>
      <c r="AA16" s="125"/>
    </row>
    <row r="17" spans="1:27">
      <c r="A17" s="125"/>
      <c r="B17" s="729">
        <v>44866</v>
      </c>
      <c r="C17" s="731">
        <v>85.356499999999997</v>
      </c>
      <c r="D17" s="731">
        <v>87.267416670000003</v>
      </c>
      <c r="E17" s="731">
        <v>90.331583330000001</v>
      </c>
      <c r="F17" s="731">
        <v>94.216333329999998</v>
      </c>
      <c r="G17" s="731">
        <v>96.716666669999995</v>
      </c>
      <c r="H17" s="731">
        <v>98.945333329999997</v>
      </c>
      <c r="I17" s="731">
        <v>99.984999999999999</v>
      </c>
      <c r="J17" s="731">
        <v>100.08633330000001</v>
      </c>
      <c r="K17" s="731">
        <v>101.19475</v>
      </c>
      <c r="L17" s="731">
        <v>104.0534167</v>
      </c>
      <c r="M17" s="731">
        <v>106.4129167</v>
      </c>
      <c r="N17" s="731">
        <v>108.26375</v>
      </c>
      <c r="O17" s="731">
        <v>108.9015</v>
      </c>
      <c r="P17" s="731">
        <v>113.2476667</v>
      </c>
      <c r="Q17" s="731">
        <v>124.71434790000001</v>
      </c>
      <c r="R17" s="731">
        <v>131.51889969999999</v>
      </c>
      <c r="S17" s="731">
        <v>131.5032138</v>
      </c>
      <c r="T17" s="731">
        <v>130.1774618</v>
      </c>
      <c r="U17" s="731">
        <v>131.2235039</v>
      </c>
      <c r="V17" s="125">
        <v>133.63998140000001</v>
      </c>
      <c r="W17" s="728"/>
      <c r="X17" s="125"/>
      <c r="Y17" s="125"/>
      <c r="Z17" s="125">
        <v>4.8593559000000001E-2</v>
      </c>
      <c r="AA17" s="125"/>
    </row>
    <row r="18" spans="1:27">
      <c r="A18" s="125"/>
      <c r="B18" s="729">
        <v>44986</v>
      </c>
      <c r="C18" s="732">
        <v>85.356499999999997</v>
      </c>
      <c r="D18" s="732">
        <v>87.267416666666676</v>
      </c>
      <c r="E18" s="732">
        <v>90.331583333333327</v>
      </c>
      <c r="F18" s="732">
        <v>94.216333333333324</v>
      </c>
      <c r="G18" s="732">
        <v>96.716666666666669</v>
      </c>
      <c r="H18" s="732">
        <v>98.945333333333323</v>
      </c>
      <c r="I18" s="732">
        <v>99.985000000000014</v>
      </c>
      <c r="J18" s="732">
        <v>100.08633333333333</v>
      </c>
      <c r="K18" s="732">
        <v>101.19475</v>
      </c>
      <c r="L18" s="732">
        <v>104.05341666666666</v>
      </c>
      <c r="M18" s="732">
        <v>106.41291666666667</v>
      </c>
      <c r="N18" s="732">
        <v>108.26375</v>
      </c>
      <c r="O18" s="732">
        <v>108.9015</v>
      </c>
      <c r="P18" s="732">
        <v>113.24766666666667</v>
      </c>
      <c r="Q18" s="732">
        <v>124.46191398696955</v>
      </c>
      <c r="R18" s="732">
        <v>129.60983640072018</v>
      </c>
      <c r="S18" s="732">
        <v>130.3993653450795</v>
      </c>
      <c r="T18" s="732">
        <v>130.37038882042992</v>
      </c>
      <c r="U18" s="732">
        <v>131.46529343265235</v>
      </c>
      <c r="V18" s="125">
        <v>133.74820795115136</v>
      </c>
      <c r="W18" s="733"/>
      <c r="X18" s="125"/>
      <c r="Y18" s="125"/>
      <c r="Z18" s="125">
        <v>-4.6576619999999999E-3</v>
      </c>
      <c r="AA18" s="125"/>
    </row>
    <row r="20" spans="1:27">
      <c r="A20" s="125"/>
      <c r="B20" s="734" t="s">
        <v>1523</v>
      </c>
      <c r="C20" s="731"/>
      <c r="D20" s="731"/>
      <c r="E20" s="731"/>
      <c r="F20" s="731"/>
      <c r="G20" s="731"/>
      <c r="H20" s="731"/>
      <c r="I20" s="731"/>
      <c r="J20" s="731"/>
      <c r="K20" s="731"/>
      <c r="L20" s="731"/>
      <c r="M20" s="731"/>
      <c r="N20" s="731"/>
      <c r="O20" s="731"/>
      <c r="P20" s="731"/>
      <c r="Q20" s="731"/>
      <c r="R20" s="731"/>
      <c r="S20" s="731"/>
      <c r="T20" s="731"/>
      <c r="U20" s="731"/>
      <c r="V20" s="125"/>
      <c r="W20" s="728"/>
      <c r="X20" s="125"/>
      <c r="Y20" s="125"/>
      <c r="Z20" s="125">
        <v>3.2325294999999997E-2</v>
      </c>
      <c r="AA20" s="125"/>
    </row>
    <row r="21" spans="1:27">
      <c r="A21" s="125"/>
      <c r="B21" s="735">
        <v>44470</v>
      </c>
      <c r="C21" s="731"/>
      <c r="D21" s="736">
        <f>D15/C15-1</f>
        <v>2.2248243559718883E-2</v>
      </c>
      <c r="E21" s="736">
        <f t="shared" ref="E21:U24" si="2">E15/D15-1</f>
        <v>3.436426116838498E-2</v>
      </c>
      <c r="F21" s="736">
        <f t="shared" si="2"/>
        <v>4.3189368770764291E-2</v>
      </c>
      <c r="G21" s="736">
        <f t="shared" si="2"/>
        <v>2.6539278131634925E-2</v>
      </c>
      <c r="H21" s="736">
        <f t="shared" si="2"/>
        <v>2.2750775594622574E-2</v>
      </c>
      <c r="I21" s="736">
        <f t="shared" si="2"/>
        <v>1.1122345803842304E-2</v>
      </c>
      <c r="J21" s="736">
        <f t="shared" si="2"/>
        <v>9.9999999999988987E-4</v>
      </c>
      <c r="K21" s="736">
        <f t="shared" si="2"/>
        <v>1.0989010989011172E-2</v>
      </c>
      <c r="L21" s="736">
        <f t="shared" si="2"/>
        <v>2.8656126482213384E-2</v>
      </c>
      <c r="M21" s="736">
        <f t="shared" si="2"/>
        <v>2.2094140249759864E-2</v>
      </c>
      <c r="N21" s="736">
        <f t="shared" si="2"/>
        <v>1.7857142857142794E-2</v>
      </c>
      <c r="O21" s="736">
        <f t="shared" si="2"/>
        <v>5.5401662049863187E-3</v>
      </c>
      <c r="P21" s="736">
        <f t="shared" si="2"/>
        <v>3.3057851239669311E-2</v>
      </c>
      <c r="Q21" s="736">
        <f t="shared" si="2"/>
        <v>3.6444444444444501E-2</v>
      </c>
      <c r="R21" s="736">
        <f t="shared" si="2"/>
        <v>2.3156089193825169E-2</v>
      </c>
      <c r="S21" s="736">
        <f t="shared" si="2"/>
        <v>2.0955574182732528E-2</v>
      </c>
      <c r="T21" s="736">
        <f t="shared" si="2"/>
        <v>1.9704433497536922E-2</v>
      </c>
      <c r="U21" s="736">
        <f t="shared" si="2"/>
        <v>2.0128824476650653E-2</v>
      </c>
      <c r="V21" s="125"/>
      <c r="W21" s="728"/>
      <c r="X21" s="125"/>
      <c r="Y21" s="125"/>
      <c r="Z21" s="125">
        <v>1.3153619E-2</v>
      </c>
      <c r="AA21" s="125"/>
    </row>
    <row r="22" spans="1:27">
      <c r="A22" s="125"/>
      <c r="B22" s="735">
        <v>44621</v>
      </c>
      <c r="C22" s="731"/>
      <c r="D22" s="736">
        <f t="shared" ref="D22:S23" si="3">D16/C16-1</f>
        <v>2.2248243559718883E-2</v>
      </c>
      <c r="E22" s="736">
        <f t="shared" si="3"/>
        <v>3.436426116838498E-2</v>
      </c>
      <c r="F22" s="736">
        <f t="shared" si="3"/>
        <v>4.3189368770764291E-2</v>
      </c>
      <c r="G22" s="736">
        <f t="shared" si="3"/>
        <v>2.6539278131634925E-2</v>
      </c>
      <c r="H22" s="736">
        <f t="shared" si="3"/>
        <v>2.2750775594622574E-2</v>
      </c>
      <c r="I22" s="736">
        <f t="shared" si="3"/>
        <v>1.1122345803842304E-2</v>
      </c>
      <c r="J22" s="736">
        <f t="shared" si="3"/>
        <v>9.9999999999988987E-4</v>
      </c>
      <c r="K22" s="736">
        <f t="shared" si="3"/>
        <v>1.0989010989011172E-2</v>
      </c>
      <c r="L22" s="736">
        <f t="shared" si="3"/>
        <v>2.8656126482213384E-2</v>
      </c>
      <c r="M22" s="736">
        <f t="shared" si="3"/>
        <v>2.2094140249759864E-2</v>
      </c>
      <c r="N22" s="736">
        <f t="shared" si="3"/>
        <v>1.7857142857142794E-2</v>
      </c>
      <c r="O22" s="736">
        <f t="shared" si="3"/>
        <v>5.5401662049863187E-3</v>
      </c>
      <c r="P22" s="736">
        <f t="shared" si="3"/>
        <v>3.8567493112947604E-2</v>
      </c>
      <c r="Q22" s="736">
        <f t="shared" si="3"/>
        <v>8.0459770114942541E-2</v>
      </c>
      <c r="R22" s="736">
        <f t="shared" si="3"/>
        <v>2.3731587561374834E-2</v>
      </c>
      <c r="S22" s="736">
        <f t="shared" si="3"/>
        <v>1.5987210231814597E-2</v>
      </c>
      <c r="T22" s="736">
        <f t="shared" si="2"/>
        <v>1.9669551534225116E-2</v>
      </c>
      <c r="U22" s="736">
        <f t="shared" si="2"/>
        <v>2.0061728395061706E-2</v>
      </c>
      <c r="V22" s="125"/>
      <c r="W22" s="728"/>
      <c r="X22" s="125"/>
      <c r="Y22" s="125"/>
      <c r="Z22" s="125">
        <v>5.319364E-3</v>
      </c>
      <c r="AA22" s="125"/>
    </row>
    <row r="23" spans="1:27">
      <c r="A23" s="125"/>
      <c r="B23" s="735">
        <v>44866</v>
      </c>
      <c r="C23" s="732"/>
      <c r="D23" s="736">
        <f t="shared" si="3"/>
        <v>2.2387476876394974E-2</v>
      </c>
      <c r="E23" s="736">
        <f t="shared" si="2"/>
        <v>3.5112379590507281E-2</v>
      </c>
      <c r="F23" s="736">
        <f t="shared" si="2"/>
        <v>4.3005445679040077E-2</v>
      </c>
      <c r="G23" s="736">
        <f t="shared" si="2"/>
        <v>2.6538215313924196E-2</v>
      </c>
      <c r="H23" s="736">
        <f t="shared" si="2"/>
        <v>2.3043253419850362E-2</v>
      </c>
      <c r="I23" s="736">
        <f t="shared" si="2"/>
        <v>1.0507485648995063E-2</v>
      </c>
      <c r="J23" s="736">
        <f t="shared" si="2"/>
        <v>1.0134850227534464E-3</v>
      </c>
      <c r="K23" s="736">
        <f t="shared" si="2"/>
        <v>1.1074605927240855E-2</v>
      </c>
      <c r="L23" s="736">
        <f t="shared" si="2"/>
        <v>2.8249160159000253E-2</v>
      </c>
      <c r="M23" s="736">
        <f t="shared" si="2"/>
        <v>2.2675853180321281E-2</v>
      </c>
      <c r="N23" s="736">
        <f t="shared" si="2"/>
        <v>1.7392938351815657E-2</v>
      </c>
      <c r="O23" s="736">
        <f t="shared" si="2"/>
        <v>5.890706723164385E-3</v>
      </c>
      <c r="P23" s="736">
        <f t="shared" si="2"/>
        <v>3.9909153684751786E-2</v>
      </c>
      <c r="Q23" s="736">
        <f t="shared" si="2"/>
        <v>0.1012531342511096</v>
      </c>
      <c r="R23" s="736">
        <f t="shared" si="2"/>
        <v>5.4561098338549607E-2</v>
      </c>
      <c r="S23" s="736">
        <f t="shared" si="2"/>
        <v>-1.1926726908284557E-4</v>
      </c>
      <c r="T23" s="736">
        <f t="shared" si="2"/>
        <v>-1.0081517870858203E-2</v>
      </c>
      <c r="U23" s="736">
        <f t="shared" si="2"/>
        <v>8.0355084938366073E-3</v>
      </c>
      <c r="V23" s="125"/>
      <c r="W23" s="728"/>
      <c r="X23" s="125"/>
      <c r="Y23" s="125"/>
      <c r="Z23" s="125">
        <v>1.2157672E-2</v>
      </c>
      <c r="AA23" s="125"/>
    </row>
    <row r="24" spans="1:27" ht="15" thickBot="1">
      <c r="A24" s="125"/>
      <c r="B24" s="742"/>
      <c r="C24" s="740"/>
      <c r="D24" s="736">
        <f>D18/C18-1</f>
        <v>2.2387476837343101E-2</v>
      </c>
      <c r="E24" s="736">
        <f t="shared" si="2"/>
        <v>3.5112379668241767E-2</v>
      </c>
      <c r="F24" s="736">
        <f t="shared" si="2"/>
        <v>4.3005445677453125E-2</v>
      </c>
      <c r="G24" s="736">
        <f t="shared" si="2"/>
        <v>2.6538215242226437E-2</v>
      </c>
      <c r="H24" s="736">
        <f t="shared" si="2"/>
        <v>2.3043253489574145E-2</v>
      </c>
      <c r="I24" s="736">
        <f t="shared" si="2"/>
        <v>1.0507485614952516E-2</v>
      </c>
      <c r="J24" s="736">
        <f t="shared" si="2"/>
        <v>1.0134853561365453E-3</v>
      </c>
      <c r="K24" s="736">
        <f t="shared" si="2"/>
        <v>1.1074605590506881E-2</v>
      </c>
      <c r="L24" s="736">
        <f t="shared" si="2"/>
        <v>2.824915982960241E-2</v>
      </c>
      <c r="M24" s="736">
        <f t="shared" si="2"/>
        <v>2.2675853187585693E-2</v>
      </c>
      <c r="N24" s="736">
        <f t="shared" si="2"/>
        <v>1.7392938670509173E-2</v>
      </c>
      <c r="O24" s="736">
        <f t="shared" si="2"/>
        <v>5.890706723164385E-3</v>
      </c>
      <c r="P24" s="736">
        <f t="shared" si="2"/>
        <v>3.9909153378664852E-2</v>
      </c>
      <c r="Q24" s="736">
        <f t="shared" si="2"/>
        <v>9.9024091624871247E-2</v>
      </c>
      <c r="R24" s="736">
        <f t="shared" si="2"/>
        <v>4.1361427354311697E-2</v>
      </c>
      <c r="S24" s="736">
        <f t="shared" si="2"/>
        <v>6.0915819839344465E-3</v>
      </c>
      <c r="T24" s="736">
        <f t="shared" si="2"/>
        <v>-2.2221369385422296E-4</v>
      </c>
      <c r="U24" s="736">
        <f t="shared" si="2"/>
        <v>8.398414871114035E-3</v>
      </c>
      <c r="V24" s="740"/>
      <c r="W24" s="741"/>
      <c r="X24" s="125"/>
      <c r="Y24" s="125"/>
      <c r="Z24" s="125"/>
      <c r="AA24" s="125"/>
    </row>
    <row r="25" spans="1:27" ht="15" thickBo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row>
    <row r="26" spans="1:27">
      <c r="A26" s="125"/>
      <c r="B26" s="1057" t="s">
        <v>1524</v>
      </c>
      <c r="C26" s="1060" t="s">
        <v>324</v>
      </c>
      <c r="D26" s="1060" t="s">
        <v>325</v>
      </c>
      <c r="E26" s="1060" t="s">
        <v>188</v>
      </c>
      <c r="F26" s="1060" t="s">
        <v>189</v>
      </c>
      <c r="G26" s="1060" t="s">
        <v>681</v>
      </c>
      <c r="H26" s="1060" t="s">
        <v>245</v>
      </c>
      <c r="I26" s="1060" t="s">
        <v>192</v>
      </c>
      <c r="J26" s="1060" t="s">
        <v>193</v>
      </c>
      <c r="K26" s="1060" t="s">
        <v>165</v>
      </c>
      <c r="L26" s="1060" t="s">
        <v>167</v>
      </c>
      <c r="M26" s="1060" t="s">
        <v>168</v>
      </c>
      <c r="N26" s="1060" t="s">
        <v>169</v>
      </c>
      <c r="O26" s="1060" t="s">
        <v>170</v>
      </c>
      <c r="P26" s="1060" t="s">
        <v>171</v>
      </c>
      <c r="Q26" s="1060" t="s">
        <v>172</v>
      </c>
      <c r="R26" s="1060" t="s">
        <v>173</v>
      </c>
      <c r="S26" s="1060" t="s">
        <v>174</v>
      </c>
      <c r="T26" s="1060" t="s">
        <v>139</v>
      </c>
      <c r="U26" s="1060" t="s">
        <v>328</v>
      </c>
      <c r="V26" s="1058" t="s">
        <v>330</v>
      </c>
      <c r="W26" s="1059"/>
      <c r="X26" s="125"/>
      <c r="Y26" s="125"/>
      <c r="Z26" s="125"/>
      <c r="AA26" s="125"/>
    </row>
    <row r="27" spans="1:27">
      <c r="A27" s="125"/>
      <c r="B27" s="729">
        <v>44470</v>
      </c>
      <c r="C27" s="125">
        <v>85.094736600000005</v>
      </c>
      <c r="D27" s="125">
        <v>84.990819790000003</v>
      </c>
      <c r="E27" s="125">
        <v>87.357592170000004</v>
      </c>
      <c r="F27" s="125">
        <v>90.289492199999998</v>
      </c>
      <c r="G27" s="125">
        <v>91.863304499999998</v>
      </c>
      <c r="H27" s="125">
        <v>93.371156979999995</v>
      </c>
      <c r="I27" s="125">
        <v>94.571404810000004</v>
      </c>
      <c r="J27" s="125">
        <v>94.538966439999996</v>
      </c>
      <c r="K27" s="125">
        <v>96.223183629999994</v>
      </c>
      <c r="L27" s="125">
        <v>98.299584699999997</v>
      </c>
      <c r="M27" s="125">
        <v>100.3447563</v>
      </c>
      <c r="N27" s="125">
        <v>101.8502388</v>
      </c>
      <c r="O27" s="125">
        <v>103.36263580000001</v>
      </c>
      <c r="P27" s="125">
        <v>106.90025350000001</v>
      </c>
      <c r="Q27" s="125">
        <v>110.582797</v>
      </c>
      <c r="R27" s="125">
        <v>113.129239</v>
      </c>
      <c r="S27" s="125">
        <v>115.43355750000001</v>
      </c>
      <c r="T27" s="125">
        <v>117.75907530000001</v>
      </c>
      <c r="U27" s="125">
        <v>120.1320738</v>
      </c>
      <c r="V27" s="125"/>
      <c r="W27" s="728"/>
      <c r="X27" s="125"/>
      <c r="Y27" s="125"/>
      <c r="Z27" s="125"/>
      <c r="AA27" s="125"/>
    </row>
    <row r="28" spans="1:27">
      <c r="A28" s="125"/>
      <c r="B28" s="729">
        <v>44621</v>
      </c>
      <c r="C28" s="125">
        <v>85.321798189999996</v>
      </c>
      <c r="D28" s="125">
        <v>85.258696560000004</v>
      </c>
      <c r="E28" s="125">
        <v>87.080306489999998</v>
      </c>
      <c r="F28" s="125">
        <v>90.026510110000004</v>
      </c>
      <c r="G28" s="125">
        <v>91.616861020000002</v>
      </c>
      <c r="H28" s="125">
        <v>93.421710709999999</v>
      </c>
      <c r="I28" s="125">
        <v>94.423298310000007</v>
      </c>
      <c r="J28" s="125">
        <v>94.088884640000003</v>
      </c>
      <c r="K28" s="125">
        <v>95.52739966</v>
      </c>
      <c r="L28" s="125">
        <v>97.281672729999997</v>
      </c>
      <c r="M28" s="125">
        <v>99.046777379999995</v>
      </c>
      <c r="N28" s="125">
        <v>100.4342489</v>
      </c>
      <c r="O28" s="125">
        <v>101.476553</v>
      </c>
      <c r="P28" s="125">
        <v>104.2799818</v>
      </c>
      <c r="Q28" s="125">
        <v>110.9296935</v>
      </c>
      <c r="R28" s="125">
        <v>113.68284079999999</v>
      </c>
      <c r="S28" s="125">
        <v>115.6391728</v>
      </c>
      <c r="T28" s="125">
        <v>117.96455280000001</v>
      </c>
      <c r="U28" s="125">
        <v>120.3254283</v>
      </c>
      <c r="V28" s="125"/>
      <c r="W28" s="728"/>
      <c r="X28" s="125"/>
      <c r="Y28" s="125"/>
      <c r="Z28" s="125"/>
      <c r="AA28" s="125"/>
    </row>
    <row r="29" spans="1:27">
      <c r="A29" s="125"/>
      <c r="B29" s="729">
        <v>44866</v>
      </c>
      <c r="C29" s="125">
        <v>85.099400849999995</v>
      </c>
      <c r="D29" s="125">
        <v>85.377656470000005</v>
      </c>
      <c r="E29" s="125">
        <v>87.294779039999995</v>
      </c>
      <c r="F29" s="125">
        <v>90.248688389999998</v>
      </c>
      <c r="G29" s="125">
        <v>91.830283829999999</v>
      </c>
      <c r="H29" s="125">
        <v>93.549021589999995</v>
      </c>
      <c r="I29" s="125">
        <v>94.198673220000003</v>
      </c>
      <c r="J29" s="125">
        <v>94.070898560000003</v>
      </c>
      <c r="K29" s="125">
        <v>95.524129599999995</v>
      </c>
      <c r="L29" s="125">
        <v>97.174803049999994</v>
      </c>
      <c r="M29" s="125">
        <v>98.684440850000001</v>
      </c>
      <c r="N29" s="125">
        <v>100.3442685</v>
      </c>
      <c r="O29" s="125">
        <v>101.4299965</v>
      </c>
      <c r="P29" s="125">
        <v>104.882566</v>
      </c>
      <c r="Q29" s="125">
        <v>114.2019545</v>
      </c>
      <c r="R29" s="125">
        <v>119.8245653</v>
      </c>
      <c r="S29" s="125">
        <v>120.171362</v>
      </c>
      <c r="T29" s="125">
        <v>119.52804449999999</v>
      </c>
      <c r="U29" s="125">
        <v>120.728089</v>
      </c>
      <c r="V29" s="125">
        <v>122.9874465</v>
      </c>
      <c r="W29" s="728"/>
      <c r="X29" s="125"/>
      <c r="Y29" s="125"/>
      <c r="Z29" s="125"/>
      <c r="AA29" s="125"/>
    </row>
    <row r="30" spans="1:27">
      <c r="A30" s="125"/>
      <c r="B30" s="729">
        <v>44986</v>
      </c>
      <c r="C30" s="743">
        <v>85.099400846311269</v>
      </c>
      <c r="D30" s="743">
        <v>85.377656470259495</v>
      </c>
      <c r="E30" s="743">
        <v>87.294779040166759</v>
      </c>
      <c r="F30" s="743">
        <v>90.248688385227311</v>
      </c>
      <c r="G30" s="743">
        <v>91.830283829479441</v>
      </c>
      <c r="H30" s="743">
        <v>93.549021590549216</v>
      </c>
      <c r="I30" s="743">
        <v>94.198673219405705</v>
      </c>
      <c r="J30" s="743">
        <v>94.070898562765763</v>
      </c>
      <c r="K30" s="743">
        <v>95.524129602839679</v>
      </c>
      <c r="L30" s="743">
        <v>97.174803050000008</v>
      </c>
      <c r="M30" s="743">
        <v>98.684440850000001</v>
      </c>
      <c r="N30" s="743">
        <v>100.34426845</v>
      </c>
      <c r="O30" s="743">
        <v>101.42988975</v>
      </c>
      <c r="P30" s="743">
        <v>104.79178275</v>
      </c>
      <c r="Q30" s="743">
        <v>113.66728099999999</v>
      </c>
      <c r="R30" s="743">
        <v>117.5717705</v>
      </c>
      <c r="S30" s="743">
        <v>118.54472675</v>
      </c>
      <c r="T30" s="743">
        <v>118.88961275</v>
      </c>
      <c r="U30" s="743">
        <v>120.11212399999999</v>
      </c>
      <c r="V30" s="743">
        <v>122.26471574999999</v>
      </c>
      <c r="W30" s="744">
        <v>4.5999999999999999E-2</v>
      </c>
      <c r="X30" s="743"/>
      <c r="Y30" s="125"/>
      <c r="Z30" s="125"/>
      <c r="AA30" s="125"/>
    </row>
    <row r="31" spans="1:27">
      <c r="A31" s="125"/>
      <c r="B31" s="726"/>
      <c r="C31" s="125"/>
      <c r="D31" s="125"/>
      <c r="E31" s="125"/>
      <c r="F31" s="125"/>
      <c r="G31" s="125"/>
      <c r="H31" s="125"/>
      <c r="I31" s="125"/>
      <c r="J31" s="125"/>
      <c r="K31" s="125"/>
      <c r="L31" s="125"/>
      <c r="M31" s="125"/>
      <c r="N31" s="125"/>
      <c r="O31" s="125"/>
      <c r="P31" s="125"/>
      <c r="Q31" s="125"/>
      <c r="R31" s="125"/>
      <c r="S31" s="125"/>
      <c r="T31" s="125"/>
      <c r="U31" s="125"/>
      <c r="V31" s="125"/>
      <c r="W31" s="728"/>
      <c r="X31" s="125"/>
      <c r="Y31" s="125"/>
      <c r="Z31" s="125"/>
      <c r="AA31" s="125"/>
    </row>
    <row r="32" spans="1:27">
      <c r="A32" s="125"/>
      <c r="B32" s="734" t="s">
        <v>1523</v>
      </c>
      <c r="C32" s="125"/>
      <c r="D32" s="125"/>
      <c r="E32" s="125"/>
      <c r="F32" s="125"/>
      <c r="G32" s="125"/>
      <c r="H32" s="125"/>
      <c r="I32" s="125"/>
      <c r="J32" s="125"/>
      <c r="K32" s="125"/>
      <c r="L32" s="125"/>
      <c r="M32" s="125"/>
      <c r="N32" s="125"/>
      <c r="O32" s="125"/>
      <c r="P32" s="125"/>
      <c r="Q32" s="125"/>
      <c r="R32" s="125"/>
      <c r="S32" s="125"/>
      <c r="T32" s="125"/>
      <c r="U32" s="125"/>
      <c r="V32" s="125"/>
      <c r="W32" s="728"/>
      <c r="X32" s="125"/>
      <c r="Y32" s="125"/>
      <c r="Z32" s="125"/>
      <c r="AA32" s="125"/>
    </row>
    <row r="33" spans="1:27">
      <c r="A33" s="125"/>
      <c r="B33" s="735">
        <v>44470</v>
      </c>
      <c r="C33" s="731"/>
      <c r="D33" s="736">
        <f>D27/C27-1</f>
        <v>-1.2211896311340453E-3</v>
      </c>
      <c r="E33" s="736">
        <f t="shared" ref="E33:U36" si="4">E27/D27-1</f>
        <v>2.7847388527936889E-2</v>
      </c>
      <c r="F33" s="736">
        <f t="shared" si="4"/>
        <v>3.3562051759559175E-2</v>
      </c>
      <c r="G33" s="736">
        <f t="shared" si="4"/>
        <v>1.7430735976605716E-2</v>
      </c>
      <c r="H33" s="736">
        <f t="shared" si="4"/>
        <v>1.6414089262377862E-2</v>
      </c>
      <c r="I33" s="736">
        <f t="shared" si="4"/>
        <v>1.2854588813300261E-2</v>
      </c>
      <c r="J33" s="736">
        <f t="shared" si="4"/>
        <v>-3.430039985677924E-4</v>
      </c>
      <c r="K33" s="736">
        <f t="shared" si="4"/>
        <v>1.7815058207441892E-2</v>
      </c>
      <c r="L33" s="736">
        <f t="shared" si="4"/>
        <v>2.1579010293239165E-2</v>
      </c>
      <c r="M33" s="736">
        <f t="shared" si="4"/>
        <v>2.0805495834409271E-2</v>
      </c>
      <c r="N33" s="736">
        <f t="shared" si="4"/>
        <v>1.5003100864574126E-2</v>
      </c>
      <c r="O33" s="736">
        <f t="shared" si="4"/>
        <v>1.484922389794141E-2</v>
      </c>
      <c r="P33" s="736">
        <f t="shared" si="4"/>
        <v>3.4225304653076494E-2</v>
      </c>
      <c r="Q33" s="736">
        <f t="shared" si="4"/>
        <v>3.4448407552186033E-2</v>
      </c>
      <c r="R33" s="736">
        <f t="shared" si="4"/>
        <v>2.3027469634359088E-2</v>
      </c>
      <c r="S33" s="736">
        <f t="shared" si="4"/>
        <v>2.0368903038409103E-2</v>
      </c>
      <c r="T33" s="736">
        <f t="shared" si="4"/>
        <v>2.0145942396343486E-2</v>
      </c>
      <c r="U33" s="736">
        <f t="shared" si="4"/>
        <v>2.0151300389839255E-2</v>
      </c>
      <c r="V33" s="125"/>
      <c r="W33" s="728"/>
      <c r="X33" s="125"/>
      <c r="Y33" s="125"/>
      <c r="Z33" s="125"/>
      <c r="AA33" s="125"/>
    </row>
    <row r="34" spans="1:27">
      <c r="A34" s="125"/>
      <c r="B34" s="735">
        <v>44621</v>
      </c>
      <c r="C34" s="731"/>
      <c r="D34" s="736">
        <f t="shared" ref="D34:S36" si="5">D28/C28-1</f>
        <v>-7.3957220005460567E-4</v>
      </c>
      <c r="E34" s="736">
        <f t="shared" si="5"/>
        <v>2.1365678851518188E-2</v>
      </c>
      <c r="F34" s="736">
        <f t="shared" si="5"/>
        <v>3.3833179265834845E-2</v>
      </c>
      <c r="G34" s="736">
        <f t="shared" si="5"/>
        <v>1.766536221449444E-2</v>
      </c>
      <c r="H34" s="736">
        <f t="shared" si="5"/>
        <v>1.9699973017041073E-2</v>
      </c>
      <c r="I34" s="736">
        <f t="shared" si="5"/>
        <v>1.0721143858188897E-2</v>
      </c>
      <c r="J34" s="736">
        <f t="shared" si="5"/>
        <v>-3.5416435984061412E-3</v>
      </c>
      <c r="K34" s="736">
        <f t="shared" si="5"/>
        <v>1.5288894384326124E-2</v>
      </c>
      <c r="L34" s="736">
        <f t="shared" si="5"/>
        <v>1.8364082726461506E-2</v>
      </c>
      <c r="M34" s="736">
        <f t="shared" si="5"/>
        <v>1.8144267059417851E-2</v>
      </c>
      <c r="N34" s="736">
        <f t="shared" si="5"/>
        <v>1.4008244959620164E-2</v>
      </c>
      <c r="O34" s="736">
        <f t="shared" si="5"/>
        <v>1.0377974758767783E-2</v>
      </c>
      <c r="P34" s="736">
        <f t="shared" si="5"/>
        <v>2.7626370004901535E-2</v>
      </c>
      <c r="Q34" s="736">
        <f t="shared" si="5"/>
        <v>6.3767864025461529E-2</v>
      </c>
      <c r="R34" s="736">
        <f t="shared" si="5"/>
        <v>2.4818848886479561E-2</v>
      </c>
      <c r="S34" s="736">
        <f t="shared" si="5"/>
        <v>1.7208683265064861E-2</v>
      </c>
      <c r="T34" s="736">
        <f t="shared" si="4"/>
        <v>2.0108929731119662E-2</v>
      </c>
      <c r="U34" s="736">
        <f t="shared" si="4"/>
        <v>2.0013431526355818E-2</v>
      </c>
      <c r="V34" s="125"/>
      <c r="W34" s="728"/>
      <c r="X34" s="125"/>
      <c r="Y34" s="125"/>
      <c r="Z34" s="125"/>
      <c r="AA34" s="125"/>
    </row>
    <row r="35" spans="1:27" ht="15" thickBot="1">
      <c r="A35" s="125"/>
      <c r="B35" s="745">
        <v>44866</v>
      </c>
      <c r="C35" s="731"/>
      <c r="D35" s="736">
        <f t="shared" si="5"/>
        <v>3.2697717871184029E-3</v>
      </c>
      <c r="E35" s="736">
        <f t="shared" si="4"/>
        <v>2.2454616925139392E-2</v>
      </c>
      <c r="F35" s="736">
        <f t="shared" si="4"/>
        <v>3.3838327818511038E-2</v>
      </c>
      <c r="G35" s="736">
        <f t="shared" si="4"/>
        <v>1.7524857903367108E-2</v>
      </c>
      <c r="H35" s="736">
        <f t="shared" si="4"/>
        <v>1.8716459193154567E-2</v>
      </c>
      <c r="I35" s="736">
        <f t="shared" si="4"/>
        <v>6.9445048056970826E-3</v>
      </c>
      <c r="J35" s="736">
        <f t="shared" si="4"/>
        <v>-1.356438001006488E-3</v>
      </c>
      <c r="K35" s="736">
        <f t="shared" si="4"/>
        <v>1.5448252990515332E-2</v>
      </c>
      <c r="L35" s="736">
        <f t="shared" si="4"/>
        <v>1.728017263190007E-2</v>
      </c>
      <c r="M35" s="736">
        <f t="shared" si="4"/>
        <v>1.5535280264198148E-2</v>
      </c>
      <c r="N35" s="736">
        <f t="shared" si="4"/>
        <v>1.6819547597406226E-2</v>
      </c>
      <c r="O35" s="736">
        <f t="shared" si="4"/>
        <v>1.0820030044865092E-2</v>
      </c>
      <c r="P35" s="736">
        <f t="shared" si="4"/>
        <v>3.4038939358535858E-2</v>
      </c>
      <c r="Q35" s="736">
        <f t="shared" si="4"/>
        <v>8.8855458589752745E-2</v>
      </c>
      <c r="R35" s="736">
        <f t="shared" si="4"/>
        <v>4.923392795348347E-2</v>
      </c>
      <c r="S35" s="736">
        <f t="shared" si="4"/>
        <v>2.894203697979103E-3</v>
      </c>
      <c r="T35" s="736">
        <f t="shared" si="4"/>
        <v>-5.3533345157560364E-3</v>
      </c>
      <c r="U35" s="736">
        <f t="shared" si="4"/>
        <v>1.0039857215266457E-2</v>
      </c>
      <c r="V35" s="125"/>
      <c r="W35" s="728"/>
      <c r="X35" s="125"/>
      <c r="Y35" s="125"/>
      <c r="Z35" s="125"/>
      <c r="AA35" s="125"/>
    </row>
    <row r="36" spans="1:27" ht="15" thickBot="1">
      <c r="A36" s="125"/>
      <c r="B36" s="745">
        <v>44986</v>
      </c>
      <c r="C36" s="746"/>
      <c r="D36" s="736">
        <f t="shared" si="5"/>
        <v>3.2697718336553994E-3</v>
      </c>
      <c r="E36" s="736">
        <f t="shared" si="4"/>
        <v>2.2454616923984982E-2</v>
      </c>
      <c r="F36" s="736">
        <f t="shared" si="4"/>
        <v>3.3838327761862796E-2</v>
      </c>
      <c r="G36" s="736">
        <f t="shared" si="4"/>
        <v>1.7524857951409567E-2</v>
      </c>
      <c r="H36" s="736">
        <f t="shared" si="4"/>
        <v>1.8716459204910274E-2</v>
      </c>
      <c r="I36" s="736">
        <f t="shared" si="4"/>
        <v>6.9445047934324489E-3</v>
      </c>
      <c r="J36" s="736">
        <f t="shared" si="4"/>
        <v>-1.3564379653451253E-3</v>
      </c>
      <c r="K36" s="736">
        <f t="shared" si="4"/>
        <v>1.5448252990847067E-2</v>
      </c>
      <c r="L36" s="736">
        <f t="shared" si="4"/>
        <v>1.7280172601659149E-2</v>
      </c>
      <c r="M36" s="736">
        <f t="shared" si="4"/>
        <v>1.5535280264197926E-2</v>
      </c>
      <c r="N36" s="736">
        <f t="shared" si="4"/>
        <v>1.681954709074085E-2</v>
      </c>
      <c r="O36" s="736">
        <f t="shared" si="4"/>
        <v>1.0818966710998135E-2</v>
      </c>
      <c r="P36" s="736">
        <f t="shared" si="4"/>
        <v>3.314499314044661E-2</v>
      </c>
      <c r="Q36" s="736">
        <f t="shared" si="4"/>
        <v>8.4696509755675331E-2</v>
      </c>
      <c r="R36" s="736">
        <f t="shared" si="4"/>
        <v>3.4350161855283723E-2</v>
      </c>
      <c r="S36" s="736">
        <f t="shared" si="4"/>
        <v>8.2754239887881109E-3</v>
      </c>
      <c r="T36" s="736">
        <f t="shared" si="4"/>
        <v>2.9093322786708509E-3</v>
      </c>
      <c r="U36" s="736">
        <f t="shared" si="4"/>
        <v>1.0282742299537073E-2</v>
      </c>
      <c r="V36" s="740"/>
      <c r="W36" s="741"/>
      <c r="X36" s="125"/>
      <c r="Y36" s="125"/>
      <c r="Z36" s="125"/>
      <c r="AA36" s="125"/>
    </row>
    <row r="37" spans="1:27">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C9C70-607D-4502-A07E-562EC77078BA}">
  <sheetPr>
    <tabColor rgb="FFFFFF00"/>
  </sheetPr>
  <dimension ref="A1"/>
  <sheetViews>
    <sheetView workbookViewId="0">
      <selection activeCell="L37" sqref="L37"/>
    </sheetView>
  </sheetViews>
  <sheetFormatPr defaultRowHeight="14.5"/>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11EB-7C30-4DFD-A51A-3C7C01B04B29}">
  <dimension ref="A1:C11"/>
  <sheetViews>
    <sheetView workbookViewId="0"/>
  </sheetViews>
  <sheetFormatPr defaultRowHeight="14.5"/>
  <sheetData>
    <row r="1" spans="1:3" ht="18.5">
      <c r="A1" s="110">
        <v>82.9</v>
      </c>
      <c r="B1">
        <f t="shared" ref="B1:B11" si="0">A1/$A$1</f>
        <v>1</v>
      </c>
    </row>
    <row r="2" spans="1:3" ht="18.5">
      <c r="A2" s="110">
        <v>89.8</v>
      </c>
      <c r="B2">
        <f t="shared" si="0"/>
        <v>1.0832328106151989</v>
      </c>
    </row>
    <row r="3" spans="1:3" ht="18.5">
      <c r="A3" s="110">
        <v>94.7</v>
      </c>
      <c r="B3">
        <f t="shared" si="0"/>
        <v>1.1423401688781665</v>
      </c>
    </row>
    <row r="4" spans="1:3" ht="18.5">
      <c r="A4" s="110">
        <v>101.1</v>
      </c>
      <c r="B4">
        <f t="shared" si="0"/>
        <v>1.2195416164053074</v>
      </c>
    </row>
    <row r="5" spans="1:3" ht="18.5">
      <c r="A5" s="110">
        <v>108.7</v>
      </c>
      <c r="B5">
        <f t="shared" si="0"/>
        <v>1.3112183353437876</v>
      </c>
    </row>
    <row r="6" spans="1:3" ht="18.5">
      <c r="A6" s="110">
        <v>116.9</v>
      </c>
      <c r="B6">
        <f t="shared" si="0"/>
        <v>1.4101326899879372</v>
      </c>
    </row>
    <row r="7" spans="1:3" ht="18.5">
      <c r="A7" s="110">
        <v>119.9</v>
      </c>
      <c r="B7">
        <f t="shared" si="0"/>
        <v>1.4463208685162847</v>
      </c>
    </row>
    <row r="8" spans="1:3" ht="18.5">
      <c r="A8" s="110">
        <v>121.3</v>
      </c>
      <c r="B8">
        <f t="shared" si="0"/>
        <v>1.4632086851628467</v>
      </c>
    </row>
    <row r="9" spans="1:3" ht="18.5">
      <c r="A9" s="110">
        <v>124.3</v>
      </c>
      <c r="B9">
        <f t="shared" si="0"/>
        <v>1.4993968636911941</v>
      </c>
    </row>
    <row r="10" spans="1:3" ht="18.5">
      <c r="A10" s="110">
        <v>129.4</v>
      </c>
      <c r="B10">
        <f t="shared" si="0"/>
        <v>1.5609167671893847</v>
      </c>
    </row>
    <row r="11" spans="1:3" ht="18.5">
      <c r="A11" s="110">
        <v>134.1</v>
      </c>
      <c r="B11">
        <f t="shared" si="0"/>
        <v>1.6176115802171289</v>
      </c>
      <c r="C11">
        <f>B11^(1/11)</f>
        <v>1.0446927191000113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2BC25-4C06-4284-9A2F-F1A70ABEE15A}">
  <dimension ref="A1:V140"/>
  <sheetViews>
    <sheetView workbookViewId="0">
      <selection activeCell="K24" sqref="K24"/>
    </sheetView>
  </sheetViews>
  <sheetFormatPr defaultRowHeight="14.5"/>
  <sheetData>
    <row r="1" spans="1:22">
      <c r="A1" s="76" t="s">
        <v>138</v>
      </c>
    </row>
    <row r="2" spans="1:22">
      <c r="A2" s="76"/>
    </row>
    <row r="3" spans="1:22" ht="15" customHeight="1" thickBot="1">
      <c r="D3" s="868" t="s">
        <v>1525</v>
      </c>
      <c r="E3" s="868"/>
      <c r="F3" s="868"/>
      <c r="G3" s="868"/>
      <c r="H3" s="868"/>
      <c r="I3" s="868"/>
      <c r="J3" s="868"/>
      <c r="K3" s="868"/>
      <c r="L3" s="868"/>
      <c r="M3" s="867"/>
      <c r="N3" s="867"/>
      <c r="O3" s="867"/>
      <c r="P3" s="867"/>
      <c r="Q3" s="867"/>
      <c r="R3" s="856"/>
      <c r="S3" s="856"/>
      <c r="T3" s="856"/>
      <c r="U3" s="856"/>
      <c r="V3" s="856"/>
    </row>
    <row r="4" spans="1:22">
      <c r="A4" s="1064"/>
      <c r="B4" s="1064"/>
      <c r="C4" s="1064"/>
      <c r="D4" s="1064"/>
      <c r="E4" s="1064"/>
      <c r="F4" s="1064"/>
      <c r="G4" s="1064"/>
      <c r="H4" s="1064"/>
      <c r="I4" s="1064"/>
      <c r="J4" s="1065"/>
      <c r="K4" s="1065"/>
      <c r="L4" s="1065"/>
      <c r="M4" s="1065"/>
      <c r="N4" s="1065"/>
      <c r="O4" s="1066"/>
      <c r="P4" s="1066"/>
      <c r="Q4" s="1066"/>
      <c r="R4" s="1066"/>
      <c r="S4" s="1067" t="s">
        <v>1526</v>
      </c>
    </row>
    <row r="5" spans="1:22">
      <c r="A5" s="847"/>
      <c r="B5" s="858"/>
      <c r="C5" s="858"/>
      <c r="D5" s="858"/>
      <c r="E5" s="858"/>
      <c r="F5" s="858"/>
      <c r="G5" s="858"/>
      <c r="H5" s="858"/>
      <c r="I5" s="858"/>
      <c r="J5" s="834" t="s">
        <v>1527</v>
      </c>
      <c r="K5" s="837"/>
      <c r="L5" s="837"/>
      <c r="M5" s="837"/>
      <c r="N5" s="840"/>
    </row>
    <row r="6" spans="1:22">
      <c r="A6" s="826"/>
      <c r="B6" s="859"/>
      <c r="C6" s="859"/>
      <c r="D6" s="859"/>
      <c r="E6" s="859"/>
      <c r="F6" s="859"/>
      <c r="G6" s="859"/>
      <c r="H6" s="859"/>
      <c r="I6" s="859"/>
      <c r="J6" s="1830" t="s">
        <v>1528</v>
      </c>
      <c r="K6" s="1831"/>
      <c r="L6" s="1831"/>
      <c r="M6" s="1831"/>
      <c r="N6" s="1832"/>
      <c r="P6" s="1830" t="s">
        <v>1528</v>
      </c>
      <c r="Q6" s="1831"/>
      <c r="R6" s="1831"/>
      <c r="S6" s="1831"/>
      <c r="T6" s="1832"/>
    </row>
    <row r="7" spans="1:22" ht="21">
      <c r="A7" s="826"/>
      <c r="B7" s="863" t="s">
        <v>1529</v>
      </c>
      <c r="C7" s="863" t="s">
        <v>1530</v>
      </c>
      <c r="D7" s="863" t="s">
        <v>1531</v>
      </c>
      <c r="E7" s="863" t="s">
        <v>1532</v>
      </c>
      <c r="F7" s="841" t="s">
        <v>1533</v>
      </c>
      <c r="G7" s="827" t="s">
        <v>1534</v>
      </c>
      <c r="H7" s="827" t="s">
        <v>1535</v>
      </c>
      <c r="I7" s="827" t="s">
        <v>1536</v>
      </c>
      <c r="J7" s="841" t="s">
        <v>1537</v>
      </c>
      <c r="K7" s="827" t="s">
        <v>1538</v>
      </c>
      <c r="L7" s="827" t="s">
        <v>1539</v>
      </c>
      <c r="M7" s="827" t="s">
        <v>1540</v>
      </c>
      <c r="N7" s="828" t="s">
        <v>1541</v>
      </c>
      <c r="O7" s="828" t="s">
        <v>1542</v>
      </c>
      <c r="P7" s="1741" t="s">
        <v>1543</v>
      </c>
      <c r="Q7" s="827" t="s">
        <v>1544</v>
      </c>
      <c r="R7" s="827" t="s">
        <v>1545</v>
      </c>
      <c r="S7" s="827" t="s">
        <v>1546</v>
      </c>
      <c r="T7" s="1741" t="s">
        <v>1547</v>
      </c>
    </row>
    <row r="8" spans="1:22">
      <c r="A8" s="848" t="s">
        <v>1548</v>
      </c>
      <c r="B8" s="304">
        <f>B29+B50</f>
        <v>3029</v>
      </c>
      <c r="C8" s="304">
        <f>C29+C50</f>
        <v>3332</v>
      </c>
      <c r="D8" s="819">
        <v>3718.7345583530232</v>
      </c>
      <c r="E8" s="819">
        <v>4059.3755987759564</v>
      </c>
      <c r="F8" s="846">
        <v>4295</v>
      </c>
      <c r="G8" s="839">
        <v>4606</v>
      </c>
      <c r="H8" s="839">
        <v>5025</v>
      </c>
      <c r="I8" s="839">
        <v>5310</v>
      </c>
      <c r="J8" s="846">
        <v>5257</v>
      </c>
      <c r="K8" s="839">
        <v>5396</v>
      </c>
      <c r="L8" s="839">
        <v>5545</v>
      </c>
      <c r="M8" s="839">
        <v>5619</v>
      </c>
      <c r="N8" s="854">
        <v>5636</v>
      </c>
      <c r="O8" s="854">
        <v>5805</v>
      </c>
      <c r="P8" s="846">
        <v>6119</v>
      </c>
      <c r="Q8" s="839">
        <v>6299</v>
      </c>
      <c r="R8" s="839">
        <v>6494</v>
      </c>
      <c r="S8" s="839">
        <v>6985</v>
      </c>
      <c r="T8" s="854">
        <v>9328</v>
      </c>
    </row>
    <row r="9" spans="1:22">
      <c r="A9" s="848" t="s">
        <v>1549</v>
      </c>
      <c r="B9" s="304">
        <f t="shared" ref="B9:C25" si="0">B30+B51</f>
        <v>8010</v>
      </c>
      <c r="C9" s="304">
        <f t="shared" si="0"/>
        <v>9131</v>
      </c>
      <c r="D9" s="819">
        <v>9912.8397514646604</v>
      </c>
      <c r="E9" s="819">
        <v>10779.83882614204</v>
      </c>
      <c r="F9" s="846">
        <v>11353</v>
      </c>
      <c r="G9" s="839">
        <v>12307</v>
      </c>
      <c r="H9" s="839">
        <v>13119</v>
      </c>
      <c r="I9" s="839">
        <v>14096</v>
      </c>
      <c r="J9" s="846">
        <v>13459</v>
      </c>
      <c r="K9" s="839">
        <v>13980</v>
      </c>
      <c r="L9" s="839">
        <v>14673</v>
      </c>
      <c r="M9" s="839">
        <v>14600</v>
      </c>
      <c r="N9" s="854">
        <v>15303</v>
      </c>
      <c r="O9" s="854">
        <v>15888</v>
      </c>
      <c r="P9" s="846">
        <v>16487</v>
      </c>
      <c r="Q9" s="839">
        <v>17145</v>
      </c>
      <c r="R9" s="839">
        <v>17905</v>
      </c>
      <c r="S9" s="839">
        <v>19208</v>
      </c>
      <c r="T9" s="854">
        <v>25798</v>
      </c>
    </row>
    <row r="10" spans="1:22">
      <c r="A10" s="848" t="s">
        <v>1550</v>
      </c>
      <c r="B10" s="304">
        <f t="shared" si="0"/>
        <v>5402</v>
      </c>
      <c r="C10" s="304">
        <f t="shared" si="0"/>
        <v>6188</v>
      </c>
      <c r="D10" s="819">
        <v>6909.7333867358739</v>
      </c>
      <c r="E10" s="819">
        <v>7594.5898494065395</v>
      </c>
      <c r="F10" s="846">
        <v>7884</v>
      </c>
      <c r="G10" s="839">
        <v>8465</v>
      </c>
      <c r="H10" s="839">
        <v>9245</v>
      </c>
      <c r="I10" s="839">
        <v>9853</v>
      </c>
      <c r="J10" s="846">
        <v>9336</v>
      </c>
      <c r="K10" s="839">
        <v>9741</v>
      </c>
      <c r="L10" s="839">
        <v>10023</v>
      </c>
      <c r="M10" s="839">
        <v>10221</v>
      </c>
      <c r="N10" s="854">
        <v>10785</v>
      </c>
      <c r="O10" s="854">
        <v>11075</v>
      </c>
      <c r="P10" s="846">
        <v>11312</v>
      </c>
      <c r="Q10" s="839">
        <v>11614</v>
      </c>
      <c r="R10" s="839">
        <v>12077</v>
      </c>
      <c r="S10" s="839">
        <v>12953</v>
      </c>
      <c r="T10" s="854">
        <v>17496</v>
      </c>
    </row>
    <row r="11" spans="1:22">
      <c r="A11" s="848" t="s">
        <v>1551</v>
      </c>
      <c r="B11" s="304">
        <f t="shared" si="0"/>
        <v>3979</v>
      </c>
      <c r="C11" s="304">
        <f t="shared" si="0"/>
        <v>4623</v>
      </c>
      <c r="D11" s="819">
        <v>5182.8991652936857</v>
      </c>
      <c r="E11" s="819">
        <v>5687.2609182355845</v>
      </c>
      <c r="F11" s="846">
        <v>6026</v>
      </c>
      <c r="G11" s="839">
        <v>6625</v>
      </c>
      <c r="H11" s="839">
        <v>7189</v>
      </c>
      <c r="I11" s="839">
        <v>7582</v>
      </c>
      <c r="J11" s="846">
        <v>7261</v>
      </c>
      <c r="K11" s="839">
        <v>7563</v>
      </c>
      <c r="L11" s="839">
        <v>7838</v>
      </c>
      <c r="M11" s="839">
        <v>8110</v>
      </c>
      <c r="N11" s="854">
        <v>8575</v>
      </c>
      <c r="O11" s="854">
        <v>8941</v>
      </c>
      <c r="P11" s="846">
        <v>9026</v>
      </c>
      <c r="Q11" s="839">
        <v>9286</v>
      </c>
      <c r="R11" s="839">
        <v>9740</v>
      </c>
      <c r="S11" s="839">
        <v>10678</v>
      </c>
      <c r="T11" s="854">
        <v>14622</v>
      </c>
    </row>
    <row r="12" spans="1:22">
      <c r="A12" s="848" t="s">
        <v>1552</v>
      </c>
      <c r="B12" s="304">
        <f t="shared" si="0"/>
        <v>5563</v>
      </c>
      <c r="C12" s="304">
        <f t="shared" si="0"/>
        <v>6247</v>
      </c>
      <c r="D12" s="819">
        <v>6960.4625842243513</v>
      </c>
      <c r="E12" s="819">
        <v>7565.6266787864824</v>
      </c>
      <c r="F12" s="846">
        <v>8223</v>
      </c>
      <c r="G12" s="839">
        <v>8835</v>
      </c>
      <c r="H12" s="839">
        <v>9486</v>
      </c>
      <c r="I12" s="839">
        <v>10205</v>
      </c>
      <c r="J12" s="846">
        <v>10281</v>
      </c>
      <c r="K12" s="839">
        <v>10588</v>
      </c>
      <c r="L12" s="839">
        <v>11023</v>
      </c>
      <c r="M12" s="839">
        <v>11279</v>
      </c>
      <c r="N12" s="854">
        <v>12090</v>
      </c>
      <c r="O12" s="854">
        <v>12477</v>
      </c>
      <c r="P12" s="846">
        <v>12575</v>
      </c>
      <c r="Q12" s="839">
        <v>12826</v>
      </c>
      <c r="R12" s="839">
        <v>13230</v>
      </c>
      <c r="S12" s="839">
        <v>14144</v>
      </c>
      <c r="T12" s="854">
        <v>19267</v>
      </c>
    </row>
    <row r="13" spans="1:22">
      <c r="A13" s="848" t="s">
        <v>1553</v>
      </c>
      <c r="B13" s="304">
        <f t="shared" si="0"/>
        <v>5354</v>
      </c>
      <c r="C13" s="304">
        <f t="shared" si="0"/>
        <v>5997</v>
      </c>
      <c r="D13" s="819">
        <v>6712.1022877325368</v>
      </c>
      <c r="E13" s="819">
        <v>7228.0611515049977</v>
      </c>
      <c r="F13" s="846">
        <v>7661</v>
      </c>
      <c r="G13" s="839">
        <v>8110</v>
      </c>
      <c r="H13" s="839">
        <v>8903</v>
      </c>
      <c r="I13" s="839">
        <v>9731</v>
      </c>
      <c r="J13" s="846">
        <v>9820</v>
      </c>
      <c r="K13" s="839">
        <v>9269</v>
      </c>
      <c r="L13" s="839">
        <v>9499</v>
      </c>
      <c r="M13" s="839">
        <v>10379</v>
      </c>
      <c r="N13" s="854">
        <v>10989</v>
      </c>
      <c r="O13" s="854">
        <v>11291</v>
      </c>
      <c r="P13" s="846">
        <v>11346</v>
      </c>
      <c r="Q13" s="839">
        <v>12166</v>
      </c>
      <c r="R13" s="839">
        <v>12647</v>
      </c>
      <c r="S13" s="839">
        <v>13499</v>
      </c>
      <c r="T13" s="854">
        <v>18645</v>
      </c>
    </row>
    <row r="14" spans="1:22">
      <c r="A14" s="848" t="s">
        <v>1554</v>
      </c>
      <c r="B14" s="304">
        <f t="shared" si="0"/>
        <v>9342</v>
      </c>
      <c r="C14" s="304">
        <f t="shared" si="0"/>
        <v>10551</v>
      </c>
      <c r="D14" s="819">
        <v>11901.93349190662</v>
      </c>
      <c r="E14" s="819">
        <v>12607.192823490759</v>
      </c>
      <c r="F14" s="846">
        <v>12681</v>
      </c>
      <c r="G14" s="839">
        <v>14165</v>
      </c>
      <c r="H14" s="839">
        <v>15191</v>
      </c>
      <c r="I14" s="839">
        <v>16972</v>
      </c>
      <c r="J14" s="846">
        <v>19916</v>
      </c>
      <c r="K14" s="839">
        <v>20250</v>
      </c>
      <c r="L14" s="839">
        <v>20166</v>
      </c>
      <c r="M14" s="839">
        <v>21415</v>
      </c>
      <c r="N14" s="854">
        <v>21638</v>
      </c>
      <c r="O14" s="854">
        <v>22502</v>
      </c>
      <c r="P14" s="846">
        <v>23109</v>
      </c>
      <c r="Q14" s="839">
        <v>23650</v>
      </c>
      <c r="R14" s="839">
        <v>24625</v>
      </c>
      <c r="S14" s="839">
        <v>26576</v>
      </c>
      <c r="T14" s="854">
        <v>34481</v>
      </c>
    </row>
    <row r="15" spans="1:22">
      <c r="A15" s="848" t="s">
        <v>1555</v>
      </c>
      <c r="B15" s="304">
        <f t="shared" si="0"/>
        <v>8067</v>
      </c>
      <c r="C15" s="304">
        <f t="shared" si="0"/>
        <v>9075</v>
      </c>
      <c r="D15" s="819">
        <v>10099.659671960548</v>
      </c>
      <c r="E15" s="819">
        <v>10658.050474064899</v>
      </c>
      <c r="F15" s="846">
        <v>11542</v>
      </c>
      <c r="G15" s="839">
        <v>12302</v>
      </c>
      <c r="H15" s="839">
        <v>13304</v>
      </c>
      <c r="I15" s="839">
        <v>14428</v>
      </c>
      <c r="J15" s="846">
        <v>14605</v>
      </c>
      <c r="K15" s="839">
        <v>14272</v>
      </c>
      <c r="L15" s="839">
        <v>14601</v>
      </c>
      <c r="M15" s="839">
        <v>15771</v>
      </c>
      <c r="N15" s="854">
        <v>16407</v>
      </c>
      <c r="O15" s="854">
        <v>16851</v>
      </c>
      <c r="P15" s="846">
        <v>17218</v>
      </c>
      <c r="Q15" s="839">
        <v>17844</v>
      </c>
      <c r="R15" s="839">
        <v>18495</v>
      </c>
      <c r="S15" s="839">
        <v>19848</v>
      </c>
      <c r="T15" s="854">
        <v>27590</v>
      </c>
    </row>
    <row r="16" spans="1:22">
      <c r="A16" s="852" t="s">
        <v>1556</v>
      </c>
      <c r="B16" s="304">
        <f t="shared" si="0"/>
        <v>4958</v>
      </c>
      <c r="C16" s="304">
        <f t="shared" si="0"/>
        <v>5686</v>
      </c>
      <c r="D16" s="819">
        <v>6387.0274922308809</v>
      </c>
      <c r="E16" s="819">
        <v>7023.7680789296537</v>
      </c>
      <c r="F16" s="853">
        <v>7261</v>
      </c>
      <c r="G16" s="851">
        <v>7920</v>
      </c>
      <c r="H16" s="851">
        <v>8573</v>
      </c>
      <c r="I16" s="851">
        <v>9095</v>
      </c>
      <c r="J16" s="853">
        <v>8419</v>
      </c>
      <c r="K16" s="851">
        <v>8736</v>
      </c>
      <c r="L16" s="851">
        <v>9091</v>
      </c>
      <c r="M16" s="851">
        <v>9914</v>
      </c>
      <c r="N16" s="855">
        <v>10307</v>
      </c>
      <c r="O16" s="855">
        <v>10531</v>
      </c>
      <c r="P16" s="853">
        <v>10909</v>
      </c>
      <c r="Q16" s="851">
        <v>11308</v>
      </c>
      <c r="R16" s="851">
        <v>11837</v>
      </c>
      <c r="S16" s="851">
        <v>12790</v>
      </c>
      <c r="T16" s="855">
        <v>17451</v>
      </c>
    </row>
    <row r="17" spans="1:20">
      <c r="A17" s="847" t="s">
        <v>1557</v>
      </c>
      <c r="B17" s="304">
        <f t="shared" si="0"/>
        <v>53703</v>
      </c>
      <c r="C17" s="304">
        <f t="shared" si="0"/>
        <v>60830</v>
      </c>
      <c r="D17" s="1742">
        <v>67785.392389902176</v>
      </c>
      <c r="E17" s="1742">
        <v>73203.764399336913</v>
      </c>
      <c r="F17" s="842">
        <v>76926</v>
      </c>
      <c r="G17" s="829">
        <v>83335</v>
      </c>
      <c r="H17" s="829">
        <v>90035</v>
      </c>
      <c r="I17" s="829">
        <v>97272</v>
      </c>
      <c r="J17" s="842">
        <v>98353</v>
      </c>
      <c r="K17" s="829">
        <v>99795</v>
      </c>
      <c r="L17" s="829">
        <v>102458</v>
      </c>
      <c r="M17" s="829">
        <v>107309</v>
      </c>
      <c r="N17" s="836">
        <v>111730</v>
      </c>
      <c r="O17" s="836">
        <v>115361</v>
      </c>
      <c r="P17" s="842">
        <v>118101</v>
      </c>
      <c r="Q17" s="829">
        <v>122138</v>
      </c>
      <c r="R17" s="829">
        <v>127051</v>
      </c>
      <c r="S17" s="829">
        <v>136682</v>
      </c>
      <c r="T17" s="836">
        <v>184678</v>
      </c>
    </row>
    <row r="18" spans="1:20">
      <c r="A18" s="848" t="s">
        <v>628</v>
      </c>
      <c r="B18" s="304">
        <f t="shared" si="0"/>
        <v>6690</v>
      </c>
      <c r="C18" s="304">
        <f t="shared" si="0"/>
        <v>7360</v>
      </c>
      <c r="D18" s="819">
        <v>7701.8161590548425</v>
      </c>
      <c r="E18" s="819">
        <v>8562.1903504242182</v>
      </c>
      <c r="F18" s="846">
        <v>9035</v>
      </c>
      <c r="G18" s="839">
        <v>9727</v>
      </c>
      <c r="H18" s="839">
        <v>10179</v>
      </c>
      <c r="I18" s="839">
        <v>10593</v>
      </c>
      <c r="J18" s="846">
        <v>10877</v>
      </c>
      <c r="K18" s="839">
        <v>11057</v>
      </c>
      <c r="L18" s="839">
        <v>11283</v>
      </c>
      <c r="M18" s="839">
        <v>11456</v>
      </c>
      <c r="N18" s="854">
        <v>11551</v>
      </c>
      <c r="O18" s="854">
        <v>12132</v>
      </c>
      <c r="P18" s="846">
        <v>12600</v>
      </c>
      <c r="Q18" s="839">
        <v>12725</v>
      </c>
      <c r="R18" s="839">
        <v>13023</v>
      </c>
      <c r="S18" s="839">
        <v>13702</v>
      </c>
      <c r="T18" s="854">
        <v>17998</v>
      </c>
    </row>
    <row r="19" spans="1:20">
      <c r="A19" s="848" t="s">
        <v>629</v>
      </c>
      <c r="B19" s="304">
        <f t="shared" si="0"/>
        <v>3468</v>
      </c>
      <c r="C19" s="304">
        <f t="shared" si="0"/>
        <v>3950</v>
      </c>
      <c r="D19" s="820">
        <v>4332.5555584711647</v>
      </c>
      <c r="E19" s="820">
        <v>4649.4864445246449</v>
      </c>
      <c r="F19" s="846">
        <v>5000</v>
      </c>
      <c r="G19" s="839">
        <v>5273</v>
      </c>
      <c r="H19" s="839">
        <v>5562</v>
      </c>
      <c r="I19" s="839">
        <v>5917</v>
      </c>
      <c r="J19" s="846">
        <v>6147</v>
      </c>
      <c r="K19" s="839">
        <v>6093</v>
      </c>
      <c r="L19" s="839">
        <v>6020</v>
      </c>
      <c r="M19" s="839">
        <v>6160</v>
      </c>
      <c r="N19" s="854">
        <v>6444</v>
      </c>
      <c r="O19" s="854">
        <v>6592</v>
      </c>
      <c r="P19" s="846">
        <v>6950</v>
      </c>
      <c r="Q19" s="839">
        <v>7217</v>
      </c>
      <c r="R19" s="839">
        <v>7537</v>
      </c>
      <c r="S19" s="839">
        <v>8024</v>
      </c>
      <c r="T19" s="854">
        <v>10156</v>
      </c>
    </row>
    <row r="20" spans="1:20">
      <c r="A20" s="848" t="s">
        <v>630</v>
      </c>
      <c r="B20" s="304">
        <f t="shared" si="0"/>
        <v>2076</v>
      </c>
      <c r="C20" s="304">
        <f t="shared" si="0"/>
        <v>2291</v>
      </c>
      <c r="D20" s="820">
        <v>2445.2040908453669</v>
      </c>
      <c r="E20" s="820">
        <v>2629.903186922269</v>
      </c>
      <c r="F20" s="846">
        <v>2961</v>
      </c>
      <c r="G20" s="839">
        <v>3055</v>
      </c>
      <c r="H20" s="839">
        <v>3299</v>
      </c>
      <c r="I20" s="839">
        <v>3443</v>
      </c>
      <c r="J20" s="846">
        <v>3595</v>
      </c>
      <c r="K20" s="839">
        <v>3639</v>
      </c>
      <c r="L20" s="839">
        <v>3844</v>
      </c>
      <c r="M20" s="839">
        <v>3871</v>
      </c>
      <c r="N20" s="854">
        <v>3912</v>
      </c>
      <c r="O20" s="854">
        <v>4032</v>
      </c>
      <c r="P20" s="846">
        <v>4176</v>
      </c>
      <c r="Q20" s="839">
        <v>4311</v>
      </c>
      <c r="R20" s="839">
        <v>4582</v>
      </c>
      <c r="S20" s="839">
        <v>4941</v>
      </c>
      <c r="T20" s="854">
        <v>6560</v>
      </c>
    </row>
    <row r="21" spans="1:20">
      <c r="A21" s="826" t="s">
        <v>1558</v>
      </c>
      <c r="B21" s="304">
        <f t="shared" si="0"/>
        <v>65937</v>
      </c>
      <c r="C21" s="304">
        <f t="shared" si="0"/>
        <v>74432</v>
      </c>
      <c r="D21" s="904">
        <v>82264.968198273549</v>
      </c>
      <c r="E21" s="904">
        <v>89045.344381208051</v>
      </c>
      <c r="F21" s="843">
        <v>93922</v>
      </c>
      <c r="G21" s="825">
        <v>101390</v>
      </c>
      <c r="H21" s="825">
        <v>109075</v>
      </c>
      <c r="I21" s="825">
        <v>117225</v>
      </c>
      <c r="J21" s="843">
        <v>118973</v>
      </c>
      <c r="K21" s="825">
        <v>120584</v>
      </c>
      <c r="L21" s="825">
        <v>123605</v>
      </c>
      <c r="M21" s="825">
        <v>128796</v>
      </c>
      <c r="N21" s="830">
        <v>133637</v>
      </c>
      <c r="O21" s="830">
        <v>138118</v>
      </c>
      <c r="P21" s="843">
        <v>141827</v>
      </c>
      <c r="Q21" s="825">
        <v>146391</v>
      </c>
      <c r="R21" s="825">
        <v>152193</v>
      </c>
      <c r="S21" s="825">
        <v>163350</v>
      </c>
      <c r="T21" s="830">
        <v>219393</v>
      </c>
    </row>
    <row r="22" spans="1:20">
      <c r="A22" s="848" t="s">
        <v>1559</v>
      </c>
      <c r="B22" s="304">
        <f t="shared" si="0"/>
        <v>268</v>
      </c>
      <c r="C22" s="304">
        <f t="shared" si="0"/>
        <v>283</v>
      </c>
      <c r="D22" s="820">
        <v>458.74380172644226</v>
      </c>
      <c r="E22" s="820">
        <v>361.72393373666603</v>
      </c>
      <c r="F22" s="846">
        <v>545</v>
      </c>
      <c r="G22" s="839">
        <v>763</v>
      </c>
      <c r="H22" s="839">
        <v>660</v>
      </c>
      <c r="I22" s="839">
        <v>815</v>
      </c>
      <c r="J22" s="846">
        <v>881</v>
      </c>
      <c r="K22" s="839">
        <v>670</v>
      </c>
      <c r="L22" s="839">
        <v>672</v>
      </c>
      <c r="M22" s="839">
        <v>535</v>
      </c>
      <c r="N22" s="854">
        <v>489</v>
      </c>
      <c r="O22" s="854">
        <v>582</v>
      </c>
      <c r="P22" s="846">
        <v>762</v>
      </c>
      <c r="Q22" s="839">
        <v>946</v>
      </c>
      <c r="R22" s="839">
        <v>724</v>
      </c>
      <c r="S22" s="839">
        <v>789</v>
      </c>
      <c r="T22" s="854">
        <v>702</v>
      </c>
    </row>
    <row r="23" spans="1:20">
      <c r="A23" s="826" t="s">
        <v>1560</v>
      </c>
      <c r="B23" s="304">
        <f t="shared" si="0"/>
        <v>66207</v>
      </c>
      <c r="C23" s="304">
        <f t="shared" si="0"/>
        <v>74714</v>
      </c>
      <c r="D23" s="904">
        <v>82723.711999999985</v>
      </c>
      <c r="E23" s="904">
        <v>89407.068314944714</v>
      </c>
      <c r="F23" s="843">
        <v>94467</v>
      </c>
      <c r="G23" s="825">
        <v>102153</v>
      </c>
      <c r="H23" s="825">
        <v>109736</v>
      </c>
      <c r="I23" s="825">
        <v>118040</v>
      </c>
      <c r="J23" s="843">
        <v>119854</v>
      </c>
      <c r="K23" s="825">
        <v>121254</v>
      </c>
      <c r="L23" s="825">
        <v>124278</v>
      </c>
      <c r="M23" s="825">
        <v>129330</v>
      </c>
      <c r="N23" s="830">
        <v>134125</v>
      </c>
      <c r="O23" s="830">
        <v>138700</v>
      </c>
      <c r="P23" s="843">
        <v>142589</v>
      </c>
      <c r="Q23" s="825">
        <v>147338</v>
      </c>
      <c r="R23" s="825">
        <v>152917</v>
      </c>
      <c r="S23" s="825">
        <v>164139</v>
      </c>
      <c r="T23" s="830">
        <v>220095</v>
      </c>
    </row>
    <row r="24" spans="1:20" ht="30">
      <c r="A24" s="849" t="s">
        <v>1561</v>
      </c>
      <c r="B24" s="304">
        <f t="shared" si="0"/>
        <v>0</v>
      </c>
      <c r="C24" s="304">
        <f t="shared" si="0"/>
        <v>0</v>
      </c>
      <c r="D24" s="819">
        <v>212.70700000000002</v>
      </c>
      <c r="E24" s="819">
        <v>176.042</v>
      </c>
      <c r="F24" s="846">
        <v>226</v>
      </c>
      <c r="G24" s="839">
        <v>198</v>
      </c>
      <c r="H24" s="839">
        <v>324</v>
      </c>
      <c r="I24" s="839">
        <v>297</v>
      </c>
      <c r="J24" s="846" t="s">
        <v>531</v>
      </c>
      <c r="K24" s="839" t="s">
        <v>531</v>
      </c>
      <c r="L24" s="839" t="s">
        <v>531</v>
      </c>
      <c r="M24" s="839" t="s">
        <v>531</v>
      </c>
      <c r="N24" s="854" t="s">
        <v>531</v>
      </c>
      <c r="O24" s="854" t="s">
        <v>531</v>
      </c>
      <c r="P24" s="846" t="s">
        <v>531</v>
      </c>
      <c r="Q24" s="839" t="s">
        <v>531</v>
      </c>
      <c r="R24" s="839" t="s">
        <v>531</v>
      </c>
      <c r="S24" s="839" t="s">
        <v>531</v>
      </c>
      <c r="T24" s="854" t="s">
        <v>531</v>
      </c>
    </row>
    <row r="25" spans="1:20" ht="15" thickBot="1">
      <c r="A25" s="850" t="s">
        <v>1562</v>
      </c>
      <c r="B25" s="304">
        <f t="shared" si="0"/>
        <v>66207</v>
      </c>
      <c r="C25" s="304">
        <f t="shared" si="0"/>
        <v>74714</v>
      </c>
      <c r="D25" s="861">
        <v>82936.41899999998</v>
      </c>
      <c r="E25" s="862">
        <v>89583.110314944715</v>
      </c>
      <c r="F25" s="844">
        <v>94693</v>
      </c>
      <c r="G25" s="832">
        <v>102350</v>
      </c>
      <c r="H25" s="832">
        <v>110059</v>
      </c>
      <c r="I25" s="832">
        <v>118338</v>
      </c>
      <c r="J25" s="844">
        <v>119854</v>
      </c>
      <c r="K25" s="832">
        <v>121254</v>
      </c>
      <c r="L25" s="832">
        <v>124278</v>
      </c>
      <c r="M25" s="832">
        <v>129330</v>
      </c>
      <c r="N25" s="835">
        <v>134125</v>
      </c>
      <c r="O25" s="835">
        <v>138700</v>
      </c>
      <c r="P25" s="844">
        <v>142589</v>
      </c>
      <c r="Q25" s="832">
        <v>147338</v>
      </c>
      <c r="R25" s="832">
        <v>152917</v>
      </c>
      <c r="S25" s="832">
        <v>164139</v>
      </c>
      <c r="T25" s="835">
        <v>220095</v>
      </c>
    </row>
    <row r="26" spans="1:20">
      <c r="A26" s="847"/>
      <c r="C26" s="858"/>
      <c r="D26" s="858"/>
      <c r="E26" s="858"/>
      <c r="F26" s="858"/>
      <c r="G26" s="858"/>
      <c r="H26" s="858"/>
      <c r="I26" s="858"/>
      <c r="J26" s="834" t="s">
        <v>1563</v>
      </c>
      <c r="K26" s="837"/>
      <c r="L26" s="837"/>
      <c r="M26" s="837"/>
      <c r="N26" s="840"/>
    </row>
    <row r="27" spans="1:20">
      <c r="A27" s="826"/>
      <c r="C27" s="859"/>
      <c r="D27" s="859"/>
      <c r="E27" s="859"/>
      <c r="F27" s="859"/>
      <c r="G27" s="859"/>
      <c r="H27" s="859"/>
      <c r="I27" s="859"/>
      <c r="J27" s="1830" t="s">
        <v>1528</v>
      </c>
      <c r="K27" s="1831"/>
      <c r="L27" s="1831"/>
      <c r="M27" s="1831"/>
      <c r="N27" s="1832"/>
      <c r="P27" s="1830" t="s">
        <v>1528</v>
      </c>
      <c r="Q27" s="1831"/>
      <c r="R27" s="1831"/>
      <c r="S27" s="1831"/>
      <c r="T27" s="1832"/>
    </row>
    <row r="28" spans="1:20" ht="21">
      <c r="A28" s="826"/>
      <c r="B28" s="863" t="s">
        <v>1529</v>
      </c>
      <c r="C28" s="863" t="s">
        <v>1530</v>
      </c>
      <c r="D28" s="1743" t="s">
        <v>1531</v>
      </c>
      <c r="E28" s="863" t="s">
        <v>1532</v>
      </c>
      <c r="F28" s="1744" t="s">
        <v>1533</v>
      </c>
      <c r="G28" s="827" t="s">
        <v>1534</v>
      </c>
      <c r="H28" s="827" t="s">
        <v>1535</v>
      </c>
      <c r="I28" s="827" t="s">
        <v>1536</v>
      </c>
      <c r="J28" s="1744" t="s">
        <v>1537</v>
      </c>
      <c r="K28" s="827" t="s">
        <v>1538</v>
      </c>
      <c r="L28" s="827" t="s">
        <v>1539</v>
      </c>
      <c r="M28" s="827" t="s">
        <v>1540</v>
      </c>
      <c r="N28" s="828" t="s">
        <v>1541</v>
      </c>
      <c r="O28" s="828" t="s">
        <v>1542</v>
      </c>
      <c r="P28" s="841" t="s">
        <v>1543</v>
      </c>
      <c r="Q28" s="827" t="s">
        <v>1544</v>
      </c>
      <c r="R28" s="827" t="s">
        <v>1545</v>
      </c>
      <c r="S28" s="827" t="s">
        <v>1546</v>
      </c>
      <c r="T28" s="828" t="s">
        <v>1547</v>
      </c>
    </row>
    <row r="29" spans="1:20">
      <c r="A29" s="848" t="s">
        <v>1548</v>
      </c>
      <c r="B29" s="857">
        <v>2911</v>
      </c>
      <c r="C29" s="877">
        <v>3194</v>
      </c>
      <c r="D29" s="866">
        <v>3569.1869898485911</v>
      </c>
      <c r="E29" s="819">
        <v>3903.6477150925666</v>
      </c>
      <c r="F29" s="846">
        <v>4121</v>
      </c>
      <c r="G29" s="839">
        <v>4440</v>
      </c>
      <c r="H29" s="839">
        <v>4784</v>
      </c>
      <c r="I29" s="839">
        <v>5068</v>
      </c>
      <c r="J29" s="846">
        <v>5026</v>
      </c>
      <c r="K29" s="839">
        <v>5220</v>
      </c>
      <c r="L29" s="839">
        <v>5347</v>
      </c>
      <c r="M29" s="839">
        <v>5364</v>
      </c>
      <c r="N29" s="854">
        <v>5439</v>
      </c>
      <c r="O29" s="854">
        <v>5571</v>
      </c>
      <c r="P29" s="846">
        <v>5899</v>
      </c>
      <c r="Q29" s="839">
        <v>6041</v>
      </c>
      <c r="R29" s="839">
        <v>6198</v>
      </c>
      <c r="S29" s="839">
        <v>6651</v>
      </c>
      <c r="T29" s="854">
        <v>8824</v>
      </c>
    </row>
    <row r="30" spans="1:20">
      <c r="A30" s="848" t="s">
        <v>1549</v>
      </c>
      <c r="B30" s="857">
        <v>7742</v>
      </c>
      <c r="C30" s="877">
        <v>8766</v>
      </c>
      <c r="D30" s="866">
        <v>9492.8284967754462</v>
      </c>
      <c r="E30" s="819">
        <v>10386.328122917887</v>
      </c>
      <c r="F30" s="846">
        <v>10917</v>
      </c>
      <c r="G30" s="839">
        <v>11740</v>
      </c>
      <c r="H30" s="839">
        <v>12608</v>
      </c>
      <c r="I30" s="839">
        <v>13435</v>
      </c>
      <c r="J30" s="846">
        <v>12891</v>
      </c>
      <c r="K30" s="839">
        <v>13537</v>
      </c>
      <c r="L30" s="839">
        <v>14151</v>
      </c>
      <c r="M30" s="839">
        <v>13953</v>
      </c>
      <c r="N30" s="854">
        <v>14781</v>
      </c>
      <c r="O30" s="854">
        <v>15280</v>
      </c>
      <c r="P30" s="846">
        <v>15900</v>
      </c>
      <c r="Q30" s="839">
        <v>16457</v>
      </c>
      <c r="R30" s="839">
        <v>17089</v>
      </c>
      <c r="S30" s="839">
        <v>18293</v>
      </c>
      <c r="T30" s="854">
        <v>24214</v>
      </c>
    </row>
    <row r="31" spans="1:20">
      <c r="A31" s="848" t="s">
        <v>1550</v>
      </c>
      <c r="B31" s="857">
        <v>5205</v>
      </c>
      <c r="C31" s="877">
        <v>5951</v>
      </c>
      <c r="D31" s="866">
        <v>6656.1453921011544</v>
      </c>
      <c r="E31" s="819">
        <v>7333.4578795102452</v>
      </c>
      <c r="F31" s="846">
        <v>7583</v>
      </c>
      <c r="G31" s="839">
        <v>8161</v>
      </c>
      <c r="H31" s="839">
        <v>8888</v>
      </c>
      <c r="I31" s="839">
        <v>9390</v>
      </c>
      <c r="J31" s="846">
        <v>8928</v>
      </c>
      <c r="K31" s="839">
        <v>9432</v>
      </c>
      <c r="L31" s="839">
        <v>9665</v>
      </c>
      <c r="M31" s="839">
        <v>9772</v>
      </c>
      <c r="N31" s="854">
        <v>10428</v>
      </c>
      <c r="O31" s="854">
        <v>10666</v>
      </c>
      <c r="P31" s="846">
        <v>10918</v>
      </c>
      <c r="Q31" s="839">
        <v>11154</v>
      </c>
      <c r="R31" s="839">
        <v>11536</v>
      </c>
      <c r="S31" s="839">
        <v>12348</v>
      </c>
      <c r="T31" s="854">
        <v>16459</v>
      </c>
    </row>
    <row r="32" spans="1:20">
      <c r="A32" s="848" t="s">
        <v>1551</v>
      </c>
      <c r="B32" s="857">
        <v>3806</v>
      </c>
      <c r="C32" s="877">
        <v>4420</v>
      </c>
      <c r="D32" s="866">
        <v>4957.5052369986179</v>
      </c>
      <c r="E32" s="819">
        <v>5476.3115422505634</v>
      </c>
      <c r="F32" s="846">
        <v>5835</v>
      </c>
      <c r="G32" s="839">
        <v>6332</v>
      </c>
      <c r="H32" s="839">
        <v>6790</v>
      </c>
      <c r="I32" s="839">
        <v>7247</v>
      </c>
      <c r="J32" s="846">
        <v>6974</v>
      </c>
      <c r="K32" s="839">
        <v>7325</v>
      </c>
      <c r="L32" s="839">
        <v>7560</v>
      </c>
      <c r="M32" s="839">
        <v>7763</v>
      </c>
      <c r="N32" s="854">
        <v>8306</v>
      </c>
      <c r="O32" s="854">
        <v>8614</v>
      </c>
      <c r="P32" s="846">
        <v>8708</v>
      </c>
      <c r="Q32" s="839">
        <v>8913</v>
      </c>
      <c r="R32" s="839">
        <v>9299</v>
      </c>
      <c r="S32" s="839">
        <v>10177</v>
      </c>
      <c r="T32" s="854">
        <v>13717</v>
      </c>
    </row>
    <row r="33" spans="1:20">
      <c r="A33" s="848" t="s">
        <v>1552</v>
      </c>
      <c r="B33" s="857">
        <v>5299</v>
      </c>
      <c r="C33" s="877">
        <v>5922</v>
      </c>
      <c r="D33" s="866">
        <v>6640.3531630048283</v>
      </c>
      <c r="E33" s="819">
        <v>7342.2788273703845</v>
      </c>
      <c r="F33" s="846">
        <v>7866</v>
      </c>
      <c r="G33" s="839">
        <v>8406</v>
      </c>
      <c r="H33" s="839">
        <v>9036</v>
      </c>
      <c r="I33" s="839">
        <v>9626</v>
      </c>
      <c r="J33" s="846">
        <v>9860</v>
      </c>
      <c r="K33" s="839">
        <v>10251</v>
      </c>
      <c r="L33" s="839">
        <v>10626</v>
      </c>
      <c r="M33" s="839">
        <v>10789</v>
      </c>
      <c r="N33" s="854">
        <v>11688</v>
      </c>
      <c r="O33" s="854">
        <v>12032</v>
      </c>
      <c r="P33" s="846">
        <v>12134</v>
      </c>
      <c r="Q33" s="839">
        <v>12319</v>
      </c>
      <c r="R33" s="839">
        <v>12637</v>
      </c>
      <c r="S33" s="839">
        <v>13483</v>
      </c>
      <c r="T33" s="854">
        <v>18015</v>
      </c>
    </row>
    <row r="34" spans="1:20">
      <c r="A34" s="848" t="s">
        <v>1553</v>
      </c>
      <c r="B34" s="857">
        <v>5163</v>
      </c>
      <c r="C34" s="877">
        <v>5731</v>
      </c>
      <c r="D34" s="866">
        <v>6463.9978358946928</v>
      </c>
      <c r="E34" s="819">
        <v>6978.6186829762555</v>
      </c>
      <c r="F34" s="846">
        <v>7443</v>
      </c>
      <c r="G34" s="839">
        <v>7832</v>
      </c>
      <c r="H34" s="839">
        <v>8559</v>
      </c>
      <c r="I34" s="839">
        <v>9262</v>
      </c>
      <c r="J34" s="846">
        <v>9398</v>
      </c>
      <c r="K34" s="839">
        <v>8968</v>
      </c>
      <c r="L34" s="839">
        <v>9161</v>
      </c>
      <c r="M34" s="839">
        <v>9927</v>
      </c>
      <c r="N34" s="854">
        <v>10643</v>
      </c>
      <c r="O34" s="854">
        <v>10841</v>
      </c>
      <c r="P34" s="846">
        <v>10932</v>
      </c>
      <c r="Q34" s="839">
        <v>11585</v>
      </c>
      <c r="R34" s="839">
        <v>12053</v>
      </c>
      <c r="S34" s="839">
        <v>12851</v>
      </c>
      <c r="T34" s="854">
        <v>17442</v>
      </c>
    </row>
    <row r="35" spans="1:20">
      <c r="A35" s="848" t="s">
        <v>1554</v>
      </c>
      <c r="B35" s="857">
        <v>8989</v>
      </c>
      <c r="C35" s="877">
        <v>10015</v>
      </c>
      <c r="D35" s="866">
        <v>11259.565019993028</v>
      </c>
      <c r="E35" s="819">
        <v>12092.595792979251</v>
      </c>
      <c r="F35" s="846">
        <v>12162</v>
      </c>
      <c r="G35" s="839">
        <v>13403</v>
      </c>
      <c r="H35" s="839">
        <v>14422</v>
      </c>
      <c r="I35" s="839">
        <v>16085</v>
      </c>
      <c r="J35" s="846">
        <v>19031</v>
      </c>
      <c r="K35" s="839">
        <v>19557</v>
      </c>
      <c r="L35" s="839">
        <v>19420</v>
      </c>
      <c r="M35" s="839">
        <v>20455</v>
      </c>
      <c r="N35" s="854">
        <v>20854</v>
      </c>
      <c r="O35" s="854">
        <v>21366</v>
      </c>
      <c r="P35" s="846">
        <v>22077</v>
      </c>
      <c r="Q35" s="839">
        <v>22528</v>
      </c>
      <c r="R35" s="839">
        <v>23431</v>
      </c>
      <c r="S35" s="839">
        <v>25246</v>
      </c>
      <c r="T35" s="854">
        <v>32616</v>
      </c>
    </row>
    <row r="36" spans="1:20">
      <c r="A36" s="848" t="s">
        <v>1555</v>
      </c>
      <c r="B36" s="857">
        <v>7699</v>
      </c>
      <c r="C36" s="877">
        <v>8659</v>
      </c>
      <c r="D36" s="866">
        <v>9637.9652914856397</v>
      </c>
      <c r="E36" s="819">
        <v>10376.506464617118</v>
      </c>
      <c r="F36" s="846">
        <v>10856</v>
      </c>
      <c r="G36" s="839">
        <v>11676</v>
      </c>
      <c r="H36" s="839">
        <v>12559</v>
      </c>
      <c r="I36" s="839">
        <v>13513</v>
      </c>
      <c r="J36" s="846">
        <v>13973</v>
      </c>
      <c r="K36" s="839">
        <v>13813</v>
      </c>
      <c r="L36" s="839">
        <v>14077</v>
      </c>
      <c r="M36" s="839">
        <v>15083</v>
      </c>
      <c r="N36" s="854">
        <v>15886</v>
      </c>
      <c r="O36" s="854">
        <v>16149</v>
      </c>
      <c r="P36" s="846">
        <v>16561</v>
      </c>
      <c r="Q36" s="839">
        <v>17071</v>
      </c>
      <c r="R36" s="839">
        <v>17651</v>
      </c>
      <c r="S36" s="839">
        <v>18914</v>
      </c>
      <c r="T36" s="854">
        <v>25795</v>
      </c>
    </row>
    <row r="37" spans="1:20">
      <c r="A37" s="852" t="s">
        <v>1556</v>
      </c>
      <c r="B37" s="857">
        <v>4790</v>
      </c>
      <c r="C37" s="877">
        <v>5453</v>
      </c>
      <c r="D37" s="866">
        <v>6116.9948868475267</v>
      </c>
      <c r="E37" s="819">
        <v>6732.4182285006664</v>
      </c>
      <c r="F37" s="853">
        <v>6970</v>
      </c>
      <c r="G37" s="851">
        <v>7573</v>
      </c>
      <c r="H37" s="851">
        <v>8122</v>
      </c>
      <c r="I37" s="851">
        <v>8623</v>
      </c>
      <c r="J37" s="853">
        <v>8066</v>
      </c>
      <c r="K37" s="851">
        <v>8449</v>
      </c>
      <c r="L37" s="851">
        <v>8767</v>
      </c>
      <c r="M37" s="851">
        <v>9481</v>
      </c>
      <c r="N37" s="855">
        <v>9975</v>
      </c>
      <c r="O37" s="855">
        <v>10134</v>
      </c>
      <c r="P37" s="853">
        <v>10525</v>
      </c>
      <c r="Q37" s="851">
        <v>10841</v>
      </c>
      <c r="R37" s="851">
        <v>11299</v>
      </c>
      <c r="S37" s="851">
        <v>12187</v>
      </c>
      <c r="T37" s="855">
        <v>16350</v>
      </c>
    </row>
    <row r="38" spans="1:20">
      <c r="A38" s="847" t="s">
        <v>1557</v>
      </c>
      <c r="B38" s="823">
        <v>51604</v>
      </c>
      <c r="C38" s="878">
        <v>58111</v>
      </c>
      <c r="D38" s="1745">
        <v>64794.542312949525</v>
      </c>
      <c r="E38" s="1742">
        <v>70622.163256214932</v>
      </c>
      <c r="F38" s="842">
        <v>73753</v>
      </c>
      <c r="G38" s="829">
        <v>79563</v>
      </c>
      <c r="H38" s="829">
        <v>85768</v>
      </c>
      <c r="I38" s="829">
        <v>92250</v>
      </c>
      <c r="J38" s="842">
        <v>94147</v>
      </c>
      <c r="K38" s="829">
        <v>96552</v>
      </c>
      <c r="L38" s="829">
        <v>98774</v>
      </c>
      <c r="M38" s="829">
        <v>102588</v>
      </c>
      <c r="N38" s="836">
        <v>108000</v>
      </c>
      <c r="O38" s="836">
        <v>110655</v>
      </c>
      <c r="P38" s="842">
        <v>113655</v>
      </c>
      <c r="Q38" s="829">
        <v>116909</v>
      </c>
      <c r="R38" s="829">
        <v>121195</v>
      </c>
      <c r="S38" s="829">
        <v>130150</v>
      </c>
      <c r="T38" s="836">
        <v>173433</v>
      </c>
    </row>
    <row r="39" spans="1:20">
      <c r="A39" s="848" t="s">
        <v>628</v>
      </c>
      <c r="B39" s="857">
        <v>6215</v>
      </c>
      <c r="C39" s="877">
        <v>7044</v>
      </c>
      <c r="D39" s="866">
        <v>7280.5656470688737</v>
      </c>
      <c r="E39" s="819">
        <v>8307.6244074827137</v>
      </c>
      <c r="F39" s="846">
        <v>8742</v>
      </c>
      <c r="G39" s="839">
        <v>9285</v>
      </c>
      <c r="H39" s="839">
        <v>9672</v>
      </c>
      <c r="I39" s="839">
        <v>10059</v>
      </c>
      <c r="J39" s="846">
        <v>10287</v>
      </c>
      <c r="K39" s="839">
        <v>10543</v>
      </c>
      <c r="L39" s="839">
        <v>10714</v>
      </c>
      <c r="M39" s="839">
        <v>10943</v>
      </c>
      <c r="N39" s="854">
        <v>11231</v>
      </c>
      <c r="O39" s="854">
        <v>11618</v>
      </c>
      <c r="P39" s="846">
        <v>11976</v>
      </c>
      <c r="Q39" s="839">
        <v>12253</v>
      </c>
      <c r="R39" s="839">
        <v>12537</v>
      </c>
      <c r="S39" s="839">
        <v>13237</v>
      </c>
      <c r="T39" s="854">
        <v>17368</v>
      </c>
    </row>
    <row r="40" spans="1:20">
      <c r="A40" s="848" t="s">
        <v>629</v>
      </c>
      <c r="B40" s="857">
        <v>3341</v>
      </c>
      <c r="C40" s="877">
        <v>3821</v>
      </c>
      <c r="D40" s="866">
        <v>4212.1665012856647</v>
      </c>
      <c r="E40" s="819">
        <v>4493.9557141978385</v>
      </c>
      <c r="F40" s="846">
        <v>4823</v>
      </c>
      <c r="G40" s="839">
        <v>5004</v>
      </c>
      <c r="H40" s="839">
        <v>5250</v>
      </c>
      <c r="I40" s="839">
        <v>5520</v>
      </c>
      <c r="J40" s="846">
        <v>5758</v>
      </c>
      <c r="K40" s="839">
        <v>5796</v>
      </c>
      <c r="L40" s="839">
        <v>5807</v>
      </c>
      <c r="M40" s="839">
        <v>5939</v>
      </c>
      <c r="N40" s="854">
        <v>6152</v>
      </c>
      <c r="O40" s="854">
        <v>6380</v>
      </c>
      <c r="P40" s="846">
        <v>6677</v>
      </c>
      <c r="Q40" s="839">
        <v>6859</v>
      </c>
      <c r="R40" s="839">
        <v>7121</v>
      </c>
      <c r="S40" s="839">
        <v>7613</v>
      </c>
      <c r="T40" s="854">
        <v>9610</v>
      </c>
    </row>
    <row r="41" spans="1:20">
      <c r="A41" s="848" t="s">
        <v>630</v>
      </c>
      <c r="B41" s="857">
        <v>1972</v>
      </c>
      <c r="C41" s="877">
        <v>2164</v>
      </c>
      <c r="D41" s="866">
        <v>2289.209090845367</v>
      </c>
      <c r="E41" s="819">
        <v>2469.5465448879104</v>
      </c>
      <c r="F41" s="846">
        <v>2765</v>
      </c>
      <c r="G41" s="839">
        <v>2873</v>
      </c>
      <c r="H41" s="839">
        <v>3106</v>
      </c>
      <c r="I41" s="839">
        <v>3251</v>
      </c>
      <c r="J41" s="846">
        <v>3393</v>
      </c>
      <c r="K41" s="839">
        <v>3444</v>
      </c>
      <c r="L41" s="839">
        <v>3529</v>
      </c>
      <c r="M41" s="839">
        <v>3630</v>
      </c>
      <c r="N41" s="854">
        <v>3687</v>
      </c>
      <c r="O41" s="854">
        <v>3822</v>
      </c>
      <c r="P41" s="846">
        <v>3934</v>
      </c>
      <c r="Q41" s="839">
        <v>4096</v>
      </c>
      <c r="R41" s="839">
        <v>4331</v>
      </c>
      <c r="S41" s="839">
        <v>4726</v>
      </c>
      <c r="T41" s="854">
        <v>6153</v>
      </c>
    </row>
    <row r="42" spans="1:20">
      <c r="A42" s="826" t="s">
        <v>1558</v>
      </c>
      <c r="B42" s="821">
        <v>63133</v>
      </c>
      <c r="C42" s="878">
        <v>71141</v>
      </c>
      <c r="D42" s="905">
        <v>78576.483552149439</v>
      </c>
      <c r="E42" s="904">
        <v>85893.289922783399</v>
      </c>
      <c r="F42" s="843">
        <v>90084</v>
      </c>
      <c r="G42" s="825">
        <v>96725</v>
      </c>
      <c r="H42" s="825">
        <v>103796</v>
      </c>
      <c r="I42" s="825">
        <v>111080</v>
      </c>
      <c r="J42" s="843">
        <v>113584</v>
      </c>
      <c r="K42" s="825">
        <v>116335</v>
      </c>
      <c r="L42" s="825">
        <v>118824</v>
      </c>
      <c r="M42" s="825">
        <v>123101</v>
      </c>
      <c r="N42" s="830">
        <v>129070</v>
      </c>
      <c r="O42" s="830">
        <v>132474</v>
      </c>
      <c r="P42" s="843">
        <v>136242</v>
      </c>
      <c r="Q42" s="825">
        <v>140116</v>
      </c>
      <c r="R42" s="825">
        <v>145183</v>
      </c>
      <c r="S42" s="825">
        <v>155726</v>
      </c>
      <c r="T42" s="830">
        <v>206563</v>
      </c>
    </row>
    <row r="43" spans="1:20">
      <c r="A43" s="848" t="s">
        <v>1559</v>
      </c>
      <c r="B43" s="824">
        <v>267</v>
      </c>
      <c r="C43" s="879">
        <v>282</v>
      </c>
      <c r="D43" s="866">
        <v>457.52644785056577</v>
      </c>
      <c r="E43" s="820">
        <v>360.60739216131293</v>
      </c>
      <c r="F43" s="846">
        <v>545</v>
      </c>
      <c r="G43" s="839">
        <v>763</v>
      </c>
      <c r="H43" s="839">
        <v>660</v>
      </c>
      <c r="I43" s="839">
        <v>815</v>
      </c>
      <c r="J43" s="846">
        <v>881</v>
      </c>
      <c r="K43" s="839">
        <v>670</v>
      </c>
      <c r="L43" s="839">
        <v>672</v>
      </c>
      <c r="M43" s="839">
        <v>532</v>
      </c>
      <c r="N43" s="854">
        <v>486</v>
      </c>
      <c r="O43" s="854">
        <v>545</v>
      </c>
      <c r="P43" s="846">
        <v>736</v>
      </c>
      <c r="Q43" s="839">
        <v>917</v>
      </c>
      <c r="R43" s="839">
        <v>715</v>
      </c>
      <c r="S43" s="839">
        <v>783</v>
      </c>
      <c r="T43" s="854">
        <v>699</v>
      </c>
    </row>
    <row r="44" spans="1:20">
      <c r="A44" s="826" t="s">
        <v>1560</v>
      </c>
      <c r="B44" s="864">
        <v>63401</v>
      </c>
      <c r="C44" s="878">
        <v>71423</v>
      </c>
      <c r="D44" s="905">
        <v>79034.009999999995</v>
      </c>
      <c r="E44" s="904">
        <v>86253.897314944712</v>
      </c>
      <c r="F44" s="843">
        <v>90629</v>
      </c>
      <c r="G44" s="825">
        <v>97488</v>
      </c>
      <c r="H44" s="825">
        <v>104456</v>
      </c>
      <c r="I44" s="825">
        <v>111896</v>
      </c>
      <c r="J44" s="843">
        <v>114465</v>
      </c>
      <c r="K44" s="825">
        <v>117005</v>
      </c>
      <c r="L44" s="825">
        <v>119496</v>
      </c>
      <c r="M44" s="825">
        <v>123632</v>
      </c>
      <c r="N44" s="830">
        <v>129556</v>
      </c>
      <c r="O44" s="830">
        <v>133019</v>
      </c>
      <c r="P44" s="843">
        <v>136978</v>
      </c>
      <c r="Q44" s="825">
        <v>141033</v>
      </c>
      <c r="R44" s="825">
        <v>145899</v>
      </c>
      <c r="S44" s="825">
        <v>156509</v>
      </c>
      <c r="T44" s="830">
        <v>207262</v>
      </c>
    </row>
    <row r="45" spans="1:20" ht="30">
      <c r="A45" s="849" t="s">
        <v>1561</v>
      </c>
      <c r="B45" s="860"/>
      <c r="C45" s="860"/>
      <c r="D45" s="866">
        <v>184.29400000000001</v>
      </c>
      <c r="E45" s="819">
        <v>213.59700000000001</v>
      </c>
      <c r="F45" s="846">
        <v>175</v>
      </c>
      <c r="G45" s="839">
        <v>144</v>
      </c>
      <c r="H45" s="839">
        <v>257</v>
      </c>
      <c r="I45" s="839">
        <v>261</v>
      </c>
      <c r="J45" s="846" t="s">
        <v>531</v>
      </c>
      <c r="K45" s="839" t="s">
        <v>531</v>
      </c>
      <c r="L45" s="839" t="s">
        <v>531</v>
      </c>
      <c r="M45" s="839" t="s">
        <v>531</v>
      </c>
      <c r="N45" s="854" t="s">
        <v>531</v>
      </c>
      <c r="O45" s="854" t="s">
        <v>531</v>
      </c>
      <c r="P45" s="846" t="s">
        <v>531</v>
      </c>
      <c r="Q45" s="839" t="s">
        <v>531</v>
      </c>
      <c r="R45" s="839" t="s">
        <v>531</v>
      </c>
      <c r="S45" s="839" t="s">
        <v>531</v>
      </c>
      <c r="T45" s="854" t="s">
        <v>531</v>
      </c>
    </row>
    <row r="46" spans="1:20" ht="15" thickBot="1">
      <c r="A46" s="850" t="s">
        <v>1562</v>
      </c>
      <c r="B46" s="869">
        <v>63401</v>
      </c>
      <c r="C46" s="878">
        <v>71423</v>
      </c>
      <c r="D46" s="865">
        <v>79218.304000000004</v>
      </c>
      <c r="E46" s="861">
        <v>86467.494314944706</v>
      </c>
      <c r="F46" s="845">
        <v>90804</v>
      </c>
      <c r="G46" s="831">
        <v>97632</v>
      </c>
      <c r="H46" s="832">
        <v>104713</v>
      </c>
      <c r="I46" s="832">
        <v>112156</v>
      </c>
      <c r="J46" s="845">
        <v>114465</v>
      </c>
      <c r="K46" s="831">
        <v>117005</v>
      </c>
      <c r="L46" s="832">
        <v>119496</v>
      </c>
      <c r="M46" s="832">
        <v>123632</v>
      </c>
      <c r="N46" s="835">
        <v>129556</v>
      </c>
      <c r="O46" s="835">
        <v>133019</v>
      </c>
      <c r="P46" s="845">
        <v>136978</v>
      </c>
      <c r="Q46" s="831">
        <v>141033</v>
      </c>
      <c r="R46" s="832">
        <v>145899</v>
      </c>
      <c r="S46" s="832">
        <v>156509</v>
      </c>
      <c r="T46" s="835">
        <v>207262</v>
      </c>
    </row>
    <row r="47" spans="1:20">
      <c r="A47" s="847"/>
      <c r="B47" s="858"/>
      <c r="C47" s="858"/>
      <c r="D47" s="858"/>
      <c r="E47" s="858"/>
      <c r="F47" s="858"/>
      <c r="G47" s="858"/>
      <c r="H47" s="858"/>
      <c r="I47" s="858"/>
      <c r="J47" s="838" t="s">
        <v>1564</v>
      </c>
      <c r="K47" s="837"/>
      <c r="L47" s="837"/>
      <c r="M47" s="837"/>
      <c r="N47" s="837"/>
      <c r="P47" s="838" t="s">
        <v>1564</v>
      </c>
      <c r="Q47" s="837"/>
      <c r="R47" s="837"/>
      <c r="S47" s="837"/>
      <c r="T47" s="837"/>
    </row>
    <row r="48" spans="1:20">
      <c r="A48" s="826"/>
      <c r="B48" s="859"/>
      <c r="C48" s="859"/>
      <c r="D48" s="859"/>
      <c r="E48" s="859"/>
      <c r="F48" s="859"/>
      <c r="G48" s="859"/>
      <c r="H48" s="859"/>
      <c r="I48" s="859"/>
      <c r="J48" s="1831" t="s">
        <v>1528</v>
      </c>
      <c r="K48" s="1831"/>
      <c r="L48" s="1831"/>
      <c r="M48" s="1831"/>
      <c r="N48" s="1831"/>
      <c r="P48" s="822" t="s">
        <v>1528</v>
      </c>
      <c r="Q48" s="822"/>
      <c r="R48" s="822"/>
      <c r="S48" s="822"/>
      <c r="T48" s="822"/>
    </row>
    <row r="49" spans="1:20" ht="21">
      <c r="A49" s="826"/>
      <c r="B49" s="863" t="s">
        <v>1529</v>
      </c>
      <c r="C49" s="863" t="s">
        <v>1530</v>
      </c>
      <c r="D49" s="1743" t="s">
        <v>1531</v>
      </c>
      <c r="E49" s="863" t="s">
        <v>1532</v>
      </c>
      <c r="F49" s="1741" t="s">
        <v>1533</v>
      </c>
      <c r="G49" s="827" t="s">
        <v>1534</v>
      </c>
      <c r="H49" s="827" t="s">
        <v>1535</v>
      </c>
      <c r="I49" s="827" t="s">
        <v>1536</v>
      </c>
      <c r="J49" s="1741" t="s">
        <v>1537</v>
      </c>
      <c r="K49" s="827" t="s">
        <v>1538</v>
      </c>
      <c r="L49" s="827" t="s">
        <v>1539</v>
      </c>
      <c r="M49" s="827" t="s">
        <v>1540</v>
      </c>
      <c r="N49" s="827" t="s">
        <v>1541</v>
      </c>
      <c r="O49" s="827" t="s">
        <v>1542</v>
      </c>
      <c r="P49" s="841" t="s">
        <v>1543</v>
      </c>
      <c r="Q49" s="827" t="s">
        <v>1544</v>
      </c>
      <c r="R49" s="827" t="s">
        <v>1545</v>
      </c>
      <c r="S49" s="827" t="s">
        <v>1546</v>
      </c>
      <c r="T49" s="1741" t="s">
        <v>1547</v>
      </c>
    </row>
    <row r="50" spans="1:20">
      <c r="A50" s="848" t="s">
        <v>1548</v>
      </c>
      <c r="B50" s="870">
        <v>118</v>
      </c>
      <c r="C50" s="879">
        <v>138</v>
      </c>
      <c r="D50" s="866">
        <v>149.54756850443212</v>
      </c>
      <c r="E50" s="819">
        <v>155.72788368338976</v>
      </c>
      <c r="F50" s="839">
        <v>174</v>
      </c>
      <c r="G50" s="839">
        <v>166</v>
      </c>
      <c r="H50" s="839">
        <v>240</v>
      </c>
      <c r="I50" s="839">
        <v>242</v>
      </c>
      <c r="J50" s="839">
        <v>231</v>
      </c>
      <c r="K50" s="839">
        <v>176</v>
      </c>
      <c r="L50" s="839">
        <v>199</v>
      </c>
      <c r="M50" s="839">
        <v>255</v>
      </c>
      <c r="N50" s="839">
        <v>197</v>
      </c>
      <c r="O50" s="839">
        <v>233</v>
      </c>
      <c r="P50" s="839">
        <v>220</v>
      </c>
      <c r="Q50" s="839">
        <v>258</v>
      </c>
      <c r="R50" s="839">
        <v>296</v>
      </c>
      <c r="S50" s="839">
        <v>334</v>
      </c>
      <c r="T50" s="839">
        <v>504</v>
      </c>
    </row>
    <row r="51" spans="1:20">
      <c r="A51" s="848" t="s">
        <v>1549</v>
      </c>
      <c r="B51" s="870">
        <v>268</v>
      </c>
      <c r="C51" s="879">
        <v>365</v>
      </c>
      <c r="D51" s="866">
        <v>420.0112546892143</v>
      </c>
      <c r="E51" s="819">
        <v>393.51070322415427</v>
      </c>
      <c r="F51" s="839">
        <v>436</v>
      </c>
      <c r="G51" s="839">
        <v>567</v>
      </c>
      <c r="H51" s="839">
        <v>511</v>
      </c>
      <c r="I51" s="839">
        <v>661</v>
      </c>
      <c r="J51" s="839">
        <v>568</v>
      </c>
      <c r="K51" s="839">
        <v>443</v>
      </c>
      <c r="L51" s="839">
        <v>522</v>
      </c>
      <c r="M51" s="839">
        <v>647</v>
      </c>
      <c r="N51" s="839">
        <v>522</v>
      </c>
      <c r="O51" s="839">
        <v>608</v>
      </c>
      <c r="P51" s="839">
        <v>588</v>
      </c>
      <c r="Q51" s="839">
        <v>688</v>
      </c>
      <c r="R51" s="839">
        <v>815</v>
      </c>
      <c r="S51" s="839">
        <v>914</v>
      </c>
      <c r="T51" s="839">
        <v>1584</v>
      </c>
    </row>
    <row r="52" spans="1:20">
      <c r="A52" s="848" t="s">
        <v>1550</v>
      </c>
      <c r="B52" s="871">
        <v>197</v>
      </c>
      <c r="C52" s="879">
        <v>237</v>
      </c>
      <c r="D52" s="866">
        <v>253.58799463471951</v>
      </c>
      <c r="E52" s="819">
        <v>261.13196989629466</v>
      </c>
      <c r="F52" s="839">
        <v>301</v>
      </c>
      <c r="G52" s="839">
        <v>305</v>
      </c>
      <c r="H52" s="839">
        <v>357</v>
      </c>
      <c r="I52" s="839">
        <v>463</v>
      </c>
      <c r="J52" s="839">
        <v>407</v>
      </c>
      <c r="K52" s="839">
        <v>309</v>
      </c>
      <c r="L52" s="839">
        <v>358</v>
      </c>
      <c r="M52" s="839">
        <v>449</v>
      </c>
      <c r="N52" s="839">
        <v>357</v>
      </c>
      <c r="O52" s="839">
        <v>410</v>
      </c>
      <c r="P52" s="839">
        <v>394</v>
      </c>
      <c r="Q52" s="839">
        <v>459</v>
      </c>
      <c r="R52" s="839">
        <v>541</v>
      </c>
      <c r="S52" s="839">
        <v>604</v>
      </c>
      <c r="T52" s="839">
        <v>1037</v>
      </c>
    </row>
    <row r="53" spans="1:20">
      <c r="A53" s="848" t="s">
        <v>1551</v>
      </c>
      <c r="B53" s="871">
        <v>173</v>
      </c>
      <c r="C53" s="879">
        <v>203</v>
      </c>
      <c r="D53" s="866">
        <v>225.39392829506758</v>
      </c>
      <c r="E53" s="819">
        <v>210.94937598502119</v>
      </c>
      <c r="F53" s="839">
        <v>191</v>
      </c>
      <c r="G53" s="839">
        <v>293</v>
      </c>
      <c r="H53" s="839">
        <v>399</v>
      </c>
      <c r="I53" s="839">
        <v>335</v>
      </c>
      <c r="J53" s="839">
        <v>286</v>
      </c>
      <c r="K53" s="839">
        <v>237</v>
      </c>
      <c r="L53" s="839">
        <v>278</v>
      </c>
      <c r="M53" s="839">
        <v>347</v>
      </c>
      <c r="N53" s="839">
        <v>269</v>
      </c>
      <c r="O53" s="839">
        <v>327</v>
      </c>
      <c r="P53" s="839">
        <v>318</v>
      </c>
      <c r="Q53" s="839">
        <v>373</v>
      </c>
      <c r="R53" s="839">
        <v>441</v>
      </c>
      <c r="S53" s="839">
        <v>502</v>
      </c>
      <c r="T53" s="839">
        <v>905</v>
      </c>
    </row>
    <row r="54" spans="1:20">
      <c r="A54" s="848" t="s">
        <v>1552</v>
      </c>
      <c r="B54" s="871">
        <v>264</v>
      </c>
      <c r="C54" s="879">
        <v>325</v>
      </c>
      <c r="D54" s="866">
        <v>320.1094212195232</v>
      </c>
      <c r="E54" s="819">
        <v>223.34785141609837</v>
      </c>
      <c r="F54" s="839">
        <v>357</v>
      </c>
      <c r="G54" s="839">
        <v>429</v>
      </c>
      <c r="H54" s="839">
        <v>451</v>
      </c>
      <c r="I54" s="839">
        <v>579</v>
      </c>
      <c r="J54" s="839">
        <v>421</v>
      </c>
      <c r="K54" s="839">
        <v>337</v>
      </c>
      <c r="L54" s="839">
        <v>397</v>
      </c>
      <c r="M54" s="839">
        <v>490</v>
      </c>
      <c r="N54" s="839">
        <v>402</v>
      </c>
      <c r="O54" s="839">
        <v>445</v>
      </c>
      <c r="P54" s="839">
        <v>441</v>
      </c>
      <c r="Q54" s="839">
        <v>507</v>
      </c>
      <c r="R54" s="839">
        <v>593</v>
      </c>
      <c r="S54" s="839">
        <v>661</v>
      </c>
      <c r="T54" s="839">
        <v>1253</v>
      </c>
    </row>
    <row r="55" spans="1:20">
      <c r="A55" s="848" t="s">
        <v>1553</v>
      </c>
      <c r="B55" s="871">
        <v>191</v>
      </c>
      <c r="C55" s="879">
        <v>266</v>
      </c>
      <c r="D55" s="866">
        <v>248.1044518378439</v>
      </c>
      <c r="E55" s="819">
        <v>249.44246852874184</v>
      </c>
      <c r="F55" s="839">
        <v>218</v>
      </c>
      <c r="G55" s="839">
        <v>278</v>
      </c>
      <c r="H55" s="839">
        <v>343</v>
      </c>
      <c r="I55" s="839">
        <v>469</v>
      </c>
      <c r="J55" s="839">
        <v>422</v>
      </c>
      <c r="K55" s="839">
        <v>301</v>
      </c>
      <c r="L55" s="839">
        <v>338</v>
      </c>
      <c r="M55" s="839">
        <v>452</v>
      </c>
      <c r="N55" s="839">
        <v>346</v>
      </c>
      <c r="O55" s="839">
        <v>450</v>
      </c>
      <c r="P55" s="839">
        <v>414</v>
      </c>
      <c r="Q55" s="839">
        <v>581</v>
      </c>
      <c r="R55" s="839">
        <v>594</v>
      </c>
      <c r="S55" s="839">
        <v>648</v>
      </c>
      <c r="T55" s="839">
        <v>1203</v>
      </c>
    </row>
    <row r="56" spans="1:20">
      <c r="A56" s="848" t="s">
        <v>1554</v>
      </c>
      <c r="B56" s="871">
        <v>353</v>
      </c>
      <c r="C56" s="879">
        <v>536</v>
      </c>
      <c r="D56" s="866">
        <v>642.36847191359186</v>
      </c>
      <c r="E56" s="819">
        <v>514.59703051150848</v>
      </c>
      <c r="F56" s="839">
        <v>518</v>
      </c>
      <c r="G56" s="839">
        <v>761</v>
      </c>
      <c r="H56" s="839">
        <v>769</v>
      </c>
      <c r="I56" s="839">
        <v>887</v>
      </c>
      <c r="J56" s="839">
        <v>885</v>
      </c>
      <c r="K56" s="839">
        <v>693</v>
      </c>
      <c r="L56" s="839">
        <v>746</v>
      </c>
      <c r="M56" s="839">
        <v>961</v>
      </c>
      <c r="N56" s="839">
        <v>784</v>
      </c>
      <c r="O56" s="839">
        <v>1135</v>
      </c>
      <c r="P56" s="839">
        <v>1032</v>
      </c>
      <c r="Q56" s="839">
        <v>1123</v>
      </c>
      <c r="R56" s="839">
        <v>1195</v>
      </c>
      <c r="S56" s="839">
        <v>1330</v>
      </c>
      <c r="T56" s="839">
        <v>1865</v>
      </c>
    </row>
    <row r="57" spans="1:20">
      <c r="A57" s="848" t="s">
        <v>1555</v>
      </c>
      <c r="B57" s="871">
        <v>368</v>
      </c>
      <c r="C57" s="879">
        <v>416</v>
      </c>
      <c r="D57" s="866">
        <v>461.69438047490809</v>
      </c>
      <c r="E57" s="819">
        <v>281.54400944778132</v>
      </c>
      <c r="F57" s="839">
        <v>686</v>
      </c>
      <c r="G57" s="839">
        <v>626</v>
      </c>
      <c r="H57" s="839">
        <v>745</v>
      </c>
      <c r="I57" s="839">
        <v>915</v>
      </c>
      <c r="J57" s="839">
        <v>632</v>
      </c>
      <c r="K57" s="839">
        <v>460</v>
      </c>
      <c r="L57" s="839">
        <v>525</v>
      </c>
      <c r="M57" s="839">
        <v>688</v>
      </c>
      <c r="N57" s="839">
        <v>521</v>
      </c>
      <c r="O57" s="839">
        <v>702</v>
      </c>
      <c r="P57" s="839">
        <v>656</v>
      </c>
      <c r="Q57" s="839">
        <v>772</v>
      </c>
      <c r="R57" s="839">
        <v>844</v>
      </c>
      <c r="S57" s="839">
        <v>934</v>
      </c>
      <c r="T57" s="839">
        <v>1794</v>
      </c>
    </row>
    <row r="58" spans="1:20">
      <c r="A58" s="852" t="s">
        <v>1556</v>
      </c>
      <c r="B58" s="871">
        <v>168</v>
      </c>
      <c r="C58" s="879">
        <v>233</v>
      </c>
      <c r="D58" s="866">
        <v>270.03260538335377</v>
      </c>
      <c r="E58" s="819">
        <v>291.34985042898722</v>
      </c>
      <c r="F58" s="851">
        <v>291</v>
      </c>
      <c r="G58" s="851">
        <v>347</v>
      </c>
      <c r="H58" s="851">
        <v>451</v>
      </c>
      <c r="I58" s="851">
        <v>472</v>
      </c>
      <c r="J58" s="851">
        <v>354</v>
      </c>
      <c r="K58" s="851">
        <v>287</v>
      </c>
      <c r="L58" s="851">
        <v>323</v>
      </c>
      <c r="M58" s="851">
        <v>433</v>
      </c>
      <c r="N58" s="851">
        <v>332</v>
      </c>
      <c r="O58" s="851">
        <v>397</v>
      </c>
      <c r="P58" s="851">
        <v>384</v>
      </c>
      <c r="Q58" s="851">
        <v>467</v>
      </c>
      <c r="R58" s="851">
        <v>538</v>
      </c>
      <c r="S58" s="851">
        <v>604</v>
      </c>
      <c r="T58" s="851">
        <v>1101</v>
      </c>
    </row>
    <row r="59" spans="1:20">
      <c r="A59" s="847" t="s">
        <v>1557</v>
      </c>
      <c r="B59" s="872">
        <v>2099</v>
      </c>
      <c r="C59" s="878">
        <v>2719</v>
      </c>
      <c r="D59" s="1745">
        <v>2990.8500769526545</v>
      </c>
      <c r="E59" s="1742">
        <v>2581.6011431219772</v>
      </c>
      <c r="F59" s="829">
        <v>3173</v>
      </c>
      <c r="G59" s="829">
        <v>3772</v>
      </c>
      <c r="H59" s="829">
        <v>4267</v>
      </c>
      <c r="I59" s="829">
        <v>5022</v>
      </c>
      <c r="J59" s="829">
        <v>4206</v>
      </c>
      <c r="K59" s="829">
        <v>3243</v>
      </c>
      <c r="L59" s="829">
        <v>3685</v>
      </c>
      <c r="M59" s="829">
        <v>4721</v>
      </c>
      <c r="N59" s="829">
        <v>3731</v>
      </c>
      <c r="O59" s="829">
        <v>4706</v>
      </c>
      <c r="P59" s="829">
        <v>4447</v>
      </c>
      <c r="Q59" s="829">
        <v>5228</v>
      </c>
      <c r="R59" s="829">
        <v>5856</v>
      </c>
      <c r="S59" s="829">
        <v>6532</v>
      </c>
      <c r="T59" s="829">
        <v>11246</v>
      </c>
    </row>
    <row r="60" spans="1:20">
      <c r="A60" s="848" t="s">
        <v>628</v>
      </c>
      <c r="B60" s="871">
        <v>475</v>
      </c>
      <c r="C60" s="879">
        <v>316</v>
      </c>
      <c r="D60" s="866">
        <v>421.25051198596896</v>
      </c>
      <c r="E60" s="819">
        <v>254.565942941505</v>
      </c>
      <c r="F60" s="839">
        <v>293</v>
      </c>
      <c r="G60" s="839">
        <v>442</v>
      </c>
      <c r="H60" s="839">
        <v>507</v>
      </c>
      <c r="I60" s="839">
        <v>534</v>
      </c>
      <c r="J60" s="839">
        <v>591</v>
      </c>
      <c r="K60" s="839">
        <v>514</v>
      </c>
      <c r="L60" s="839">
        <v>569</v>
      </c>
      <c r="M60" s="839">
        <v>513</v>
      </c>
      <c r="N60" s="839">
        <v>319</v>
      </c>
      <c r="O60" s="839">
        <v>514</v>
      </c>
      <c r="P60" s="839">
        <v>624</v>
      </c>
      <c r="Q60" s="839">
        <v>473</v>
      </c>
      <c r="R60" s="839">
        <v>486</v>
      </c>
      <c r="S60" s="839">
        <v>465</v>
      </c>
      <c r="T60" s="839">
        <v>631</v>
      </c>
    </row>
    <row r="61" spans="1:20">
      <c r="A61" s="848" t="s">
        <v>629</v>
      </c>
      <c r="B61" s="871">
        <v>127</v>
      </c>
      <c r="C61" s="879">
        <v>129</v>
      </c>
      <c r="D61" s="866">
        <v>120.38905718550025</v>
      </c>
      <c r="E61" s="819">
        <v>155.53073032680621</v>
      </c>
      <c r="F61" s="839">
        <v>177</v>
      </c>
      <c r="G61" s="839">
        <v>268</v>
      </c>
      <c r="H61" s="839">
        <v>313</v>
      </c>
      <c r="I61" s="839">
        <v>397</v>
      </c>
      <c r="J61" s="839">
        <v>389</v>
      </c>
      <c r="K61" s="839">
        <v>297</v>
      </c>
      <c r="L61" s="839">
        <v>212</v>
      </c>
      <c r="M61" s="839">
        <v>221</v>
      </c>
      <c r="N61" s="839">
        <v>292</v>
      </c>
      <c r="O61" s="839">
        <v>213</v>
      </c>
      <c r="P61" s="839">
        <v>273</v>
      </c>
      <c r="Q61" s="839">
        <v>359</v>
      </c>
      <c r="R61" s="839">
        <v>417</v>
      </c>
      <c r="S61" s="839">
        <v>411</v>
      </c>
      <c r="T61" s="839">
        <v>546</v>
      </c>
    </row>
    <row r="62" spans="1:20">
      <c r="A62" s="848" t="s">
        <v>630</v>
      </c>
      <c r="B62" s="871">
        <v>104</v>
      </c>
      <c r="C62" s="879">
        <v>127</v>
      </c>
      <c r="D62" s="866">
        <v>155.995</v>
      </c>
      <c r="E62" s="819">
        <v>160.35664203435846</v>
      </c>
      <c r="F62" s="839">
        <v>196</v>
      </c>
      <c r="G62" s="839">
        <v>182</v>
      </c>
      <c r="H62" s="839">
        <v>193</v>
      </c>
      <c r="I62" s="839">
        <v>192</v>
      </c>
      <c r="J62" s="839">
        <v>203</v>
      </c>
      <c r="K62" s="839">
        <v>195</v>
      </c>
      <c r="L62" s="839">
        <v>315</v>
      </c>
      <c r="M62" s="839">
        <v>240</v>
      </c>
      <c r="N62" s="839">
        <v>225</v>
      </c>
      <c r="O62" s="839">
        <v>210</v>
      </c>
      <c r="P62" s="839">
        <v>242</v>
      </c>
      <c r="Q62" s="839">
        <v>216</v>
      </c>
      <c r="R62" s="839">
        <v>251</v>
      </c>
      <c r="S62" s="839">
        <v>215</v>
      </c>
      <c r="T62" s="839">
        <v>407</v>
      </c>
    </row>
    <row r="63" spans="1:20">
      <c r="A63" s="826" t="s">
        <v>1558</v>
      </c>
      <c r="B63" s="873">
        <v>2804</v>
      </c>
      <c r="C63" s="878">
        <v>3291</v>
      </c>
      <c r="D63" s="905">
        <v>3688.4846461241236</v>
      </c>
      <c r="E63" s="904">
        <v>3152.0544584246472</v>
      </c>
      <c r="F63" s="825">
        <v>3838</v>
      </c>
      <c r="G63" s="825">
        <v>4665</v>
      </c>
      <c r="H63" s="825">
        <v>5279</v>
      </c>
      <c r="I63" s="825">
        <v>6145</v>
      </c>
      <c r="J63" s="825">
        <v>5389</v>
      </c>
      <c r="K63" s="825">
        <v>4249</v>
      </c>
      <c r="L63" s="825">
        <v>4782</v>
      </c>
      <c r="M63" s="825">
        <v>5695</v>
      </c>
      <c r="N63" s="825">
        <v>4567</v>
      </c>
      <c r="O63" s="825">
        <v>5644</v>
      </c>
      <c r="P63" s="825">
        <v>5585</v>
      </c>
      <c r="Q63" s="825">
        <v>6275</v>
      </c>
      <c r="R63" s="825">
        <v>7010</v>
      </c>
      <c r="S63" s="825">
        <v>7623</v>
      </c>
      <c r="T63" s="825">
        <v>12829</v>
      </c>
    </row>
    <row r="64" spans="1:20">
      <c r="A64" s="848" t="s">
        <v>1559</v>
      </c>
      <c r="B64" s="874">
        <v>1</v>
      </c>
      <c r="C64" s="879">
        <v>1</v>
      </c>
      <c r="D64" s="866">
        <v>1.2173538758764919</v>
      </c>
      <c r="E64" s="820">
        <v>1.116541575353122</v>
      </c>
      <c r="F64" s="839">
        <v>0</v>
      </c>
      <c r="G64" s="839">
        <v>0</v>
      </c>
      <c r="H64" s="839" t="s">
        <v>531</v>
      </c>
      <c r="I64" s="839" t="s">
        <v>531</v>
      </c>
      <c r="J64" s="839">
        <v>0</v>
      </c>
      <c r="K64" s="839" t="s">
        <v>531</v>
      </c>
      <c r="L64" s="839" t="s">
        <v>531</v>
      </c>
      <c r="M64" s="839">
        <v>3</v>
      </c>
      <c r="N64" s="839">
        <v>3</v>
      </c>
      <c r="O64" s="839">
        <v>37</v>
      </c>
      <c r="P64" s="839">
        <v>26</v>
      </c>
      <c r="Q64" s="839">
        <v>29</v>
      </c>
      <c r="R64" s="839">
        <v>9</v>
      </c>
      <c r="S64" s="839">
        <v>7</v>
      </c>
      <c r="T64" s="839">
        <v>4</v>
      </c>
    </row>
    <row r="65" spans="1:20">
      <c r="A65" s="826" t="s">
        <v>1560</v>
      </c>
      <c r="B65" s="875">
        <v>2806</v>
      </c>
      <c r="C65" s="878">
        <v>3291</v>
      </c>
      <c r="D65" s="905">
        <v>3689.7020000000002</v>
      </c>
      <c r="E65" s="904">
        <v>3153.1710000000003</v>
      </c>
      <c r="F65" s="825">
        <v>3839</v>
      </c>
      <c r="G65" s="825">
        <v>4665</v>
      </c>
      <c r="H65" s="825">
        <v>5279</v>
      </c>
      <c r="I65" s="825">
        <v>6145</v>
      </c>
      <c r="J65" s="825">
        <v>5389</v>
      </c>
      <c r="K65" s="825">
        <v>4249</v>
      </c>
      <c r="L65" s="825">
        <v>4782</v>
      </c>
      <c r="M65" s="825">
        <v>5698</v>
      </c>
      <c r="N65" s="825">
        <v>4569</v>
      </c>
      <c r="O65" s="825">
        <v>5681</v>
      </c>
      <c r="P65" s="825">
        <v>5611</v>
      </c>
      <c r="Q65" s="825">
        <v>6304</v>
      </c>
      <c r="R65" s="825">
        <v>7018</v>
      </c>
      <c r="S65" s="825">
        <v>7630</v>
      </c>
      <c r="T65" s="825">
        <v>12833</v>
      </c>
    </row>
    <row r="66" spans="1:20" ht="30">
      <c r="A66" s="849" t="s">
        <v>1561</v>
      </c>
      <c r="B66" s="860"/>
      <c r="C66" s="860"/>
      <c r="D66" s="866">
        <v>28.413</v>
      </c>
      <c r="E66" s="819">
        <v>-37.555</v>
      </c>
      <c r="F66" s="839">
        <v>50</v>
      </c>
      <c r="G66" s="839">
        <v>54</v>
      </c>
      <c r="H66" s="839">
        <v>67</v>
      </c>
      <c r="I66" s="839">
        <v>37</v>
      </c>
      <c r="J66" s="839" t="s">
        <v>531</v>
      </c>
      <c r="K66" s="839" t="s">
        <v>531</v>
      </c>
      <c r="L66" s="839" t="s">
        <v>531</v>
      </c>
      <c r="M66" s="839" t="s">
        <v>531</v>
      </c>
      <c r="N66" s="839" t="s">
        <v>531</v>
      </c>
      <c r="O66" s="839" t="s">
        <v>531</v>
      </c>
      <c r="P66" s="839" t="s">
        <v>531</v>
      </c>
      <c r="Q66" s="839" t="s">
        <v>531</v>
      </c>
      <c r="R66" s="839" t="s">
        <v>531</v>
      </c>
      <c r="S66" s="839" t="s">
        <v>531</v>
      </c>
      <c r="T66" s="839" t="s">
        <v>531</v>
      </c>
    </row>
    <row r="67" spans="1:20" ht="15" thickBot="1">
      <c r="A67" s="850" t="s">
        <v>1562</v>
      </c>
      <c r="B67" s="876">
        <v>2806</v>
      </c>
      <c r="C67" s="878">
        <v>3291</v>
      </c>
      <c r="D67" s="865">
        <v>3718.1150000000002</v>
      </c>
      <c r="E67" s="861">
        <v>3115.6160000000004</v>
      </c>
      <c r="F67" s="833">
        <v>3889</v>
      </c>
      <c r="G67" s="831">
        <v>4719</v>
      </c>
      <c r="H67" s="832">
        <v>5346</v>
      </c>
      <c r="I67" s="832">
        <v>6181</v>
      </c>
      <c r="J67" s="833">
        <v>5389</v>
      </c>
      <c r="K67" s="831">
        <v>4249</v>
      </c>
      <c r="L67" s="832">
        <v>4782</v>
      </c>
      <c r="M67" s="832">
        <v>5698</v>
      </c>
      <c r="N67" s="832">
        <v>4569</v>
      </c>
      <c r="O67" s="832">
        <v>5681</v>
      </c>
      <c r="P67" s="833">
        <v>5611</v>
      </c>
      <c r="Q67" s="831">
        <v>6304</v>
      </c>
      <c r="R67" s="832">
        <v>7018</v>
      </c>
      <c r="S67" s="832">
        <v>7630</v>
      </c>
      <c r="T67" s="832">
        <v>12833</v>
      </c>
    </row>
    <row r="69" spans="1:20">
      <c r="A69" t="s">
        <v>226</v>
      </c>
    </row>
    <row r="70" spans="1:20" ht="21">
      <c r="B70" s="863" t="s">
        <v>1529</v>
      </c>
      <c r="C70" s="863" t="s">
        <v>1530</v>
      </c>
      <c r="D70" s="1743" t="s">
        <v>1531</v>
      </c>
      <c r="E70" s="863" t="s">
        <v>1532</v>
      </c>
      <c r="F70" s="1741" t="s">
        <v>1533</v>
      </c>
      <c r="G70" s="827" t="s">
        <v>1534</v>
      </c>
      <c r="H70" s="827" t="s">
        <v>1535</v>
      </c>
      <c r="I70" s="827" t="s">
        <v>1536</v>
      </c>
      <c r="J70" s="1741" t="s">
        <v>1537</v>
      </c>
      <c r="K70" s="827" t="s">
        <v>1538</v>
      </c>
      <c r="L70" s="827" t="s">
        <v>1539</v>
      </c>
      <c r="M70" s="827" t="s">
        <v>1540</v>
      </c>
      <c r="N70" s="827" t="s">
        <v>1541</v>
      </c>
      <c r="O70" s="827" t="s">
        <v>1542</v>
      </c>
      <c r="P70" s="841" t="s">
        <v>1543</v>
      </c>
      <c r="Q70" s="827" t="s">
        <v>1544</v>
      </c>
      <c r="R70" s="827" t="s">
        <v>1545</v>
      </c>
      <c r="S70" s="827" t="s">
        <v>1546</v>
      </c>
      <c r="T70" s="1741" t="s">
        <v>1547</v>
      </c>
    </row>
    <row r="71" spans="1:20">
      <c r="B71">
        <v>70.205340003490207</v>
      </c>
      <c r="C71">
        <v>71.711528694768916</v>
      </c>
      <c r="D71">
        <v>73.759257212335569</v>
      </c>
      <c r="E71">
        <v>75.706275033377835</v>
      </c>
      <c r="F71">
        <v>77.855685207472149</v>
      </c>
      <c r="G71">
        <v>80.054170073589532</v>
      </c>
      <c r="H71">
        <v>82.220712007946034</v>
      </c>
      <c r="I71">
        <v>83.538675808870806</v>
      </c>
      <c r="J71">
        <v>85.066499109854433</v>
      </c>
      <c r="K71">
        <v>86.354705274043425</v>
      </c>
      <c r="L71">
        <v>88.122252887662285</v>
      </c>
      <c r="M71">
        <v>89.711361716925822</v>
      </c>
      <c r="N71">
        <v>90.947920205795256</v>
      </c>
      <c r="O71">
        <v>91.691521090754151</v>
      </c>
      <c r="P71">
        <v>93.961701532870507</v>
      </c>
      <c r="Q71">
        <v>95.615243342516067</v>
      </c>
      <c r="R71">
        <v>97.83866883704107</v>
      </c>
      <c r="S71">
        <v>100</v>
      </c>
      <c r="T71">
        <v>106.26858275520317</v>
      </c>
    </row>
    <row r="72" spans="1:20">
      <c r="A72" t="s">
        <v>283</v>
      </c>
    </row>
    <row r="74" spans="1:20" ht="15" thickBot="1">
      <c r="D74" s="868" t="s">
        <v>1525</v>
      </c>
      <c r="E74" s="868"/>
      <c r="F74" s="868"/>
      <c r="G74" s="868"/>
      <c r="H74" s="868"/>
      <c r="I74" s="868"/>
      <c r="J74" s="868"/>
      <c r="K74" s="868"/>
      <c r="L74" s="868"/>
      <c r="M74" s="867"/>
      <c r="N74" s="867"/>
      <c r="O74" s="867"/>
      <c r="P74" s="867"/>
      <c r="Q74" s="867"/>
      <c r="R74" s="856"/>
      <c r="S74" s="856"/>
      <c r="T74" s="856"/>
    </row>
    <row r="75" spans="1:20">
      <c r="A75" s="1064"/>
      <c r="B75" s="1064"/>
      <c r="C75" s="1064"/>
      <c r="D75" s="1064"/>
      <c r="E75" s="1064"/>
      <c r="F75" s="1064"/>
      <c r="G75" s="1064"/>
      <c r="H75" s="1064"/>
      <c r="I75" s="1064"/>
      <c r="J75" s="1065"/>
      <c r="K75" s="1065"/>
      <c r="L75" s="1065"/>
      <c r="M75" s="1065"/>
      <c r="N75" s="1065"/>
      <c r="O75" s="1066"/>
      <c r="P75" s="1066"/>
      <c r="Q75" s="1066"/>
      <c r="R75" s="1066"/>
      <c r="S75" s="1067" t="s">
        <v>1526</v>
      </c>
    </row>
    <row r="76" spans="1:20">
      <c r="A76" s="847"/>
      <c r="B76" s="858"/>
      <c r="C76" s="858"/>
      <c r="D76" s="858"/>
      <c r="E76" s="858"/>
      <c r="F76" s="858"/>
      <c r="G76" s="858"/>
      <c r="H76" s="858"/>
      <c r="I76" s="858"/>
      <c r="J76" s="834" t="s">
        <v>1527</v>
      </c>
      <c r="K76" s="837"/>
      <c r="L76" s="837"/>
      <c r="M76" s="837"/>
      <c r="N76" s="840"/>
    </row>
    <row r="77" spans="1:20">
      <c r="A77" s="826"/>
      <c r="B77" s="859"/>
      <c r="C77" s="859"/>
      <c r="D77" s="859"/>
      <c r="E77" s="859"/>
      <c r="F77" s="859"/>
      <c r="G77" s="859"/>
      <c r="H77" s="859"/>
      <c r="I77" s="859"/>
      <c r="J77" s="1830" t="s">
        <v>1528</v>
      </c>
      <c r="K77" s="1831"/>
      <c r="L77" s="1831"/>
      <c r="M77" s="1831"/>
      <c r="N77" s="1832"/>
      <c r="P77" s="1830" t="s">
        <v>1528</v>
      </c>
      <c r="Q77" s="1831"/>
      <c r="R77" s="1831"/>
      <c r="S77" s="1831"/>
      <c r="T77" s="1832"/>
    </row>
    <row r="78" spans="1:20" ht="21">
      <c r="A78" s="826"/>
      <c r="B78" s="863" t="s">
        <v>1529</v>
      </c>
      <c r="C78" s="863" t="s">
        <v>1530</v>
      </c>
      <c r="D78" s="863" t="s">
        <v>1531</v>
      </c>
      <c r="E78" s="863" t="s">
        <v>1532</v>
      </c>
      <c r="F78" s="841" t="s">
        <v>1533</v>
      </c>
      <c r="G78" s="827" t="s">
        <v>1534</v>
      </c>
      <c r="H78" s="827" t="s">
        <v>1535</v>
      </c>
      <c r="I78" s="827" t="s">
        <v>1536</v>
      </c>
      <c r="J78" s="841" t="s">
        <v>1537</v>
      </c>
      <c r="K78" s="827" t="s">
        <v>1538</v>
      </c>
      <c r="L78" s="827" t="s">
        <v>1539</v>
      </c>
      <c r="M78" s="827" t="s">
        <v>1540</v>
      </c>
      <c r="N78" s="828" t="s">
        <v>1541</v>
      </c>
      <c r="O78" s="828" t="s">
        <v>1542</v>
      </c>
      <c r="P78" s="1741" t="s">
        <v>1543</v>
      </c>
      <c r="Q78" s="827" t="s">
        <v>1544</v>
      </c>
      <c r="R78" s="827" t="s">
        <v>1545</v>
      </c>
      <c r="S78" s="827" t="s">
        <v>1546</v>
      </c>
      <c r="T78" s="1741" t="s">
        <v>1547</v>
      </c>
    </row>
    <row r="79" spans="1:20">
      <c r="A79" s="848" t="s">
        <v>1548</v>
      </c>
      <c r="B79" s="304">
        <f>(B8/B$71)*$T$71</f>
        <v>4584.9437827593738</v>
      </c>
      <c r="C79" s="304">
        <f t="shared" ref="C79:T93" si="1">(C8/C$71)*$T$71</f>
        <v>4937.6568061665976</v>
      </c>
      <c r="D79" s="304">
        <f t="shared" si="1"/>
        <v>5357.7634332912057</v>
      </c>
      <c r="E79" s="304">
        <f t="shared" si="1"/>
        <v>5698.1286103798393</v>
      </c>
      <c r="F79" s="304">
        <f t="shared" si="1"/>
        <v>5862.4307488567665</v>
      </c>
      <c r="G79" s="304">
        <f t="shared" si="1"/>
        <v>6114.2735190499043</v>
      </c>
      <c r="H79" s="304">
        <f t="shared" si="1"/>
        <v>6494.7093658504045</v>
      </c>
      <c r="I79" s="304">
        <f t="shared" si="1"/>
        <v>6754.7895506647283</v>
      </c>
      <c r="J79" s="304">
        <f t="shared" si="1"/>
        <v>6567.2614412244739</v>
      </c>
      <c r="K79" s="304">
        <f t="shared" si="1"/>
        <v>6640.3477462789388</v>
      </c>
      <c r="L79" s="304">
        <f t="shared" si="1"/>
        <v>6686.8387049612284</v>
      </c>
      <c r="M79" s="304">
        <f t="shared" si="1"/>
        <v>6656.0484098507168</v>
      </c>
      <c r="N79" s="304">
        <f t="shared" si="1"/>
        <v>6585.4142794368254</v>
      </c>
      <c r="O79" s="304">
        <f t="shared" si="1"/>
        <v>6727.875331933601</v>
      </c>
      <c r="P79" s="304">
        <f t="shared" si="1"/>
        <v>6920.4521339112762</v>
      </c>
      <c r="Q79" s="304">
        <f t="shared" si="1"/>
        <v>7000.8272674381951</v>
      </c>
      <c r="R79" s="304">
        <f t="shared" si="1"/>
        <v>7053.5319482087943</v>
      </c>
      <c r="S79" s="304">
        <f t="shared" si="1"/>
        <v>7422.8605054509408</v>
      </c>
      <c r="T79" s="304">
        <f t="shared" si="1"/>
        <v>9328</v>
      </c>
    </row>
    <row r="80" spans="1:20">
      <c r="A80" s="848" t="s">
        <v>1549</v>
      </c>
      <c r="B80" s="304">
        <f t="shared" ref="B80:Q96" si="2">(B9/B$71)*$T$71</f>
        <v>12124.595477022973</v>
      </c>
      <c r="C80" s="304">
        <f t="shared" si="2"/>
        <v>13531.135743429531</v>
      </c>
      <c r="D80" s="304">
        <f t="shared" si="2"/>
        <v>14281.914857616197</v>
      </c>
      <c r="E80" s="304">
        <f t="shared" si="2"/>
        <v>15131.614834814778</v>
      </c>
      <c r="F80" s="304">
        <f t="shared" si="2"/>
        <v>15496.199369446069</v>
      </c>
      <c r="G80" s="304">
        <f t="shared" si="2"/>
        <v>16337.030872546064</v>
      </c>
      <c r="H80" s="304">
        <f t="shared" si="2"/>
        <v>16956.038242903771</v>
      </c>
      <c r="I80" s="304">
        <f t="shared" si="2"/>
        <v>17931.358475738234</v>
      </c>
      <c r="J80" s="304">
        <f t="shared" si="2"/>
        <v>16813.53847012368</v>
      </c>
      <c r="K80" s="304">
        <f t="shared" si="2"/>
        <v>17203.866103220826</v>
      </c>
      <c r="L80" s="304">
        <f t="shared" si="2"/>
        <v>17694.496720991185</v>
      </c>
      <c r="M80" s="304">
        <f t="shared" si="2"/>
        <v>17294.590991959507</v>
      </c>
      <c r="N80" s="304">
        <f t="shared" si="2"/>
        <v>17880.872022395626</v>
      </c>
      <c r="O80" s="304">
        <f t="shared" si="2"/>
        <v>18413.864474377442</v>
      </c>
      <c r="P80" s="304">
        <f t="shared" si="2"/>
        <v>18646.428228762088</v>
      </c>
      <c r="Q80" s="304">
        <f t="shared" si="2"/>
        <v>19055.275996226042</v>
      </c>
      <c r="R80" s="304">
        <f t="shared" si="1"/>
        <v>19447.719361361018</v>
      </c>
      <c r="S80" s="304">
        <f t="shared" si="1"/>
        <v>20412.069375619427</v>
      </c>
      <c r="T80" s="304">
        <f t="shared" si="1"/>
        <v>25798</v>
      </c>
    </row>
    <row r="81" spans="1:20">
      <c r="A81" s="848" t="s">
        <v>1550</v>
      </c>
      <c r="B81" s="304">
        <f t="shared" si="2"/>
        <v>8176.9119559148694</v>
      </c>
      <c r="C81" s="304">
        <f t="shared" si="1"/>
        <v>9169.9340685951083</v>
      </c>
      <c r="D81" s="304">
        <f t="shared" si="1"/>
        <v>9955.1920935278686</v>
      </c>
      <c r="E81" s="304">
        <f t="shared" si="1"/>
        <v>10660.494120832924</v>
      </c>
      <c r="F81" s="304">
        <f t="shared" si="1"/>
        <v>10761.211647028345</v>
      </c>
      <c r="G81" s="304">
        <f t="shared" si="1"/>
        <v>11236.935592435397</v>
      </c>
      <c r="H81" s="304">
        <f t="shared" si="1"/>
        <v>11948.972753688953</v>
      </c>
      <c r="I81" s="304">
        <f t="shared" si="1"/>
        <v>12533.887277344551</v>
      </c>
      <c r="J81" s="304">
        <f t="shared" si="1"/>
        <v>11662.916647379054</v>
      </c>
      <c r="K81" s="304">
        <f t="shared" si="1"/>
        <v>11987.32902084936</v>
      </c>
      <c r="L81" s="304">
        <f t="shared" si="1"/>
        <v>12086.958402132805</v>
      </c>
      <c r="M81" s="304">
        <f t="shared" si="1"/>
        <v>12107.398255398501</v>
      </c>
      <c r="N81" s="304">
        <f t="shared" si="1"/>
        <v>12601.790809745593</v>
      </c>
      <c r="O81" s="304">
        <f t="shared" si="1"/>
        <v>12835.696692707086</v>
      </c>
      <c r="P81" s="304">
        <f t="shared" si="1"/>
        <v>12793.618980030131</v>
      </c>
      <c r="Q81" s="304">
        <f t="shared" si="1"/>
        <v>12908.018397210222</v>
      </c>
      <c r="R81" s="304">
        <f t="shared" si="1"/>
        <v>13117.570886744319</v>
      </c>
      <c r="S81" s="304">
        <f t="shared" si="1"/>
        <v>13764.969524281467</v>
      </c>
      <c r="T81" s="304">
        <f t="shared" si="1"/>
        <v>17496</v>
      </c>
    </row>
    <row r="82" spans="1:20">
      <c r="A82" s="848" t="s">
        <v>1551</v>
      </c>
      <c r="B82" s="304">
        <f t="shared" si="2"/>
        <v>6022.9419978869428</v>
      </c>
      <c r="C82" s="304">
        <f t="shared" si="1"/>
        <v>6850.7765350864884</v>
      </c>
      <c r="D82" s="304">
        <f t="shared" si="1"/>
        <v>7467.2572592931783</v>
      </c>
      <c r="E82" s="304">
        <f t="shared" si="1"/>
        <v>7983.184449023408</v>
      </c>
      <c r="F82" s="304">
        <f t="shared" si="1"/>
        <v>8225.1473091061398</v>
      </c>
      <c r="G82" s="304">
        <f t="shared" si="1"/>
        <v>8794.4120850424697</v>
      </c>
      <c r="H82" s="304">
        <f t="shared" si="1"/>
        <v>9291.6349514623998</v>
      </c>
      <c r="I82" s="304">
        <f t="shared" si="1"/>
        <v>9644.9744582184503</v>
      </c>
      <c r="J82" s="304">
        <f t="shared" si="1"/>
        <v>9070.7409786438857</v>
      </c>
      <c r="K82" s="304">
        <f t="shared" si="1"/>
        <v>9307.0700528368452</v>
      </c>
      <c r="L82" s="304">
        <f t="shared" si="1"/>
        <v>9452.0183533789204</v>
      </c>
      <c r="M82" s="304">
        <f t="shared" si="1"/>
        <v>9606.7899277254528</v>
      </c>
      <c r="N82" s="304">
        <f t="shared" si="1"/>
        <v>10019.504514934488</v>
      </c>
      <c r="O82" s="304">
        <f t="shared" si="1"/>
        <v>10362.434684378697</v>
      </c>
      <c r="P82" s="304">
        <f t="shared" si="1"/>
        <v>10208.204111894622</v>
      </c>
      <c r="Q82" s="304">
        <f t="shared" si="1"/>
        <v>10320.635339804901</v>
      </c>
      <c r="R82" s="304">
        <f t="shared" si="1"/>
        <v>10579.211760941433</v>
      </c>
      <c r="S82" s="304">
        <f t="shared" si="1"/>
        <v>11347.359266600595</v>
      </c>
      <c r="T82" s="304">
        <f t="shared" si="1"/>
        <v>14622.000000000002</v>
      </c>
    </row>
    <row r="83" spans="1:20">
      <c r="A83" s="848" t="s">
        <v>1552</v>
      </c>
      <c r="B83" s="304">
        <f t="shared" si="2"/>
        <v>8420.6148113207</v>
      </c>
      <c r="C83" s="304">
        <f t="shared" si="1"/>
        <v>9257.3655666634841</v>
      </c>
      <c r="D83" s="304">
        <f t="shared" si="1"/>
        <v>10028.280138678461</v>
      </c>
      <c r="E83" s="304">
        <f t="shared" si="1"/>
        <v>10619.838638938807</v>
      </c>
      <c r="F83" s="304">
        <f t="shared" si="1"/>
        <v>11223.92736853299</v>
      </c>
      <c r="G83" s="304">
        <f t="shared" si="1"/>
        <v>11728.095210769845</v>
      </c>
      <c r="H83" s="304">
        <f t="shared" si="1"/>
        <v>12260.460307354613</v>
      </c>
      <c r="I83" s="304">
        <f t="shared" si="1"/>
        <v>12981.662403866958</v>
      </c>
      <c r="J83" s="304">
        <f t="shared" si="1"/>
        <v>12843.449662778927</v>
      </c>
      <c r="K83" s="304">
        <f t="shared" si="1"/>
        <v>13029.651952854227</v>
      </c>
      <c r="L83" s="304">
        <f t="shared" si="1"/>
        <v>13292.880621242133</v>
      </c>
      <c r="M83" s="304">
        <f t="shared" si="1"/>
        <v>13360.663821802142</v>
      </c>
      <c r="N83" s="304">
        <f t="shared" si="1"/>
        <v>14126.625024554865</v>
      </c>
      <c r="O83" s="304">
        <f t="shared" si="1"/>
        <v>14460.585790962195</v>
      </c>
      <c r="P83" s="304">
        <f t="shared" si="1"/>
        <v>14222.043730010511</v>
      </c>
      <c r="Q83" s="304">
        <f t="shared" si="1"/>
        <v>14255.058030189279</v>
      </c>
      <c r="R83" s="304">
        <f t="shared" si="1"/>
        <v>14369.914948383484</v>
      </c>
      <c r="S83" s="304">
        <f t="shared" si="1"/>
        <v>15030.628344895937</v>
      </c>
      <c r="T83" s="304">
        <f t="shared" si="1"/>
        <v>19267</v>
      </c>
    </row>
    <row r="84" spans="1:20">
      <c r="A84" s="848" t="s">
        <v>1553</v>
      </c>
      <c r="B84" s="304">
        <f t="shared" si="2"/>
        <v>8104.2552039926341</v>
      </c>
      <c r="C84" s="304">
        <f t="shared" si="1"/>
        <v>8886.8931172212124</v>
      </c>
      <c r="D84" s="304">
        <f t="shared" si="1"/>
        <v>9670.455267355961</v>
      </c>
      <c r="E84" s="304">
        <f t="shared" si="1"/>
        <v>10145.999315112604</v>
      </c>
      <c r="F84" s="304">
        <f t="shared" si="1"/>
        <v>10456.82932875243</v>
      </c>
      <c r="G84" s="304">
        <f t="shared" si="1"/>
        <v>10765.687850519915</v>
      </c>
      <c r="H84" s="304">
        <f t="shared" si="1"/>
        <v>11506.944772968389</v>
      </c>
      <c r="I84" s="304">
        <f t="shared" si="1"/>
        <v>12378.692489174853</v>
      </c>
      <c r="J84" s="304">
        <f t="shared" si="1"/>
        <v>12267.549429869572</v>
      </c>
      <c r="K84" s="304">
        <f t="shared" si="1"/>
        <v>11406.483183887971</v>
      </c>
      <c r="L84" s="304">
        <f t="shared" si="1"/>
        <v>11455.055159319516</v>
      </c>
      <c r="M84" s="304">
        <f t="shared" si="1"/>
        <v>12294.558897640254</v>
      </c>
      <c r="N84" s="304">
        <f t="shared" si="1"/>
        <v>12840.155698497387</v>
      </c>
      <c r="O84" s="304">
        <f t="shared" si="1"/>
        <v>13086.036239941825</v>
      </c>
      <c r="P84" s="304">
        <f t="shared" si="1"/>
        <v>12832.072219538708</v>
      </c>
      <c r="Q84" s="304">
        <f t="shared" si="1"/>
        <v>13521.521596388802</v>
      </c>
      <c r="R84" s="304">
        <f t="shared" si="1"/>
        <v>13736.682868647464</v>
      </c>
      <c r="S84" s="304">
        <f t="shared" si="1"/>
        <v>14345.195986124876</v>
      </c>
      <c r="T84" s="304">
        <f t="shared" si="1"/>
        <v>18645</v>
      </c>
    </row>
    <row r="85" spans="1:20">
      <c r="A85" s="848" t="s">
        <v>1554</v>
      </c>
      <c r="B85" s="304">
        <f t="shared" si="2"/>
        <v>14140.820342864996</v>
      </c>
      <c r="C85" s="304">
        <f t="shared" si="1"/>
        <v>15635.419256261635</v>
      </c>
      <c r="D85" s="304">
        <f t="shared" si="1"/>
        <v>17147.699855362378</v>
      </c>
      <c r="E85" s="304">
        <f t="shared" si="1"/>
        <v>17696.66402531699</v>
      </c>
      <c r="F85" s="304">
        <f t="shared" si="1"/>
        <v>17308.843847788743</v>
      </c>
      <c r="G85" s="304">
        <f t="shared" si="1"/>
        <v>18803.44863164175</v>
      </c>
      <c r="H85" s="304">
        <f t="shared" si="1"/>
        <v>19634.055716742983</v>
      </c>
      <c r="I85" s="304">
        <f t="shared" si="1"/>
        <v>21589.884793574722</v>
      </c>
      <c r="J85" s="304">
        <f t="shared" si="1"/>
        <v>24879.889454713073</v>
      </c>
      <c r="K85" s="304">
        <f t="shared" si="1"/>
        <v>24919.763132347762</v>
      </c>
      <c r="L85" s="304">
        <f t="shared" si="1"/>
        <v>24318.627470558724</v>
      </c>
      <c r="M85" s="304">
        <f t="shared" si="1"/>
        <v>25367.374389918688</v>
      </c>
      <c r="N85" s="304">
        <f t="shared" si="1"/>
        <v>25283.036582408451</v>
      </c>
      <c r="O85" s="304">
        <f t="shared" si="1"/>
        <v>26079.35412905597</v>
      </c>
      <c r="P85" s="304">
        <f t="shared" si="1"/>
        <v>26135.762111873784</v>
      </c>
      <c r="Q85" s="304">
        <f t="shared" si="1"/>
        <v>26285.055544517112</v>
      </c>
      <c r="R85" s="304">
        <f t="shared" si="1"/>
        <v>26746.723779587552</v>
      </c>
      <c r="S85" s="304">
        <f t="shared" si="1"/>
        <v>28241.938553022792</v>
      </c>
      <c r="T85" s="304">
        <f t="shared" si="1"/>
        <v>34481</v>
      </c>
    </row>
    <row r="86" spans="1:20">
      <c r="A86" s="848" t="s">
        <v>1555</v>
      </c>
      <c r="B86" s="304">
        <f t="shared" si="2"/>
        <v>12210.875369930627</v>
      </c>
      <c r="C86" s="304">
        <f t="shared" si="1"/>
        <v>13448.149914754462</v>
      </c>
      <c r="D86" s="304">
        <f t="shared" si="1"/>
        <v>14551.075488184713</v>
      </c>
      <c r="E86" s="304">
        <f t="shared" si="1"/>
        <v>14960.661032562277</v>
      </c>
      <c r="F86" s="304">
        <f t="shared" si="1"/>
        <v>15754.173621258393</v>
      </c>
      <c r="G86" s="304">
        <f t="shared" si="1"/>
        <v>16330.393580406409</v>
      </c>
      <c r="H86" s="304">
        <f t="shared" si="1"/>
        <v>17195.146945925131</v>
      </c>
      <c r="I86" s="304">
        <f t="shared" si="1"/>
        <v>18353.691833708232</v>
      </c>
      <c r="J86" s="304">
        <f t="shared" si="1"/>
        <v>18245.168984037176</v>
      </c>
      <c r="K86" s="304">
        <f t="shared" si="1"/>
        <v>17563.202934561348</v>
      </c>
      <c r="L86" s="304">
        <f t="shared" si="1"/>
        <v>17607.670321215312</v>
      </c>
      <c r="M86" s="304">
        <f t="shared" si="1"/>
        <v>18681.711954396807</v>
      </c>
      <c r="N86" s="304">
        <f t="shared" si="1"/>
        <v>19170.846714464158</v>
      </c>
      <c r="O86" s="304">
        <f t="shared" si="1"/>
        <v>19529.961622465653</v>
      </c>
      <c r="P86" s="304">
        <f t="shared" si="1"/>
        <v>19473.172878196499</v>
      </c>
      <c r="Q86" s="304">
        <f t="shared" si="1"/>
        <v>19832.157764751093</v>
      </c>
      <c r="R86" s="304">
        <f t="shared" si="1"/>
        <v>20088.554570699362</v>
      </c>
      <c r="S86" s="304">
        <f t="shared" si="1"/>
        <v>21092.188305252723</v>
      </c>
      <c r="T86" s="304">
        <f t="shared" si="1"/>
        <v>27589.999999999996</v>
      </c>
    </row>
    <row r="87" spans="1:20">
      <c r="A87" s="852" t="s">
        <v>1556</v>
      </c>
      <c r="B87" s="304">
        <f t="shared" si="2"/>
        <v>7504.8370006341956</v>
      </c>
      <c r="C87" s="304">
        <f t="shared" si="1"/>
        <v>8426.0253901150263</v>
      </c>
      <c r="D87" s="304">
        <f t="shared" si="1"/>
        <v>9202.1040513458684</v>
      </c>
      <c r="E87" s="304">
        <f t="shared" si="1"/>
        <v>9859.2339805387383</v>
      </c>
      <c r="F87" s="304">
        <f t="shared" si="1"/>
        <v>9910.8520762395765</v>
      </c>
      <c r="G87" s="304">
        <f t="shared" si="1"/>
        <v>10513.470749213036</v>
      </c>
      <c r="H87" s="304">
        <f t="shared" si="1"/>
        <v>11080.426545957316</v>
      </c>
      <c r="I87" s="304">
        <f t="shared" si="1"/>
        <v>11569.64424920823</v>
      </c>
      <c r="J87" s="304">
        <f t="shared" si="1"/>
        <v>10517.362387991032</v>
      </c>
      <c r="K87" s="304">
        <f t="shared" si="1"/>
        <v>10750.570406132843</v>
      </c>
      <c r="L87" s="304">
        <f t="shared" si="1"/>
        <v>10963.038893922909</v>
      </c>
      <c r="M87" s="304">
        <f t="shared" si="1"/>
        <v>11743.738020156614</v>
      </c>
      <c r="N87" s="304">
        <f t="shared" si="1"/>
        <v>12043.269158650703</v>
      </c>
      <c r="O87" s="304">
        <f t="shared" si="1"/>
        <v>12205.211907078856</v>
      </c>
      <c r="P87" s="304">
        <f t="shared" si="1"/>
        <v>12337.834994090232</v>
      </c>
      <c r="Q87" s="304">
        <f t="shared" si="1"/>
        <v>12567.924232448182</v>
      </c>
      <c r="R87" s="304">
        <f t="shared" si="1"/>
        <v>12856.892157521943</v>
      </c>
      <c r="S87" s="304">
        <f t="shared" si="1"/>
        <v>13591.751734390486</v>
      </c>
      <c r="T87" s="304">
        <f t="shared" si="1"/>
        <v>17451</v>
      </c>
    </row>
    <row r="88" spans="1:20">
      <c r="A88" s="847" t="s">
        <v>1557</v>
      </c>
      <c r="B88" s="304">
        <f t="shared" si="2"/>
        <v>81289.282259995598</v>
      </c>
      <c r="C88" s="304">
        <f t="shared" si="1"/>
        <v>90143.356398293545</v>
      </c>
      <c r="D88" s="304">
        <f t="shared" si="1"/>
        <v>97661.742444655814</v>
      </c>
      <c r="E88" s="304">
        <f t="shared" si="1"/>
        <v>102755.81900752036</v>
      </c>
      <c r="F88" s="304">
        <f t="shared" si="1"/>
        <v>104999.61531700945</v>
      </c>
      <c r="G88" s="304">
        <f t="shared" si="1"/>
        <v>110623.74809162479</v>
      </c>
      <c r="H88" s="304">
        <f t="shared" si="1"/>
        <v>116368.38960285396</v>
      </c>
      <c r="I88" s="304">
        <f t="shared" si="1"/>
        <v>123738.58553149895</v>
      </c>
      <c r="J88" s="304">
        <f t="shared" si="1"/>
        <v>122866.62821547473</v>
      </c>
      <c r="K88" s="304">
        <f t="shared" si="1"/>
        <v>122808.28453297011</v>
      </c>
      <c r="L88" s="304">
        <f t="shared" si="1"/>
        <v>123556.37872550361</v>
      </c>
      <c r="M88" s="304">
        <f t="shared" si="1"/>
        <v>127114.05922987554</v>
      </c>
      <c r="N88" s="304">
        <f t="shared" si="1"/>
        <v>130551.51480508808</v>
      </c>
      <c r="O88" s="304">
        <f t="shared" si="1"/>
        <v>133701.02087290134</v>
      </c>
      <c r="P88" s="304">
        <f t="shared" si="1"/>
        <v>133569.58938830785</v>
      </c>
      <c r="Q88" s="304">
        <f t="shared" si="1"/>
        <v>135746.47416897383</v>
      </c>
      <c r="R88" s="304">
        <f t="shared" si="1"/>
        <v>137997.88844346715</v>
      </c>
      <c r="S88" s="304">
        <f t="shared" si="1"/>
        <v>145250.02428146679</v>
      </c>
      <c r="T88" s="304">
        <f t="shared" si="1"/>
        <v>184678</v>
      </c>
    </row>
    <row r="89" spans="1:20">
      <c r="A89" s="848" t="s">
        <v>628</v>
      </c>
      <c r="B89" s="304">
        <f t="shared" si="2"/>
        <v>10126.534799161509</v>
      </c>
      <c r="C89" s="304">
        <f t="shared" si="1"/>
        <v>10906.708911580477</v>
      </c>
      <c r="D89" s="304">
        <f t="shared" si="1"/>
        <v>11096.384627460706</v>
      </c>
      <c r="E89" s="304">
        <f t="shared" si="1"/>
        <v>12018.710911594839</v>
      </c>
      <c r="F89" s="304">
        <f t="shared" si="1"/>
        <v>12332.261191134081</v>
      </c>
      <c r="G89" s="304">
        <f t="shared" si="1"/>
        <v>12912.188128484242</v>
      </c>
      <c r="H89" s="304">
        <f t="shared" si="1"/>
        <v>13156.148584077864</v>
      </c>
      <c r="I89" s="304">
        <f t="shared" si="1"/>
        <v>13475.232713783704</v>
      </c>
      <c r="J89" s="304">
        <f t="shared" si="1"/>
        <v>13587.997469316835</v>
      </c>
      <c r="K89" s="304">
        <f t="shared" si="1"/>
        <v>13606.805973055269</v>
      </c>
      <c r="L89" s="304">
        <f t="shared" si="1"/>
        <v>13606.420398210557</v>
      </c>
      <c r="M89" s="304">
        <f t="shared" si="1"/>
        <v>13570.33112355398</v>
      </c>
      <c r="N89" s="304">
        <f t="shared" si="1"/>
        <v>13496.82759790184</v>
      </c>
      <c r="O89" s="304">
        <f t="shared" si="1"/>
        <v>14060.737903017822</v>
      </c>
      <c r="P89" s="304">
        <f t="shared" si="1"/>
        <v>14250.31817082564</v>
      </c>
      <c r="Q89" s="304">
        <f t="shared" si="1"/>
        <v>14142.804727441026</v>
      </c>
      <c r="R89" s="304">
        <f t="shared" si="1"/>
        <v>14145.079544429185</v>
      </c>
      <c r="S89" s="304">
        <f t="shared" si="1"/>
        <v>14560.92120911794</v>
      </c>
      <c r="T89" s="304">
        <f t="shared" si="1"/>
        <v>17998</v>
      </c>
    </row>
    <row r="90" spans="1:20">
      <c r="A90" s="848" t="s">
        <v>629</v>
      </c>
      <c r="B90" s="304">
        <f t="shared" si="2"/>
        <v>5249.4503263814822</v>
      </c>
      <c r="C90" s="304">
        <f t="shared" si="1"/>
        <v>5853.4647011878933</v>
      </c>
      <c r="D90" s="304">
        <f t="shared" si="1"/>
        <v>6242.1254810292248</v>
      </c>
      <c r="E90" s="304">
        <f t="shared" si="1"/>
        <v>6526.4647452450054</v>
      </c>
      <c r="F90" s="304">
        <f t="shared" si="1"/>
        <v>6824.7156564106717</v>
      </c>
      <c r="G90" s="304">
        <f t="shared" si="1"/>
        <v>6999.6882904798413</v>
      </c>
      <c r="H90" s="304">
        <f t="shared" si="1"/>
        <v>7188.7708443502397</v>
      </c>
      <c r="I90" s="304">
        <f t="shared" si="1"/>
        <v>7526.947226230357</v>
      </c>
      <c r="J90" s="304">
        <f t="shared" si="1"/>
        <v>7679.0861858867875</v>
      </c>
      <c r="K90" s="304">
        <f t="shared" si="1"/>
        <v>7498.0798402664159</v>
      </c>
      <c r="L90" s="304">
        <f t="shared" si="1"/>
        <v>7259.65175903816</v>
      </c>
      <c r="M90" s="304">
        <f t="shared" si="1"/>
        <v>7296.8959253746971</v>
      </c>
      <c r="N90" s="304">
        <f t="shared" si="1"/>
        <v>7529.5261917478547</v>
      </c>
      <c r="O90" s="304">
        <f t="shared" si="1"/>
        <v>7639.9921082009123</v>
      </c>
      <c r="P90" s="304">
        <f t="shared" si="1"/>
        <v>7860.2945466062065</v>
      </c>
      <c r="Q90" s="304">
        <f t="shared" si="1"/>
        <v>8021.1097617243131</v>
      </c>
      <c r="R90" s="304">
        <f t="shared" si="1"/>
        <v>8186.3982589543712</v>
      </c>
      <c r="S90" s="304">
        <f t="shared" si="1"/>
        <v>8526.9910802775012</v>
      </c>
      <c r="T90" s="304">
        <f t="shared" si="1"/>
        <v>10156</v>
      </c>
    </row>
    <row r="91" spans="1:20">
      <c r="A91" s="848" t="s">
        <v>630</v>
      </c>
      <c r="B91" s="304">
        <f t="shared" si="2"/>
        <v>3142.4045206366659</v>
      </c>
      <c r="C91" s="304">
        <f t="shared" si="1"/>
        <v>3395.0095266889775</v>
      </c>
      <c r="D91" s="304">
        <f t="shared" si="1"/>
        <v>3522.9255703229192</v>
      </c>
      <c r="E91" s="304">
        <f t="shared" si="1"/>
        <v>3691.584143248424</v>
      </c>
      <c r="F91" s="304">
        <f t="shared" si="1"/>
        <v>4041.5966117263993</v>
      </c>
      <c r="G91" s="304">
        <f t="shared" si="1"/>
        <v>4055.3854973290186</v>
      </c>
      <c r="H91" s="304">
        <f t="shared" si="1"/>
        <v>4263.889790634923</v>
      </c>
      <c r="I91" s="304">
        <f t="shared" si="1"/>
        <v>4379.8004562972992</v>
      </c>
      <c r="J91" s="304">
        <f t="shared" si="1"/>
        <v>4491.0224236640643</v>
      </c>
      <c r="K91" s="304">
        <f t="shared" si="1"/>
        <v>4478.1737303019008</v>
      </c>
      <c r="L91" s="304">
        <f t="shared" si="1"/>
        <v>4635.5650102562604</v>
      </c>
      <c r="M91" s="304">
        <f t="shared" si="1"/>
        <v>4585.4357349229631</v>
      </c>
      <c r="N91" s="304">
        <f t="shared" si="1"/>
        <v>4570.9972784167603</v>
      </c>
      <c r="O91" s="304">
        <f t="shared" si="1"/>
        <v>4673.0048817151219</v>
      </c>
      <c r="P91" s="304">
        <f t="shared" si="1"/>
        <v>4722.9625937593546</v>
      </c>
      <c r="Q91" s="304">
        <f t="shared" si="1"/>
        <v>4791.3266153240293</v>
      </c>
      <c r="R91" s="304">
        <f t="shared" si="1"/>
        <v>4976.7914054038647</v>
      </c>
      <c r="S91" s="304">
        <f t="shared" si="1"/>
        <v>5250.7306739345886</v>
      </c>
      <c r="T91" s="304">
        <f t="shared" si="1"/>
        <v>6560</v>
      </c>
    </row>
    <row r="92" spans="1:20">
      <c r="A92" s="826" t="s">
        <v>1558</v>
      </c>
      <c r="B92" s="304">
        <f t="shared" si="2"/>
        <v>99807.671906175252</v>
      </c>
      <c r="C92" s="304">
        <f t="shared" si="1"/>
        <v>110300.02142754867</v>
      </c>
      <c r="D92" s="304">
        <f t="shared" si="1"/>
        <v>118523.17812346866</v>
      </c>
      <c r="E92" s="304">
        <f t="shared" si="1"/>
        <v>124992.57880760865</v>
      </c>
      <c r="F92" s="304">
        <f t="shared" si="1"/>
        <v>128198.1887762806</v>
      </c>
      <c r="G92" s="304">
        <f t="shared" si="1"/>
        <v>134591.01000791788</v>
      </c>
      <c r="H92" s="304">
        <f t="shared" si="1"/>
        <v>140977.198821917</v>
      </c>
      <c r="I92" s="304">
        <f t="shared" si="1"/>
        <v>149120.56592781033</v>
      </c>
      <c r="J92" s="304">
        <f t="shared" si="1"/>
        <v>148625.98353562856</v>
      </c>
      <c r="K92" s="304">
        <f t="shared" si="1"/>
        <v>148391.3440765937</v>
      </c>
      <c r="L92" s="304">
        <f t="shared" si="1"/>
        <v>149058.01589300859</v>
      </c>
      <c r="M92" s="304">
        <f t="shared" si="1"/>
        <v>152566.72201372715</v>
      </c>
      <c r="N92" s="304">
        <f t="shared" si="1"/>
        <v>156148.86587315454</v>
      </c>
      <c r="O92" s="304">
        <f t="shared" si="1"/>
        <v>160075.91474522054</v>
      </c>
      <c r="P92" s="304">
        <f t="shared" si="1"/>
        <v>160403.16469949906</v>
      </c>
      <c r="Q92" s="304">
        <f t="shared" si="1"/>
        <v>162701.7152734632</v>
      </c>
      <c r="R92" s="304">
        <f t="shared" si="1"/>
        <v>165306.15765225457</v>
      </c>
      <c r="S92" s="304">
        <f t="shared" si="1"/>
        <v>173589.72993062437</v>
      </c>
      <c r="T92" s="304">
        <f t="shared" si="1"/>
        <v>219393</v>
      </c>
    </row>
    <row r="93" spans="1:20">
      <c r="A93" s="848" t="s">
        <v>1559</v>
      </c>
      <c r="B93" s="304">
        <f t="shared" si="2"/>
        <v>405.66686489914571</v>
      </c>
      <c r="C93" s="304">
        <f t="shared" si="1"/>
        <v>419.37481276865157</v>
      </c>
      <c r="D93" s="304">
        <f t="shared" si="1"/>
        <v>660.9347151756557</v>
      </c>
      <c r="E93" s="304">
        <f t="shared" si="1"/>
        <v>507.75037828614484</v>
      </c>
      <c r="F93" s="304">
        <f t="shared" si="1"/>
        <v>743.89400654876317</v>
      </c>
      <c r="G93" s="304">
        <f t="shared" si="1"/>
        <v>1012.8507805113063</v>
      </c>
      <c r="H93" s="304">
        <f t="shared" si="1"/>
        <v>853.03645402214261</v>
      </c>
      <c r="I93" s="304">
        <f t="shared" si="1"/>
        <v>1036.7520685106881</v>
      </c>
      <c r="J93" s="304">
        <f t="shared" si="1"/>
        <v>1100.5815730870765</v>
      </c>
      <c r="K93" s="304">
        <f t="shared" si="1"/>
        <v>824.50574314434562</v>
      </c>
      <c r="L93" s="304">
        <f t="shared" si="1"/>
        <v>810.37973124146902</v>
      </c>
      <c r="M93" s="304">
        <f t="shared" si="1"/>
        <v>633.74014936289973</v>
      </c>
      <c r="N93" s="304">
        <f t="shared" si="1"/>
        <v>571.37465980209504</v>
      </c>
      <c r="O93" s="304">
        <f t="shared" si="1"/>
        <v>674.52600227137918</v>
      </c>
      <c r="P93" s="304">
        <f t="shared" si="1"/>
        <v>861.80495604516977</v>
      </c>
      <c r="Q93" s="304">
        <f t="shared" si="1"/>
        <v>1051.4022217806846</v>
      </c>
      <c r="R93" s="304">
        <f t="shared" si="1"/>
        <v>786.38083315416804</v>
      </c>
      <c r="S93" s="304">
        <f t="shared" si="1"/>
        <v>838.45911793855294</v>
      </c>
      <c r="T93" s="304">
        <f t="shared" si="1"/>
        <v>702</v>
      </c>
    </row>
    <row r="94" spans="1:20">
      <c r="A94" s="826" t="s">
        <v>1560</v>
      </c>
      <c r="B94" s="304">
        <f t="shared" si="2"/>
        <v>100216.36613573783</v>
      </c>
      <c r="C94" s="304">
        <f t="shared" ref="C94:T96" si="3">(C23/C$71)*$T$71</f>
        <v>110717.91435051954</v>
      </c>
      <c r="D94" s="304">
        <f t="shared" si="3"/>
        <v>119184.1128386443</v>
      </c>
      <c r="E94" s="304">
        <f t="shared" si="3"/>
        <v>125500.32918589478</v>
      </c>
      <c r="F94" s="304">
        <f t="shared" si="3"/>
        <v>128942.08278282937</v>
      </c>
      <c r="G94" s="304">
        <f t="shared" si="3"/>
        <v>135603.86078842919</v>
      </c>
      <c r="H94" s="304">
        <f t="shared" si="3"/>
        <v>141831.52775541492</v>
      </c>
      <c r="I94" s="304">
        <f t="shared" si="3"/>
        <v>150157.31799632101</v>
      </c>
      <c r="J94" s="304">
        <f t="shared" si="3"/>
        <v>149726.56510871564</v>
      </c>
      <c r="K94" s="304">
        <f t="shared" si="3"/>
        <v>149215.84981973807</v>
      </c>
      <c r="L94" s="304">
        <f t="shared" si="3"/>
        <v>149869.60154646917</v>
      </c>
      <c r="M94" s="304">
        <f t="shared" si="3"/>
        <v>153199.27760206323</v>
      </c>
      <c r="N94" s="304">
        <f t="shared" si="3"/>
        <v>156719.07207761961</v>
      </c>
      <c r="O94" s="304">
        <f t="shared" si="3"/>
        <v>160750.4407474919</v>
      </c>
      <c r="P94" s="304">
        <f t="shared" si="3"/>
        <v>161264.96965554424</v>
      </c>
      <c r="Q94" s="304">
        <f t="shared" si="3"/>
        <v>163754.22891408298</v>
      </c>
      <c r="R94" s="304">
        <f t="shared" si="3"/>
        <v>166092.53848540873</v>
      </c>
      <c r="S94" s="304">
        <f t="shared" si="3"/>
        <v>174428.18904856296</v>
      </c>
      <c r="T94" s="304">
        <f t="shared" si="3"/>
        <v>220095.00000000003</v>
      </c>
    </row>
    <row r="95" spans="1:20" ht="30">
      <c r="A95" s="849" t="s">
        <v>1561</v>
      </c>
      <c r="B95" s="304">
        <f t="shared" si="2"/>
        <v>0</v>
      </c>
      <c r="C95" s="304">
        <f t="shared" si="3"/>
        <v>0</v>
      </c>
      <c r="D95" s="304">
        <f t="shared" si="3"/>
        <v>306.45741682348012</v>
      </c>
      <c r="E95" s="304">
        <f t="shared" si="3"/>
        <v>247.10942173741213</v>
      </c>
      <c r="F95" s="304">
        <f t="shared" si="3"/>
        <v>308.4771476697623</v>
      </c>
      <c r="G95" s="304">
        <f t="shared" si="3"/>
        <v>262.8367687303259</v>
      </c>
      <c r="H95" s="304">
        <f t="shared" si="3"/>
        <v>418.76335015632463</v>
      </c>
      <c r="I95" s="304">
        <f t="shared" si="3"/>
        <v>377.81026300328142</v>
      </c>
      <c r="J95" s="304" t="e">
        <f t="shared" si="3"/>
        <v>#VALUE!</v>
      </c>
      <c r="K95" s="304" t="e">
        <f t="shared" si="3"/>
        <v>#VALUE!</v>
      </c>
      <c r="L95" s="304" t="e">
        <f t="shared" si="3"/>
        <v>#VALUE!</v>
      </c>
      <c r="M95" s="304" t="e">
        <f t="shared" si="3"/>
        <v>#VALUE!</v>
      </c>
      <c r="N95" s="304" t="e">
        <f t="shared" si="3"/>
        <v>#VALUE!</v>
      </c>
      <c r="O95" s="304" t="e">
        <f t="shared" si="3"/>
        <v>#VALUE!</v>
      </c>
      <c r="P95" s="304" t="e">
        <f t="shared" si="3"/>
        <v>#VALUE!</v>
      </c>
      <c r="Q95" s="304" t="e">
        <f t="shared" si="3"/>
        <v>#VALUE!</v>
      </c>
      <c r="R95" s="304" t="e">
        <f t="shared" si="3"/>
        <v>#VALUE!</v>
      </c>
      <c r="S95" s="304" t="e">
        <f t="shared" si="3"/>
        <v>#VALUE!</v>
      </c>
      <c r="T95" s="304" t="e">
        <f t="shared" si="3"/>
        <v>#VALUE!</v>
      </c>
    </row>
    <row r="96" spans="1:20" ht="15" thickBot="1">
      <c r="A96" s="850" t="s">
        <v>1562</v>
      </c>
      <c r="B96" s="304">
        <f t="shared" si="2"/>
        <v>100216.36613573783</v>
      </c>
      <c r="C96" s="304">
        <f t="shared" si="3"/>
        <v>110717.91435051954</v>
      </c>
      <c r="D96" s="304">
        <f t="shared" si="3"/>
        <v>119490.57025546778</v>
      </c>
      <c r="E96" s="304">
        <f t="shared" si="3"/>
        <v>125747.43860763218</v>
      </c>
      <c r="F96" s="304">
        <f t="shared" si="3"/>
        <v>129250.55993049915</v>
      </c>
      <c r="G96" s="304">
        <f t="shared" si="3"/>
        <v>135865.3700987316</v>
      </c>
      <c r="H96" s="304">
        <f t="shared" si="3"/>
        <v>142248.99862609548</v>
      </c>
      <c r="I96" s="304">
        <f t="shared" si="3"/>
        <v>150536.40034775191</v>
      </c>
      <c r="J96" s="304">
        <f t="shared" si="3"/>
        <v>149726.56510871564</v>
      </c>
      <c r="K96" s="304">
        <f t="shared" si="3"/>
        <v>149215.84981973807</v>
      </c>
      <c r="L96" s="304">
        <f t="shared" si="3"/>
        <v>149869.60154646917</v>
      </c>
      <c r="M96" s="304">
        <f t="shared" si="3"/>
        <v>153199.27760206323</v>
      </c>
      <c r="N96" s="304">
        <f t="shared" si="3"/>
        <v>156719.07207761961</v>
      </c>
      <c r="O96" s="304">
        <f t="shared" si="3"/>
        <v>160750.4407474919</v>
      </c>
      <c r="P96" s="304">
        <f t="shared" si="3"/>
        <v>161264.96965554424</v>
      </c>
      <c r="Q96" s="304">
        <f t="shared" si="3"/>
        <v>163754.22891408298</v>
      </c>
      <c r="R96" s="304">
        <f t="shared" si="3"/>
        <v>166092.53848540873</v>
      </c>
      <c r="S96" s="304">
        <f t="shared" si="3"/>
        <v>174428.18904856296</v>
      </c>
      <c r="T96" s="304">
        <f t="shared" si="3"/>
        <v>220095.00000000003</v>
      </c>
    </row>
    <row r="97" spans="1:20">
      <c r="A97" s="847"/>
      <c r="C97" s="858"/>
      <c r="D97" s="858"/>
      <c r="E97" s="858"/>
      <c r="F97" s="858"/>
      <c r="G97" s="858"/>
      <c r="H97" s="858"/>
      <c r="I97" s="858"/>
      <c r="J97" s="834" t="s">
        <v>1563</v>
      </c>
      <c r="K97" s="837"/>
      <c r="L97" s="837"/>
      <c r="M97" s="837"/>
      <c r="N97" s="840"/>
    </row>
    <row r="98" spans="1:20">
      <c r="A98" s="826"/>
      <c r="C98" s="859"/>
      <c r="D98" s="859"/>
      <c r="E98" s="859"/>
      <c r="F98" s="859"/>
      <c r="G98" s="859"/>
      <c r="H98" s="859"/>
      <c r="I98" s="859"/>
      <c r="J98" s="1830" t="s">
        <v>1528</v>
      </c>
      <c r="K98" s="1831"/>
      <c r="L98" s="1831"/>
      <c r="M98" s="1831"/>
      <c r="N98" s="1832"/>
      <c r="P98" s="1830" t="s">
        <v>1528</v>
      </c>
      <c r="Q98" s="1831"/>
      <c r="R98" s="1831"/>
      <c r="S98" s="1831"/>
      <c r="T98" s="1832"/>
    </row>
    <row r="99" spans="1:20" ht="21">
      <c r="A99" s="826"/>
      <c r="C99" s="859"/>
      <c r="D99" s="1743" t="s">
        <v>1531</v>
      </c>
      <c r="E99" s="863" t="s">
        <v>1532</v>
      </c>
      <c r="F99" s="1744" t="s">
        <v>1533</v>
      </c>
      <c r="G99" s="827" t="s">
        <v>1534</v>
      </c>
      <c r="H99" s="827" t="s">
        <v>1535</v>
      </c>
      <c r="I99" s="827" t="s">
        <v>1536</v>
      </c>
      <c r="J99" s="1744" t="s">
        <v>1537</v>
      </c>
      <c r="K99" s="827" t="s">
        <v>1538</v>
      </c>
      <c r="L99" s="827" t="s">
        <v>1539</v>
      </c>
      <c r="M99" s="827" t="s">
        <v>1540</v>
      </c>
      <c r="N99" s="828" t="s">
        <v>1541</v>
      </c>
      <c r="O99" s="828" t="s">
        <v>1542</v>
      </c>
      <c r="P99" s="841" t="s">
        <v>1543</v>
      </c>
      <c r="Q99" s="827" t="s">
        <v>1544</v>
      </c>
      <c r="R99" s="827" t="s">
        <v>1545</v>
      </c>
      <c r="S99" s="827" t="s">
        <v>1546</v>
      </c>
      <c r="T99" s="828" t="s">
        <v>1547</v>
      </c>
    </row>
    <row r="100" spans="1:20">
      <c r="A100" s="848" t="s">
        <v>1548</v>
      </c>
      <c r="B100" s="304">
        <f>(B29/B$71)*$T$71</f>
        <v>4406.3292676172132</v>
      </c>
      <c r="C100" s="304">
        <f t="shared" ref="C100:T114" si="4">(C29/C$71)*$T$71</f>
        <v>4733.1560140744632</v>
      </c>
      <c r="D100" s="304">
        <f t="shared" si="4"/>
        <v>5142.3029099605174</v>
      </c>
      <c r="E100" s="304">
        <f t="shared" si="4"/>
        <v>5479.5340290561007</v>
      </c>
      <c r="F100" s="304">
        <f t="shared" si="4"/>
        <v>5624.9306440136752</v>
      </c>
      <c r="G100" s="304">
        <f t="shared" si="4"/>
        <v>5893.915420013368</v>
      </c>
      <c r="H100" s="304">
        <f t="shared" si="4"/>
        <v>6183.2218121847427</v>
      </c>
      <c r="I100" s="304">
        <f t="shared" si="4"/>
        <v>6446.9441511805735</v>
      </c>
      <c r="J100" s="304">
        <f t="shared" si="4"/>
        <v>6278.6867041267278</v>
      </c>
      <c r="K100" s="304">
        <f t="shared" si="4"/>
        <v>6423.7611630052006</v>
      </c>
      <c r="L100" s="304">
        <f t="shared" si="4"/>
        <v>6448.0661055775809</v>
      </c>
      <c r="M100" s="304">
        <f t="shared" si="4"/>
        <v>6353.9853480048487</v>
      </c>
      <c r="N100" s="304">
        <f t="shared" si="4"/>
        <v>6355.2285780441616</v>
      </c>
      <c r="O100" s="304">
        <f t="shared" si="4"/>
        <v>6456.6741557626347</v>
      </c>
      <c r="P100" s="304">
        <f t="shared" si="4"/>
        <v>6671.6370547381312</v>
      </c>
      <c r="Q100" s="304">
        <f t="shared" si="4"/>
        <v>6714.0812069525537</v>
      </c>
      <c r="R100" s="304">
        <f t="shared" si="4"/>
        <v>6732.0281821678636</v>
      </c>
      <c r="S100" s="304">
        <f t="shared" si="4"/>
        <v>7067.9234390485635</v>
      </c>
      <c r="T100" s="304">
        <f t="shared" si="4"/>
        <v>8824</v>
      </c>
    </row>
    <row r="101" spans="1:20">
      <c r="A101" s="848" t="s">
        <v>1549</v>
      </c>
      <c r="B101" s="304">
        <f t="shared" ref="B101:Q101" si="5">(B30/B$71)*$T$71</f>
        <v>11718.928612123827</v>
      </c>
      <c r="C101" s="304">
        <f t="shared" si="5"/>
        <v>12990.245967243814</v>
      </c>
      <c r="D101" s="304">
        <f t="shared" si="5"/>
        <v>13676.784024362729</v>
      </c>
      <c r="E101" s="304">
        <f t="shared" si="5"/>
        <v>14579.245500671772</v>
      </c>
      <c r="F101" s="304">
        <f t="shared" si="5"/>
        <v>14901.084164207057</v>
      </c>
      <c r="G101" s="304">
        <f t="shared" si="5"/>
        <v>15584.361943909222</v>
      </c>
      <c r="H101" s="304">
        <f t="shared" si="5"/>
        <v>16295.581230774507</v>
      </c>
      <c r="I101" s="304">
        <f t="shared" si="5"/>
        <v>17090.508025081097</v>
      </c>
      <c r="J101" s="304">
        <f t="shared" si="5"/>
        <v>16103.969419597621</v>
      </c>
      <c r="K101" s="304">
        <f t="shared" si="5"/>
        <v>16658.707828276132</v>
      </c>
      <c r="L101" s="304">
        <f t="shared" si="5"/>
        <v>17065.005322616111</v>
      </c>
      <c r="M101" s="304">
        <f t="shared" si="5"/>
        <v>16528.180007589795</v>
      </c>
      <c r="N101" s="304">
        <f t="shared" si="5"/>
        <v>17270.938336471918</v>
      </c>
      <c r="O101" s="304">
        <f t="shared" si="5"/>
        <v>17709.205008087069</v>
      </c>
      <c r="P101" s="304">
        <f t="shared" si="5"/>
        <v>17982.544358422831</v>
      </c>
      <c r="Q101" s="304">
        <f t="shared" si="5"/>
        <v>18290.619834931</v>
      </c>
      <c r="R101" s="304">
        <f t="shared" si="4"/>
        <v>18561.411682004942</v>
      </c>
      <c r="S101" s="304">
        <f t="shared" si="4"/>
        <v>19439.711843409317</v>
      </c>
      <c r="T101" s="304">
        <f t="shared" si="4"/>
        <v>24214</v>
      </c>
    </row>
    <row r="102" spans="1:20">
      <c r="A102" s="848" t="s">
        <v>1550</v>
      </c>
      <c r="B102" s="304">
        <f t="shared" ref="B102" si="6">(B31/B$71)*$T$71</f>
        <v>7878.7165365673636</v>
      </c>
      <c r="C102" s="304">
        <f t="shared" si="4"/>
        <v>8818.7261865238343</v>
      </c>
      <c r="D102" s="304">
        <f t="shared" si="4"/>
        <v>9589.8354208598194</v>
      </c>
      <c r="E102" s="304">
        <f t="shared" si="4"/>
        <v>10293.944262968185</v>
      </c>
      <c r="F102" s="304">
        <f t="shared" si="4"/>
        <v>10350.363764512424</v>
      </c>
      <c r="G102" s="304">
        <f t="shared" si="4"/>
        <v>10833.388230344393</v>
      </c>
      <c r="H102" s="304">
        <f t="shared" si="4"/>
        <v>11487.557580831521</v>
      </c>
      <c r="I102" s="304">
        <f t="shared" si="4"/>
        <v>11944.91033535627</v>
      </c>
      <c r="J102" s="304">
        <f t="shared" si="4"/>
        <v>11153.226202634984</v>
      </c>
      <c r="K102" s="304">
        <f t="shared" si="4"/>
        <v>11607.071894533536</v>
      </c>
      <c r="L102" s="304">
        <f t="shared" si="4"/>
        <v>11655.238247691665</v>
      </c>
      <c r="M102" s="304">
        <f t="shared" si="4"/>
        <v>11575.530354344404</v>
      </c>
      <c r="N102" s="304">
        <f t="shared" si="4"/>
        <v>12184.652254429953</v>
      </c>
      <c r="O102" s="304">
        <f t="shared" si="4"/>
        <v>12361.674124100567</v>
      </c>
      <c r="P102" s="304">
        <f t="shared" si="4"/>
        <v>12348.013792783677</v>
      </c>
      <c r="Q102" s="304">
        <f t="shared" si="4"/>
        <v>12396.765731228072</v>
      </c>
      <c r="R102" s="304">
        <f t="shared" si="4"/>
        <v>12529.957584622214</v>
      </c>
      <c r="S102" s="304">
        <f t="shared" si="4"/>
        <v>13122.044598612489</v>
      </c>
      <c r="T102" s="304">
        <f t="shared" si="4"/>
        <v>16459</v>
      </c>
    </row>
    <row r="103" spans="1:20">
      <c r="A103" s="848" t="s">
        <v>1551</v>
      </c>
      <c r="B103" s="304">
        <f t="shared" ref="B103" si="7">(B32/B$71)*$T$71</f>
        <v>5761.0749545005538</v>
      </c>
      <c r="C103" s="304">
        <f t="shared" si="4"/>
        <v>6549.9529061393641</v>
      </c>
      <c r="D103" s="304">
        <f t="shared" si="4"/>
        <v>7142.5211620655209</v>
      </c>
      <c r="E103" s="304">
        <f t="shared" si="4"/>
        <v>7687.0756890938083</v>
      </c>
      <c r="F103" s="304">
        <f t="shared" si="4"/>
        <v>7964.4431710312529</v>
      </c>
      <c r="G103" s="304">
        <f t="shared" si="4"/>
        <v>8405.4667656587044</v>
      </c>
      <c r="H103" s="304">
        <f t="shared" si="4"/>
        <v>8775.9356406217412</v>
      </c>
      <c r="I103" s="304">
        <f t="shared" si="4"/>
        <v>9218.8248349655914</v>
      </c>
      <c r="J103" s="304">
        <f t="shared" si="4"/>
        <v>8712.2087295224428</v>
      </c>
      <c r="K103" s="304">
        <f t="shared" si="4"/>
        <v>9014.1859231825856</v>
      </c>
      <c r="L103" s="304">
        <f t="shared" si="4"/>
        <v>9116.7719764665271</v>
      </c>
      <c r="M103" s="304">
        <f t="shared" si="4"/>
        <v>9195.7472514097026</v>
      </c>
      <c r="N103" s="304">
        <f t="shared" si="4"/>
        <v>9705.1900292764858</v>
      </c>
      <c r="O103" s="304">
        <f t="shared" si="4"/>
        <v>9983.4484253705505</v>
      </c>
      <c r="P103" s="304">
        <f t="shared" si="4"/>
        <v>9848.5532247261635</v>
      </c>
      <c r="Q103" s="304">
        <f t="shared" si="4"/>
        <v>9906.0761128237227</v>
      </c>
      <c r="R103" s="304">
        <f t="shared" si="4"/>
        <v>10100.214595995316</v>
      </c>
      <c r="S103" s="304">
        <f t="shared" si="4"/>
        <v>10814.953666997026</v>
      </c>
      <c r="T103" s="304">
        <f t="shared" si="4"/>
        <v>13717</v>
      </c>
    </row>
    <row r="104" spans="1:20">
      <c r="A104" s="848" t="s">
        <v>1552</v>
      </c>
      <c r="B104" s="304">
        <f t="shared" ref="B104" si="8">(B33/B$71)*$T$71</f>
        <v>8021.0026757484075</v>
      </c>
      <c r="C104" s="304">
        <f t="shared" si="4"/>
        <v>8775.7513823885311</v>
      </c>
      <c r="D104" s="304">
        <f t="shared" si="4"/>
        <v>9567.0827811500567</v>
      </c>
      <c r="E104" s="304">
        <f t="shared" si="4"/>
        <v>10306.326190717782</v>
      </c>
      <c r="F104" s="304">
        <f t="shared" si="4"/>
        <v>10736.642670665267</v>
      </c>
      <c r="G104" s="304">
        <f t="shared" si="4"/>
        <v>11158.615545187471</v>
      </c>
      <c r="H104" s="304">
        <f t="shared" si="4"/>
        <v>11678.844543248608</v>
      </c>
      <c r="I104" s="304">
        <f t="shared" si="4"/>
        <v>12245.123204274703</v>
      </c>
      <c r="J104" s="304">
        <f t="shared" si="4"/>
        <v>12317.519081315069</v>
      </c>
      <c r="K104" s="304">
        <f t="shared" si="4"/>
        <v>12614.93787010849</v>
      </c>
      <c r="L104" s="304">
        <f t="shared" si="4"/>
        <v>12814.129500255729</v>
      </c>
      <c r="M104" s="304">
        <f t="shared" si="4"/>
        <v>12780.228918647337</v>
      </c>
      <c r="N104" s="304">
        <f t="shared" si="4"/>
        <v>13656.90597907339</v>
      </c>
      <c r="O104" s="304">
        <f t="shared" si="4"/>
        <v>13944.839964483221</v>
      </c>
      <c r="P104" s="304">
        <f t="shared" si="4"/>
        <v>13723.282594031612</v>
      </c>
      <c r="Q104" s="304">
        <f t="shared" si="4"/>
        <v>13691.568678769823</v>
      </c>
      <c r="R104" s="304">
        <f t="shared" si="4"/>
        <v>13725.821254929864</v>
      </c>
      <c r="S104" s="304">
        <f t="shared" si="4"/>
        <v>14328.193012884045</v>
      </c>
      <c r="T104" s="304">
        <f t="shared" si="4"/>
        <v>18015</v>
      </c>
    </row>
    <row r="105" spans="1:20">
      <c r="A105" s="848" t="s">
        <v>1553</v>
      </c>
      <c r="B105" s="304">
        <f t="shared" ref="B105" si="9">(B34/B$71)*$T$71</f>
        <v>7815.1418786354079</v>
      </c>
      <c r="C105" s="304">
        <f t="shared" si="4"/>
        <v>8492.7104310146351</v>
      </c>
      <c r="D105" s="304">
        <f t="shared" si="4"/>
        <v>9312.9990039860149</v>
      </c>
      <c r="E105" s="304">
        <f t="shared" si="4"/>
        <v>9795.8579616009974</v>
      </c>
      <c r="F105" s="304">
        <f t="shared" si="4"/>
        <v>10159.271726132924</v>
      </c>
      <c r="G105" s="304">
        <f t="shared" si="4"/>
        <v>10396.654407555114</v>
      </c>
      <c r="H105" s="304">
        <f t="shared" si="4"/>
        <v>11062.331833296241</v>
      </c>
      <c r="I105" s="304">
        <f t="shared" si="4"/>
        <v>11782.083016620851</v>
      </c>
      <c r="J105" s="304">
        <f t="shared" si="4"/>
        <v>11740.369607119575</v>
      </c>
      <c r="K105" s="304">
        <f t="shared" si="4"/>
        <v>11036.070902266407</v>
      </c>
      <c r="L105" s="304">
        <f t="shared" si="4"/>
        <v>11047.453449260562</v>
      </c>
      <c r="M105" s="304">
        <f t="shared" si="4"/>
        <v>11759.137313505618</v>
      </c>
      <c r="N105" s="304">
        <f t="shared" si="4"/>
        <v>12435.870151888952</v>
      </c>
      <c r="O105" s="304">
        <f t="shared" si="4"/>
        <v>12564.495516536119</v>
      </c>
      <c r="P105" s="304">
        <f t="shared" si="4"/>
        <v>12363.84747964015</v>
      </c>
      <c r="Q105" s="304">
        <f t="shared" si="4"/>
        <v>12875.787250876565</v>
      </c>
      <c r="R105" s="304">
        <f t="shared" si="4"/>
        <v>13091.503013822083</v>
      </c>
      <c r="S105" s="304">
        <f t="shared" si="4"/>
        <v>13656.575569871158</v>
      </c>
      <c r="T105" s="304">
        <f t="shared" si="4"/>
        <v>17442</v>
      </c>
    </row>
    <row r="106" spans="1:20">
      <c r="A106" s="848" t="s">
        <v>1554</v>
      </c>
      <c r="B106" s="304">
        <f t="shared" ref="B106" si="10">(B35/B$71)*$T$71</f>
        <v>13606.490479770227</v>
      </c>
      <c r="C106" s="304">
        <f t="shared" si="4"/>
        <v>14841.126324657404</v>
      </c>
      <c r="D106" s="304">
        <f t="shared" si="4"/>
        <v>16222.208063594895</v>
      </c>
      <c r="E106" s="304">
        <f t="shared" si="4"/>
        <v>16974.326318193187</v>
      </c>
      <c r="F106" s="304">
        <f t="shared" si="4"/>
        <v>16600.438362653316</v>
      </c>
      <c r="G106" s="304">
        <f t="shared" si="4"/>
        <v>17791.925309558374</v>
      </c>
      <c r="H106" s="304">
        <f t="shared" si="4"/>
        <v>18640.13899985961</v>
      </c>
      <c r="I106" s="304">
        <f t="shared" si="4"/>
        <v>20461.542358275357</v>
      </c>
      <c r="J106" s="304">
        <f t="shared" si="4"/>
        <v>23774.310916481445</v>
      </c>
      <c r="K106" s="304">
        <f t="shared" si="4"/>
        <v>24066.953460707417</v>
      </c>
      <c r="L106" s="304">
        <f t="shared" si="4"/>
        <v>23419.009495103168</v>
      </c>
      <c r="M106" s="304">
        <f t="shared" si="4"/>
        <v>24230.195804146006</v>
      </c>
      <c r="N106" s="304">
        <f t="shared" si="4"/>
        <v>24366.967598185867</v>
      </c>
      <c r="O106" s="304">
        <f t="shared" si="4"/>
        <v>24762.753547302898</v>
      </c>
      <c r="P106" s="304">
        <f t="shared" si="4"/>
        <v>24968.593195025209</v>
      </c>
      <c r="Q106" s="304">
        <f t="shared" si="4"/>
        <v>25038.043607056301</v>
      </c>
      <c r="R106" s="304">
        <f t="shared" si="4"/>
        <v>25449.847101706233</v>
      </c>
      <c r="S106" s="304">
        <f t="shared" si="4"/>
        <v>26828.566402378594</v>
      </c>
      <c r="T106" s="304">
        <f t="shared" si="4"/>
        <v>32616</v>
      </c>
    </row>
    <row r="107" spans="1:20">
      <c r="A107" s="848" t="s">
        <v>1555</v>
      </c>
      <c r="B107" s="304">
        <f t="shared" ref="B107" si="11">(B36/B$71)*$T$71</f>
        <v>11653.840271860159</v>
      </c>
      <c r="C107" s="304">
        <f t="shared" si="4"/>
        <v>12831.683758882524</v>
      </c>
      <c r="D107" s="304">
        <f t="shared" si="4"/>
        <v>13885.889729360333</v>
      </c>
      <c r="E107" s="304">
        <f t="shared" si="4"/>
        <v>14565.458879847163</v>
      </c>
      <c r="F107" s="304">
        <f t="shared" si="4"/>
        <v>14817.82263319885</v>
      </c>
      <c r="G107" s="304">
        <f t="shared" si="4"/>
        <v>15499.404604521642</v>
      </c>
      <c r="H107" s="304">
        <f t="shared" si="4"/>
        <v>16232.249736460742</v>
      </c>
      <c r="I107" s="304">
        <f t="shared" si="4"/>
        <v>17189.730922435494</v>
      </c>
      <c r="J107" s="304">
        <f t="shared" si="4"/>
        <v>17455.648491198321</v>
      </c>
      <c r="K107" s="304">
        <f t="shared" si="4"/>
        <v>16998.354970228131</v>
      </c>
      <c r="L107" s="304">
        <f t="shared" si="4"/>
        <v>16975.767078402023</v>
      </c>
      <c r="M107" s="304">
        <f t="shared" si="4"/>
        <v>17866.733967926386</v>
      </c>
      <c r="N107" s="304">
        <f t="shared" si="4"/>
        <v>18562.081483877468</v>
      </c>
      <c r="O107" s="304">
        <f t="shared" si="4"/>
        <v>18716.358093952753</v>
      </c>
      <c r="P107" s="304">
        <f t="shared" si="4"/>
        <v>18730.120573574874</v>
      </c>
      <c r="Q107" s="304">
        <f t="shared" si="4"/>
        <v>18973.031002133263</v>
      </c>
      <c r="R107" s="304">
        <f t="shared" si="4"/>
        <v>19171.834372934005</v>
      </c>
      <c r="S107" s="304">
        <f t="shared" si="4"/>
        <v>20099.639742319127</v>
      </c>
      <c r="T107" s="304">
        <f t="shared" si="4"/>
        <v>25795</v>
      </c>
    </row>
    <row r="108" spans="1:20">
      <c r="A108" s="852" t="s">
        <v>1556</v>
      </c>
      <c r="B108" s="304">
        <f t="shared" ref="B108" si="12">(B37/B$71)*$T$71</f>
        <v>7250.5383689063729</v>
      </c>
      <c r="C108" s="304">
        <f t="shared" si="4"/>
        <v>8080.7450672348305</v>
      </c>
      <c r="D108" s="304">
        <f t="shared" si="4"/>
        <v>8813.054820695741</v>
      </c>
      <c r="E108" s="304">
        <f t="shared" si="4"/>
        <v>9450.267409704571</v>
      </c>
      <c r="F108" s="304">
        <f t="shared" si="4"/>
        <v>9513.6536250364752</v>
      </c>
      <c r="G108" s="304">
        <f t="shared" si="4"/>
        <v>10052.842674721</v>
      </c>
      <c r="H108" s="304">
        <f t="shared" si="4"/>
        <v>10497.51830237552</v>
      </c>
      <c r="I108" s="304">
        <f t="shared" si="4"/>
        <v>10969.218511371366</v>
      </c>
      <c r="J108" s="304">
        <f t="shared" si="4"/>
        <v>10076.380213984517</v>
      </c>
      <c r="K108" s="304">
        <f t="shared" si="4"/>
        <v>10397.386602726234</v>
      </c>
      <c r="L108" s="304">
        <f t="shared" si="4"/>
        <v>10572.320094931487</v>
      </c>
      <c r="M108" s="304">
        <f t="shared" si="4"/>
        <v>11230.82309553206</v>
      </c>
      <c r="N108" s="304">
        <f t="shared" si="4"/>
        <v>11655.341986760528</v>
      </c>
      <c r="O108" s="304">
        <f t="shared" si="4"/>
        <v>11745.09709109649</v>
      </c>
      <c r="P108" s="304">
        <f t="shared" si="4"/>
        <v>11903.53958316983</v>
      </c>
      <c r="Q108" s="304">
        <f t="shared" si="4"/>
        <v>12048.89163459239</v>
      </c>
      <c r="R108" s="304">
        <f t="shared" si="4"/>
        <v>12272.537339515116</v>
      </c>
      <c r="S108" s="304">
        <f t="shared" si="4"/>
        <v>12950.952180376611</v>
      </c>
      <c r="T108" s="304">
        <f t="shared" si="4"/>
        <v>16350</v>
      </c>
    </row>
    <row r="109" spans="1:20">
      <c r="A109" s="847" t="s">
        <v>1557</v>
      </c>
      <c r="B109" s="304">
        <f t="shared" ref="B109" si="13">(B38/B$71)*$T$71</f>
        <v>78112.063045729519</v>
      </c>
      <c r="C109" s="304">
        <f t="shared" si="4"/>
        <v>86114.098038159398</v>
      </c>
      <c r="D109" s="304">
        <f t="shared" si="4"/>
        <v>93352.677916035624</v>
      </c>
      <c r="E109" s="304">
        <f t="shared" si="4"/>
        <v>99132.036241853566</v>
      </c>
      <c r="F109" s="304">
        <f t="shared" si="4"/>
        <v>100668.65076145125</v>
      </c>
      <c r="G109" s="304">
        <f t="shared" si="4"/>
        <v>105616.5749014693</v>
      </c>
      <c r="H109" s="304">
        <f t="shared" si="4"/>
        <v>110853.37967965323</v>
      </c>
      <c r="I109" s="304">
        <f t="shared" si="4"/>
        <v>117350.15744798892</v>
      </c>
      <c r="J109" s="304">
        <f t="shared" si="4"/>
        <v>117612.31936598071</v>
      </c>
      <c r="K109" s="304">
        <f t="shared" si="4"/>
        <v>118817.43061503413</v>
      </c>
      <c r="L109" s="304">
        <f t="shared" si="4"/>
        <v>119113.76127030484</v>
      </c>
      <c r="M109" s="304">
        <f t="shared" si="4"/>
        <v>121521.74662213301</v>
      </c>
      <c r="N109" s="304">
        <f t="shared" si="4"/>
        <v>126193.17639800873</v>
      </c>
      <c r="O109" s="304">
        <f t="shared" si="4"/>
        <v>128246.86388546298</v>
      </c>
      <c r="P109" s="304">
        <f t="shared" si="4"/>
        <v>128541.26283374509</v>
      </c>
      <c r="Q109" s="304">
        <f t="shared" si="4"/>
        <v>129934.8650593637</v>
      </c>
      <c r="R109" s="304">
        <f t="shared" si="4"/>
        <v>131637.32745044117</v>
      </c>
      <c r="S109" s="304">
        <f t="shared" si="4"/>
        <v>138308.56045589692</v>
      </c>
      <c r="T109" s="304">
        <f t="shared" si="4"/>
        <v>173433</v>
      </c>
    </row>
    <row r="110" spans="1:20">
      <c r="A110" s="848" t="s">
        <v>628</v>
      </c>
      <c r="B110" s="304">
        <f t="shared" ref="B110" si="14">(B39/B$71)*$T$71</f>
        <v>9407.5356915977263</v>
      </c>
      <c r="C110" s="304">
        <f t="shared" si="4"/>
        <v>10438.431735485447</v>
      </c>
      <c r="D110" s="304">
        <f t="shared" si="4"/>
        <v>10489.468335383866</v>
      </c>
      <c r="E110" s="304">
        <f t="shared" si="4"/>
        <v>11661.377758402337</v>
      </c>
      <c r="F110" s="304">
        <f t="shared" si="4"/>
        <v>11932.332853668417</v>
      </c>
      <c r="G110" s="304">
        <f t="shared" si="4"/>
        <v>12325.451503338767</v>
      </c>
      <c r="H110" s="304">
        <f t="shared" si="4"/>
        <v>12500.861489851764</v>
      </c>
      <c r="I110" s="304">
        <f t="shared" si="4"/>
        <v>12795.93749343437</v>
      </c>
      <c r="J110" s="304">
        <f t="shared" si="4"/>
        <v>12850.945110495752</v>
      </c>
      <c r="K110" s="304">
        <f t="shared" si="4"/>
        <v>12974.274701449011</v>
      </c>
      <c r="L110" s="304">
        <f t="shared" si="4"/>
        <v>12920.250655537351</v>
      </c>
      <c r="M110" s="304">
        <f t="shared" si="4"/>
        <v>12962.651316781705</v>
      </c>
      <c r="N110" s="304">
        <f t="shared" si="4"/>
        <v>13122.921890055888</v>
      </c>
      <c r="O110" s="304">
        <f t="shared" si="4"/>
        <v>13465.022498949971</v>
      </c>
      <c r="P110" s="304">
        <f t="shared" si="4"/>
        <v>13544.588128079989</v>
      </c>
      <c r="Q110" s="304">
        <f t="shared" si="4"/>
        <v>13618.215035389776</v>
      </c>
      <c r="R110" s="304">
        <f t="shared" si="4"/>
        <v>13617.205117753872</v>
      </c>
      <c r="S110" s="304">
        <f t="shared" si="4"/>
        <v>14066.772299306243</v>
      </c>
      <c r="T110" s="304">
        <f t="shared" si="4"/>
        <v>17368</v>
      </c>
    </row>
    <row r="111" spans="1:20">
      <c r="A111" s="848" t="s">
        <v>629</v>
      </c>
      <c r="B111" s="304">
        <f t="shared" ref="B111" si="15">(B40/B$71)*$T$71</f>
        <v>5057.2126702539026</v>
      </c>
      <c r="C111" s="304">
        <f t="shared" si="4"/>
        <v>5662.3009172756801</v>
      </c>
      <c r="D111" s="304">
        <f t="shared" si="4"/>
        <v>6068.6750563658015</v>
      </c>
      <c r="E111" s="304">
        <f t="shared" si="4"/>
        <v>6308.1469072662585</v>
      </c>
      <c r="F111" s="304">
        <f t="shared" si="4"/>
        <v>6583.1207221737332</v>
      </c>
      <c r="G111" s="304">
        <f t="shared" si="4"/>
        <v>6642.601973366418</v>
      </c>
      <c r="H111" s="304">
        <f t="shared" si="4"/>
        <v>6785.5172479034081</v>
      </c>
      <c r="I111" s="304">
        <f t="shared" si="4"/>
        <v>7021.9281204650279</v>
      </c>
      <c r="J111" s="304">
        <f t="shared" si="4"/>
        <v>7193.1313255793266</v>
      </c>
      <c r="K111" s="304">
        <f t="shared" si="4"/>
        <v>7132.589980991982</v>
      </c>
      <c r="L111" s="304">
        <f t="shared" si="4"/>
        <v>7002.7903263678727</v>
      </c>
      <c r="M111" s="304">
        <f t="shared" si="4"/>
        <v>7035.1079384416098</v>
      </c>
      <c r="N111" s="304">
        <f t="shared" si="4"/>
        <v>7188.3372333384232</v>
      </c>
      <c r="O111" s="304">
        <f t="shared" si="4"/>
        <v>7394.2884785075585</v>
      </c>
      <c r="P111" s="304">
        <f t="shared" si="4"/>
        <v>7551.5376529049836</v>
      </c>
      <c r="Q111" s="304">
        <f t="shared" si="4"/>
        <v>7623.2218173295087</v>
      </c>
      <c r="R111" s="304">
        <f t="shared" si="4"/>
        <v>7734.5551283022523</v>
      </c>
      <c r="S111" s="304">
        <f t="shared" si="4"/>
        <v>8090.2272051536165</v>
      </c>
      <c r="T111" s="304">
        <f t="shared" si="4"/>
        <v>9610</v>
      </c>
    </row>
    <row r="112" spans="1:20">
      <c r="A112" s="848" t="s">
        <v>630</v>
      </c>
      <c r="B112" s="304">
        <f t="shared" ref="B112" si="16">(B41/B$71)*$T$71</f>
        <v>2984.9815581384901</v>
      </c>
      <c r="C112" s="304">
        <f t="shared" si="4"/>
        <v>3206.8095223723035</v>
      </c>
      <c r="D112" s="304">
        <f t="shared" si="4"/>
        <v>3298.1759159280068</v>
      </c>
      <c r="E112" s="304">
        <f t="shared" si="4"/>
        <v>3466.4921931179811</v>
      </c>
      <c r="F112" s="304">
        <f t="shared" si="4"/>
        <v>3774.0677579951007</v>
      </c>
      <c r="G112" s="304">
        <f t="shared" si="4"/>
        <v>3813.7880634455869</v>
      </c>
      <c r="H112" s="304">
        <f t="shared" si="4"/>
        <v>4014.4412518072349</v>
      </c>
      <c r="I112" s="304">
        <f t="shared" si="4"/>
        <v>4135.5594781941682</v>
      </c>
      <c r="J112" s="304">
        <f t="shared" si="4"/>
        <v>4238.6756838643032</v>
      </c>
      <c r="K112" s="304">
        <f t="shared" si="4"/>
        <v>4238.2056408792942</v>
      </c>
      <c r="L112" s="304">
        <f t="shared" si="4"/>
        <v>4255.6995112368213</v>
      </c>
      <c r="M112" s="304">
        <f t="shared" si="4"/>
        <v>4299.9565274529459</v>
      </c>
      <c r="N112" s="304">
        <f t="shared" si="4"/>
        <v>4308.0948275875753</v>
      </c>
      <c r="O112" s="304">
        <f t="shared" si="4"/>
        <v>4429.6192107924589</v>
      </c>
      <c r="P112" s="304">
        <f t="shared" si="4"/>
        <v>4449.2660066688941</v>
      </c>
      <c r="Q112" s="304">
        <f t="shared" si="4"/>
        <v>4552.3715649193273</v>
      </c>
      <c r="R112" s="304">
        <f t="shared" si="4"/>
        <v>4704.1649010921292</v>
      </c>
      <c r="S112" s="304">
        <f t="shared" si="4"/>
        <v>5022.2532210109011</v>
      </c>
      <c r="T112" s="304">
        <f t="shared" si="4"/>
        <v>6153</v>
      </c>
    </row>
    <row r="113" spans="1:20">
      <c r="A113" s="826" t="s">
        <v>1558</v>
      </c>
      <c r="B113" s="304">
        <f t="shared" ref="B113" si="17">(B42/B$71)*$T$71</f>
        <v>95563.306648051366</v>
      </c>
      <c r="C113" s="304">
        <f t="shared" si="4"/>
        <v>105423.1221030906</v>
      </c>
      <c r="D113" s="304">
        <f t="shared" si="4"/>
        <v>113208.99722371332</v>
      </c>
      <c r="E113" s="304">
        <f t="shared" si="4"/>
        <v>120568.05310064016</v>
      </c>
      <c r="F113" s="304">
        <f t="shared" si="4"/>
        <v>122959.53703841976</v>
      </c>
      <c r="G113" s="304">
        <f t="shared" si="4"/>
        <v>128398.41644162005</v>
      </c>
      <c r="H113" s="304">
        <f t="shared" si="4"/>
        <v>134154.19966921562</v>
      </c>
      <c r="I113" s="304">
        <f t="shared" si="4"/>
        <v>141303.58254008248</v>
      </c>
      <c r="J113" s="304">
        <f t="shared" si="4"/>
        <v>141893.82224463395</v>
      </c>
      <c r="K113" s="304">
        <f t="shared" si="4"/>
        <v>143162.50093835441</v>
      </c>
      <c r="L113" s="304">
        <f t="shared" si="4"/>
        <v>143292.5017634469</v>
      </c>
      <c r="M113" s="304">
        <f t="shared" si="4"/>
        <v>145820.64696583612</v>
      </c>
      <c r="N113" s="304">
        <f t="shared" si="4"/>
        <v>150812.53034899061</v>
      </c>
      <c r="O113" s="304">
        <f t="shared" si="4"/>
        <v>153534.63509432765</v>
      </c>
      <c r="P113" s="304">
        <f t="shared" si="4"/>
        <v>154086.65462139895</v>
      </c>
      <c r="Q113" s="304">
        <f t="shared" si="4"/>
        <v>155727.5620581632</v>
      </c>
      <c r="R113" s="304">
        <f t="shared" si="4"/>
        <v>157692.16643621767</v>
      </c>
      <c r="S113" s="304">
        <f t="shared" si="4"/>
        <v>165487.81318136767</v>
      </c>
      <c r="T113" s="304">
        <f t="shared" si="4"/>
        <v>206563</v>
      </c>
    </row>
    <row r="114" spans="1:20">
      <c r="A114" s="848" t="s">
        <v>1559</v>
      </c>
      <c r="B114" s="304">
        <f t="shared" ref="B114" si="18">(B43/B$71)*$T$71</f>
        <v>404.15318256743245</v>
      </c>
      <c r="C114" s="304">
        <f t="shared" si="4"/>
        <v>417.89292297088247</v>
      </c>
      <c r="D114" s="304">
        <f t="shared" si="4"/>
        <v>659.18081368599553</v>
      </c>
      <c r="E114" s="304">
        <f t="shared" si="4"/>
        <v>506.18309353005668</v>
      </c>
      <c r="F114" s="304">
        <f t="shared" si="4"/>
        <v>743.89400654876317</v>
      </c>
      <c r="G114" s="304">
        <f t="shared" si="4"/>
        <v>1012.8507805113063</v>
      </c>
      <c r="H114" s="304">
        <f t="shared" si="4"/>
        <v>853.03645402214261</v>
      </c>
      <c r="I114" s="304">
        <f t="shared" si="4"/>
        <v>1036.7520685106881</v>
      </c>
      <c r="J114" s="304">
        <f t="shared" si="4"/>
        <v>1100.5815730870765</v>
      </c>
      <c r="K114" s="304">
        <f t="shared" si="4"/>
        <v>824.50574314434562</v>
      </c>
      <c r="L114" s="304">
        <f t="shared" si="4"/>
        <v>810.37973124146902</v>
      </c>
      <c r="M114" s="304">
        <f t="shared" si="4"/>
        <v>630.18646628236013</v>
      </c>
      <c r="N114" s="304">
        <f t="shared" si="4"/>
        <v>567.86929379103924</v>
      </c>
      <c r="O114" s="304">
        <f t="shared" si="4"/>
        <v>631.64376501357663</v>
      </c>
      <c r="P114" s="304">
        <f t="shared" si="4"/>
        <v>832.39953759743412</v>
      </c>
      <c r="Q114" s="304">
        <f t="shared" si="4"/>
        <v>1019.1710754470273</v>
      </c>
      <c r="R114" s="304">
        <f t="shared" si="4"/>
        <v>776.60538080832896</v>
      </c>
      <c r="S114" s="304">
        <f t="shared" si="4"/>
        <v>832.08300297324081</v>
      </c>
      <c r="T114" s="304">
        <f t="shared" si="4"/>
        <v>699</v>
      </c>
    </row>
    <row r="115" spans="1:20">
      <c r="A115" s="826" t="s">
        <v>1560</v>
      </c>
      <c r="B115" s="304">
        <f t="shared" ref="B115:T115" si="19">(B44/B$71)*$T$71</f>
        <v>95968.973512950499</v>
      </c>
      <c r="C115" s="304">
        <f t="shared" si="19"/>
        <v>105841.01502606149</v>
      </c>
      <c r="D115" s="304">
        <f t="shared" si="19"/>
        <v>113868.1780373993</v>
      </c>
      <c r="E115" s="304">
        <f t="shared" si="19"/>
        <v>121074.23619417021</v>
      </c>
      <c r="F115" s="304">
        <f t="shared" si="19"/>
        <v>123703.43104496853</v>
      </c>
      <c r="G115" s="304">
        <f t="shared" si="19"/>
        <v>129411.26722213137</v>
      </c>
      <c r="H115" s="304">
        <f t="shared" si="19"/>
        <v>135007.23612323779</v>
      </c>
      <c r="I115" s="304">
        <f t="shared" si="19"/>
        <v>142341.60669702079</v>
      </c>
      <c r="J115" s="304">
        <f t="shared" si="19"/>
        <v>142994.403817721</v>
      </c>
      <c r="K115" s="304">
        <f t="shared" si="19"/>
        <v>143987.00668149875</v>
      </c>
      <c r="L115" s="304">
        <f t="shared" si="19"/>
        <v>144102.88149468836</v>
      </c>
      <c r="M115" s="304">
        <f t="shared" si="19"/>
        <v>146449.64887109163</v>
      </c>
      <c r="N115" s="304">
        <f t="shared" si="19"/>
        <v>151380.39964278165</v>
      </c>
      <c r="O115" s="304">
        <f t="shared" si="19"/>
        <v>154166.2788593412</v>
      </c>
      <c r="P115" s="304">
        <f t="shared" si="19"/>
        <v>154919.05415899638</v>
      </c>
      <c r="Q115" s="304">
        <f t="shared" si="19"/>
        <v>156746.73313361022</v>
      </c>
      <c r="R115" s="304">
        <f t="shared" si="19"/>
        <v>158469.85797839775</v>
      </c>
      <c r="S115" s="304">
        <f t="shared" si="19"/>
        <v>166319.89618434093</v>
      </c>
      <c r="T115" s="304">
        <f t="shared" si="19"/>
        <v>207262</v>
      </c>
    </row>
    <row r="116" spans="1:20" ht="30">
      <c r="A116" s="849" t="s">
        <v>1561</v>
      </c>
      <c r="B116" s="304">
        <f t="shared" ref="B116:T116" si="20">(B45/B$71)*$T$71</f>
        <v>0</v>
      </c>
      <c r="C116" s="304">
        <f t="shared" si="20"/>
        <v>0</v>
      </c>
      <c r="D116" s="304">
        <f t="shared" si="20"/>
        <v>265.52141291102993</v>
      </c>
      <c r="E116" s="304">
        <f t="shared" si="20"/>
        <v>299.82521872533835</v>
      </c>
      <c r="F116" s="304">
        <f t="shared" si="20"/>
        <v>238.86504797437348</v>
      </c>
      <c r="G116" s="304">
        <f t="shared" si="20"/>
        <v>191.1540136220552</v>
      </c>
      <c r="H116" s="304">
        <f t="shared" si="20"/>
        <v>332.16722527831917</v>
      </c>
      <c r="I116" s="304">
        <f t="shared" si="20"/>
        <v>332.01507960894423</v>
      </c>
      <c r="J116" s="304" t="e">
        <f t="shared" si="20"/>
        <v>#VALUE!</v>
      </c>
      <c r="K116" s="304" t="e">
        <f t="shared" si="20"/>
        <v>#VALUE!</v>
      </c>
      <c r="L116" s="304" t="e">
        <f t="shared" si="20"/>
        <v>#VALUE!</v>
      </c>
      <c r="M116" s="304" t="e">
        <f t="shared" si="20"/>
        <v>#VALUE!</v>
      </c>
      <c r="N116" s="304" t="e">
        <f t="shared" si="20"/>
        <v>#VALUE!</v>
      </c>
      <c r="O116" s="304" t="e">
        <f t="shared" si="20"/>
        <v>#VALUE!</v>
      </c>
      <c r="P116" s="304" t="e">
        <f t="shared" si="20"/>
        <v>#VALUE!</v>
      </c>
      <c r="Q116" s="304" t="e">
        <f t="shared" si="20"/>
        <v>#VALUE!</v>
      </c>
      <c r="R116" s="304" t="e">
        <f t="shared" si="20"/>
        <v>#VALUE!</v>
      </c>
      <c r="S116" s="304" t="e">
        <f t="shared" si="20"/>
        <v>#VALUE!</v>
      </c>
      <c r="T116" s="304" t="e">
        <f t="shared" si="20"/>
        <v>#VALUE!</v>
      </c>
    </row>
    <row r="117" spans="1:20" ht="15" thickBot="1">
      <c r="A117" s="850" t="s">
        <v>1562</v>
      </c>
      <c r="B117" s="304">
        <f t="shared" ref="B117:T117" si="21">(B46/B$71)*$T$71</f>
        <v>95968.973512950499</v>
      </c>
      <c r="C117" s="304">
        <f t="shared" si="21"/>
        <v>105841.01502606149</v>
      </c>
      <c r="D117" s="304">
        <f t="shared" si="21"/>
        <v>114133.69945031033</v>
      </c>
      <c r="E117" s="304">
        <f t="shared" si="21"/>
        <v>121374.06141289552</v>
      </c>
      <c r="F117" s="304">
        <f t="shared" si="21"/>
        <v>123942.29609294291</v>
      </c>
      <c r="G117" s="304">
        <f t="shared" si="21"/>
        <v>129602.42123575341</v>
      </c>
      <c r="H117" s="304">
        <f t="shared" si="21"/>
        <v>135339.40334851612</v>
      </c>
      <c r="I117" s="304">
        <f t="shared" si="21"/>
        <v>142672.34968820211</v>
      </c>
      <c r="J117" s="304">
        <f t="shared" si="21"/>
        <v>142994.403817721</v>
      </c>
      <c r="K117" s="304">
        <f t="shared" si="21"/>
        <v>143987.00668149875</v>
      </c>
      <c r="L117" s="304">
        <f t="shared" si="21"/>
        <v>144102.88149468836</v>
      </c>
      <c r="M117" s="304">
        <f t="shared" si="21"/>
        <v>146449.64887109163</v>
      </c>
      <c r="N117" s="304">
        <f t="shared" si="21"/>
        <v>151380.39964278165</v>
      </c>
      <c r="O117" s="304">
        <f t="shared" si="21"/>
        <v>154166.2788593412</v>
      </c>
      <c r="P117" s="304">
        <f t="shared" si="21"/>
        <v>154919.05415899638</v>
      </c>
      <c r="Q117" s="304">
        <f t="shared" si="21"/>
        <v>156746.73313361022</v>
      </c>
      <c r="R117" s="304">
        <f t="shared" si="21"/>
        <v>158469.85797839775</v>
      </c>
      <c r="S117" s="304">
        <f t="shared" si="21"/>
        <v>166319.89618434093</v>
      </c>
      <c r="T117" s="304">
        <f t="shared" si="21"/>
        <v>207262</v>
      </c>
    </row>
    <row r="118" spans="1:20">
      <c r="A118" s="847"/>
      <c r="B118" s="858"/>
      <c r="C118" s="858"/>
      <c r="D118" s="858"/>
      <c r="E118" s="858"/>
      <c r="F118" s="858"/>
      <c r="G118" s="858"/>
      <c r="H118" s="858"/>
      <c r="I118" s="858"/>
      <c r="J118" s="838" t="s">
        <v>1564</v>
      </c>
      <c r="K118" s="837"/>
      <c r="L118" s="837"/>
      <c r="M118" s="837"/>
      <c r="N118" s="837"/>
      <c r="P118" s="838" t="s">
        <v>1564</v>
      </c>
      <c r="Q118" s="837"/>
      <c r="R118" s="837"/>
      <c r="S118" s="837"/>
      <c r="T118" s="837"/>
    </row>
    <row r="119" spans="1:20">
      <c r="A119" s="826"/>
      <c r="B119" s="859"/>
      <c r="C119" s="859"/>
      <c r="D119" s="859"/>
      <c r="E119" s="859"/>
      <c r="F119" s="859"/>
      <c r="G119" s="859"/>
      <c r="H119" s="859"/>
      <c r="I119" s="859"/>
      <c r="J119" s="1831" t="s">
        <v>1528</v>
      </c>
      <c r="K119" s="1831"/>
      <c r="L119" s="1831"/>
      <c r="M119" s="1831"/>
      <c r="N119" s="1831"/>
      <c r="P119" s="822" t="s">
        <v>1528</v>
      </c>
      <c r="Q119" s="822"/>
      <c r="R119" s="822"/>
      <c r="S119" s="822"/>
      <c r="T119" s="822"/>
    </row>
    <row r="120" spans="1:20" ht="21">
      <c r="A120" s="826"/>
      <c r="B120" s="859"/>
      <c r="C120" s="859"/>
      <c r="D120" s="1743" t="s">
        <v>1531</v>
      </c>
      <c r="E120" s="863" t="s">
        <v>1532</v>
      </c>
      <c r="F120" s="1741" t="s">
        <v>1533</v>
      </c>
      <c r="G120" s="827" t="s">
        <v>1534</v>
      </c>
      <c r="H120" s="827" t="s">
        <v>1535</v>
      </c>
      <c r="I120" s="827" t="s">
        <v>1536</v>
      </c>
      <c r="J120" s="1741" t="s">
        <v>1537</v>
      </c>
      <c r="K120" s="827" t="s">
        <v>1538</v>
      </c>
      <c r="L120" s="827" t="s">
        <v>1539</v>
      </c>
      <c r="M120" s="827" t="s">
        <v>1540</v>
      </c>
      <c r="N120" s="827" t="s">
        <v>1541</v>
      </c>
      <c r="O120" s="827" t="s">
        <v>1542</v>
      </c>
      <c r="P120" s="841" t="s">
        <v>1543</v>
      </c>
      <c r="Q120" s="827" t="s">
        <v>1544</v>
      </c>
      <c r="R120" s="827" t="s">
        <v>1545</v>
      </c>
      <c r="S120" s="827" t="s">
        <v>1546</v>
      </c>
      <c r="T120" s="1741" t="s">
        <v>1547</v>
      </c>
    </row>
    <row r="121" spans="1:20">
      <c r="A121" s="848" t="s">
        <v>1548</v>
      </c>
      <c r="B121" s="304">
        <f>(B50/B$71)*$T$71</f>
        <v>178.61451514216117</v>
      </c>
      <c r="C121" s="304">
        <f t="shared" ref="C121:T135" si="22">(C50/C$71)*$T$71</f>
        <v>204.50079209213396</v>
      </c>
      <c r="D121" s="304">
        <f t="shared" si="22"/>
        <v>215.46052333068823</v>
      </c>
      <c r="E121" s="304">
        <f t="shared" si="22"/>
        <v>218.59458132373763</v>
      </c>
      <c r="F121" s="304">
        <f t="shared" si="22"/>
        <v>237.50010484309132</v>
      </c>
      <c r="G121" s="304">
        <f t="shared" si="22"/>
        <v>220.35809903653583</v>
      </c>
      <c r="H121" s="304">
        <f t="shared" si="22"/>
        <v>310.19507418987007</v>
      </c>
      <c r="I121" s="304">
        <f t="shared" si="22"/>
        <v>307.84539948415522</v>
      </c>
      <c r="J121" s="304">
        <f t="shared" si="22"/>
        <v>288.57473709774655</v>
      </c>
      <c r="K121" s="304">
        <f t="shared" si="22"/>
        <v>216.58658327373857</v>
      </c>
      <c r="L121" s="304">
        <f t="shared" si="22"/>
        <v>239.97852160275644</v>
      </c>
      <c r="M121" s="304">
        <f t="shared" si="22"/>
        <v>302.06306184586811</v>
      </c>
      <c r="N121" s="304">
        <f t="shared" si="22"/>
        <v>230.18570139266404</v>
      </c>
      <c r="O121" s="304">
        <f t="shared" si="22"/>
        <v>270.04219678562089</v>
      </c>
      <c r="P121" s="304">
        <f t="shared" si="22"/>
        <v>248.8150791731461</v>
      </c>
      <c r="Q121" s="304">
        <f t="shared" si="22"/>
        <v>286.74606048564124</v>
      </c>
      <c r="R121" s="304">
        <f t="shared" si="22"/>
        <v>321.5037660409306</v>
      </c>
      <c r="S121" s="304">
        <f t="shared" si="22"/>
        <v>354.93706640237855</v>
      </c>
      <c r="T121" s="304">
        <f t="shared" si="22"/>
        <v>503.99999999999994</v>
      </c>
    </row>
    <row r="122" spans="1:20">
      <c r="A122" s="848" t="s">
        <v>1549</v>
      </c>
      <c r="B122" s="304">
        <f t="shared" ref="B122:Q122" si="23">(B51/B$71)*$T$71</f>
        <v>405.66686489914571</v>
      </c>
      <c r="C122" s="304">
        <f t="shared" si="23"/>
        <v>540.88977618571664</v>
      </c>
      <c r="D122" s="304">
        <f t="shared" si="23"/>
        <v>605.13083325346793</v>
      </c>
      <c r="E122" s="304">
        <f t="shared" si="23"/>
        <v>552.36933414300654</v>
      </c>
      <c r="F122" s="304">
        <f t="shared" si="23"/>
        <v>595.11520523901049</v>
      </c>
      <c r="G122" s="304">
        <f t="shared" si="23"/>
        <v>752.66892863684234</v>
      </c>
      <c r="H122" s="304">
        <f t="shared" si="23"/>
        <v>660.45701212926508</v>
      </c>
      <c r="I122" s="304">
        <f t="shared" si="23"/>
        <v>840.85045065713473</v>
      </c>
      <c r="J122" s="304">
        <f t="shared" si="23"/>
        <v>709.56905052606066</v>
      </c>
      <c r="K122" s="304">
        <f t="shared" si="23"/>
        <v>545.1582749446942</v>
      </c>
      <c r="L122" s="304">
        <f t="shared" si="23"/>
        <v>629.49139837506959</v>
      </c>
      <c r="M122" s="304">
        <f t="shared" si="23"/>
        <v>766.41098436971242</v>
      </c>
      <c r="N122" s="304">
        <f t="shared" si="23"/>
        <v>609.93368592370882</v>
      </c>
      <c r="O122" s="304">
        <f t="shared" si="23"/>
        <v>704.65946629037546</v>
      </c>
      <c r="P122" s="304">
        <f t="shared" si="23"/>
        <v>665.01484797186322</v>
      </c>
      <c r="Q122" s="304">
        <f t="shared" si="23"/>
        <v>764.65616129504326</v>
      </c>
      <c r="R122" s="304">
        <f t="shared" si="22"/>
        <v>885.22151798431889</v>
      </c>
      <c r="S122" s="304">
        <f t="shared" si="22"/>
        <v>971.29484638255701</v>
      </c>
      <c r="T122" s="304">
        <f t="shared" si="22"/>
        <v>1584</v>
      </c>
    </row>
    <row r="123" spans="1:20">
      <c r="A123" s="848" t="s">
        <v>1550</v>
      </c>
      <c r="B123" s="304">
        <f t="shared" ref="B123" si="24">(B52/B$71)*$T$71</f>
        <v>298.19541934750634</v>
      </c>
      <c r="C123" s="304">
        <f t="shared" si="22"/>
        <v>351.20788207127356</v>
      </c>
      <c r="D123" s="304">
        <f t="shared" si="22"/>
        <v>365.35667266804882</v>
      </c>
      <c r="E123" s="304">
        <f t="shared" si="22"/>
        <v>366.54985786474072</v>
      </c>
      <c r="F123" s="304">
        <f t="shared" si="22"/>
        <v>410.84788251592244</v>
      </c>
      <c r="G123" s="304">
        <f t="shared" si="22"/>
        <v>404.87482051893636</v>
      </c>
      <c r="H123" s="304">
        <f t="shared" si="22"/>
        <v>461.41517285743168</v>
      </c>
      <c r="I123" s="304">
        <f t="shared" si="22"/>
        <v>588.97694198828037</v>
      </c>
      <c r="J123" s="304">
        <f t="shared" si="22"/>
        <v>508.44120345793431</v>
      </c>
      <c r="K123" s="304">
        <f t="shared" si="22"/>
        <v>380.25712631582513</v>
      </c>
      <c r="L123" s="304">
        <f t="shared" si="22"/>
        <v>431.72015444113975</v>
      </c>
      <c r="M123" s="304">
        <f t="shared" si="22"/>
        <v>531.86790105409716</v>
      </c>
      <c r="N123" s="304">
        <f t="shared" si="22"/>
        <v>417.13855531563991</v>
      </c>
      <c r="O123" s="304">
        <f t="shared" si="22"/>
        <v>475.18154799186505</v>
      </c>
      <c r="P123" s="304">
        <f t="shared" si="22"/>
        <v>445.60518724645254</v>
      </c>
      <c r="Q123" s="304">
        <f t="shared" si="22"/>
        <v>510.14124714305939</v>
      </c>
      <c r="R123" s="304">
        <f t="shared" si="22"/>
        <v>587.61330212210623</v>
      </c>
      <c r="S123" s="304">
        <f t="shared" si="22"/>
        <v>641.86223984142714</v>
      </c>
      <c r="T123" s="304">
        <f t="shared" si="22"/>
        <v>1037</v>
      </c>
    </row>
    <row r="124" spans="1:20">
      <c r="A124" s="848" t="s">
        <v>1551</v>
      </c>
      <c r="B124" s="304">
        <f t="shared" ref="B124" si="25">(B53/B$71)*$T$71</f>
        <v>261.86704338638884</v>
      </c>
      <c r="C124" s="304">
        <f t="shared" si="22"/>
        <v>300.82362894712458</v>
      </c>
      <c r="D124" s="304">
        <f t="shared" si="22"/>
        <v>324.73609722765639</v>
      </c>
      <c r="E124" s="304">
        <f t="shared" si="22"/>
        <v>296.10875992959927</v>
      </c>
      <c r="F124" s="304">
        <f t="shared" si="22"/>
        <v>260.70413807488762</v>
      </c>
      <c r="G124" s="304">
        <f t="shared" si="22"/>
        <v>388.94531938376508</v>
      </c>
      <c r="H124" s="304">
        <f t="shared" si="22"/>
        <v>515.699310840659</v>
      </c>
      <c r="I124" s="304">
        <f t="shared" si="22"/>
        <v>426.14962325285944</v>
      </c>
      <c r="J124" s="304">
        <f t="shared" si="22"/>
        <v>357.28300783530523</v>
      </c>
      <c r="K124" s="304">
        <f t="shared" si="22"/>
        <v>291.65352406747752</v>
      </c>
      <c r="L124" s="304">
        <f t="shared" si="22"/>
        <v>335.24637691239343</v>
      </c>
      <c r="M124" s="304">
        <f t="shared" si="22"/>
        <v>411.04267631574993</v>
      </c>
      <c r="N124" s="304">
        <f t="shared" si="22"/>
        <v>314.31448565800321</v>
      </c>
      <c r="O124" s="304">
        <f t="shared" si="22"/>
        <v>378.98625900814602</v>
      </c>
      <c r="P124" s="304">
        <f t="shared" si="22"/>
        <v>359.65088716845662</v>
      </c>
      <c r="Q124" s="304">
        <f t="shared" si="22"/>
        <v>414.55922698117899</v>
      </c>
      <c r="R124" s="304">
        <f t="shared" si="22"/>
        <v>478.99716494611619</v>
      </c>
      <c r="S124" s="304">
        <f t="shared" si="22"/>
        <v>533.46828543111985</v>
      </c>
      <c r="T124" s="304">
        <f t="shared" si="22"/>
        <v>905</v>
      </c>
    </row>
    <row r="125" spans="1:20">
      <c r="A125" s="848" t="s">
        <v>1552</v>
      </c>
      <c r="B125" s="304">
        <f t="shared" ref="B125" si="26">(B54/B$71)*$T$71</f>
        <v>399.61213557229274</v>
      </c>
      <c r="C125" s="304">
        <f t="shared" si="22"/>
        <v>481.61418427495317</v>
      </c>
      <c r="D125" s="304">
        <f t="shared" si="22"/>
        <v>461.19735752840472</v>
      </c>
      <c r="E125" s="304">
        <f t="shared" si="22"/>
        <v>313.51244822102399</v>
      </c>
      <c r="F125" s="304">
        <f t="shared" si="22"/>
        <v>487.28469786772195</v>
      </c>
      <c r="G125" s="304">
        <f t="shared" si="22"/>
        <v>569.47966558237283</v>
      </c>
      <c r="H125" s="304">
        <f t="shared" si="22"/>
        <v>582.90824358179748</v>
      </c>
      <c r="I125" s="304">
        <f t="shared" si="22"/>
        <v>736.53919959225573</v>
      </c>
      <c r="J125" s="304">
        <f t="shared" si="22"/>
        <v>525.9305814638584</v>
      </c>
      <c r="K125" s="304">
        <f t="shared" si="22"/>
        <v>414.71408274573804</v>
      </c>
      <c r="L125" s="304">
        <f t="shared" si="22"/>
        <v>478.75112098640358</v>
      </c>
      <c r="M125" s="304">
        <f t="shared" si="22"/>
        <v>580.4349031548054</v>
      </c>
      <c r="N125" s="304">
        <f t="shared" si="22"/>
        <v>469.71904548147694</v>
      </c>
      <c r="O125" s="304">
        <f t="shared" si="22"/>
        <v>515.74582647897546</v>
      </c>
      <c r="P125" s="304">
        <f t="shared" si="22"/>
        <v>498.76113597889736</v>
      </c>
      <c r="Q125" s="304">
        <f t="shared" si="22"/>
        <v>563.48935141945788</v>
      </c>
      <c r="R125" s="304">
        <f t="shared" si="22"/>
        <v>644.09369345362109</v>
      </c>
      <c r="S125" s="304">
        <f t="shared" si="22"/>
        <v>702.43533201189302</v>
      </c>
      <c r="T125" s="304">
        <f t="shared" si="22"/>
        <v>1253</v>
      </c>
    </row>
    <row r="126" spans="1:20">
      <c r="A126" s="848" t="s">
        <v>1553</v>
      </c>
      <c r="B126" s="304">
        <f t="shared" ref="B126" si="27">(B55/B$71)*$T$71</f>
        <v>289.11332535722693</v>
      </c>
      <c r="C126" s="304">
        <f t="shared" si="22"/>
        <v>394.18268620657705</v>
      </c>
      <c r="D126" s="304">
        <f t="shared" si="22"/>
        <v>357.45626336994627</v>
      </c>
      <c r="E126" s="304">
        <f t="shared" si="22"/>
        <v>350.1413535116053</v>
      </c>
      <c r="F126" s="304">
        <f t="shared" si="22"/>
        <v>297.55760261950525</v>
      </c>
      <c r="G126" s="304">
        <f t="shared" si="22"/>
        <v>369.033442964801</v>
      </c>
      <c r="H126" s="304">
        <f t="shared" si="22"/>
        <v>443.32046019635595</v>
      </c>
      <c r="I126" s="304">
        <f t="shared" si="22"/>
        <v>596.60947255400322</v>
      </c>
      <c r="J126" s="304">
        <f t="shared" si="22"/>
        <v>527.17982274999588</v>
      </c>
      <c r="K126" s="304">
        <f t="shared" si="22"/>
        <v>370.41228162156426</v>
      </c>
      <c r="L126" s="304">
        <f t="shared" si="22"/>
        <v>407.60171005895319</v>
      </c>
      <c r="M126" s="304">
        <f t="shared" si="22"/>
        <v>535.42158413463676</v>
      </c>
      <c r="N126" s="304">
        <f t="shared" si="22"/>
        <v>404.28554660843537</v>
      </c>
      <c r="O126" s="304">
        <f t="shared" si="22"/>
        <v>521.54072340570553</v>
      </c>
      <c r="P126" s="304">
        <f t="shared" si="22"/>
        <v>468.22473989855672</v>
      </c>
      <c r="Q126" s="304">
        <f t="shared" si="22"/>
        <v>645.73434551223863</v>
      </c>
      <c r="R126" s="304">
        <f t="shared" si="22"/>
        <v>645.17985482538097</v>
      </c>
      <c r="S126" s="304">
        <f t="shared" si="22"/>
        <v>688.6204162537166</v>
      </c>
      <c r="T126" s="304">
        <f t="shared" si="22"/>
        <v>1203</v>
      </c>
    </row>
    <row r="127" spans="1:20">
      <c r="A127" s="848" t="s">
        <v>1554</v>
      </c>
      <c r="B127" s="304">
        <f t="shared" ref="B127" si="28">(B56/B$71)*$T$71</f>
        <v>534.3298630947703</v>
      </c>
      <c r="C127" s="304">
        <f t="shared" si="22"/>
        <v>794.29293160423049</v>
      </c>
      <c r="D127" s="304">
        <f t="shared" si="22"/>
        <v>925.49179176748089</v>
      </c>
      <c r="E127" s="304">
        <f t="shared" si="22"/>
        <v>722.33770712380158</v>
      </c>
      <c r="F127" s="304">
        <f t="shared" si="22"/>
        <v>707.04054200414555</v>
      </c>
      <c r="G127" s="304">
        <f t="shared" si="22"/>
        <v>1010.1958636554444</v>
      </c>
      <c r="H127" s="304">
        <f t="shared" si="22"/>
        <v>993.91671688337533</v>
      </c>
      <c r="I127" s="304">
        <f t="shared" si="22"/>
        <v>1128.3424352993625</v>
      </c>
      <c r="J127" s="304">
        <f t="shared" si="22"/>
        <v>1105.5785382316265</v>
      </c>
      <c r="K127" s="304">
        <f t="shared" si="22"/>
        <v>852.80967164034564</v>
      </c>
      <c r="L127" s="304">
        <f t="shared" si="22"/>
        <v>899.6179754555593</v>
      </c>
      <c r="M127" s="304">
        <f t="shared" si="22"/>
        <v>1138.3631467995265</v>
      </c>
      <c r="N127" s="304">
        <f t="shared" si="22"/>
        <v>916.06898422258189</v>
      </c>
      <c r="O127" s="304">
        <f t="shared" si="22"/>
        <v>1315.441602367724</v>
      </c>
      <c r="P127" s="304">
        <f t="shared" si="22"/>
        <v>1167.1689168485761</v>
      </c>
      <c r="Q127" s="304">
        <f t="shared" si="22"/>
        <v>1248.1233562999037</v>
      </c>
      <c r="R127" s="304">
        <f t="shared" si="22"/>
        <v>1297.9628392530813</v>
      </c>
      <c r="S127" s="304">
        <f t="shared" si="22"/>
        <v>1413.3721506442023</v>
      </c>
      <c r="T127" s="304">
        <f t="shared" si="22"/>
        <v>1865</v>
      </c>
    </row>
    <row r="128" spans="1:20">
      <c r="A128" s="848" t="s">
        <v>1555</v>
      </c>
      <c r="B128" s="304">
        <f t="shared" ref="B128" si="29">(B57/B$71)*$T$71</f>
        <v>557.03509807046873</v>
      </c>
      <c r="C128" s="304">
        <f t="shared" si="22"/>
        <v>616.46615587194015</v>
      </c>
      <c r="D128" s="304">
        <f t="shared" si="22"/>
        <v>665.1857588243796</v>
      </c>
      <c r="E128" s="304">
        <f t="shared" si="22"/>
        <v>395.20215271511194</v>
      </c>
      <c r="F128" s="304">
        <f t="shared" si="22"/>
        <v>936.35098805954408</v>
      </c>
      <c r="G128" s="304">
        <f t="shared" si="22"/>
        <v>830.9889758847678</v>
      </c>
      <c r="H128" s="304">
        <f t="shared" si="22"/>
        <v>962.89720946438842</v>
      </c>
      <c r="I128" s="304">
        <f t="shared" si="22"/>
        <v>1163.9609112727355</v>
      </c>
      <c r="J128" s="304">
        <f t="shared" si="22"/>
        <v>789.52049283885628</v>
      </c>
      <c r="K128" s="304">
        <f t="shared" si="22"/>
        <v>566.07856991999859</v>
      </c>
      <c r="L128" s="304">
        <f t="shared" si="22"/>
        <v>633.10916503239764</v>
      </c>
      <c r="M128" s="304">
        <f t="shared" si="22"/>
        <v>814.97798647042066</v>
      </c>
      <c r="N128" s="304">
        <f t="shared" si="22"/>
        <v>608.76523058669022</v>
      </c>
      <c r="O128" s="304">
        <f t="shared" si="22"/>
        <v>813.60352851290065</v>
      </c>
      <c r="P128" s="304">
        <f t="shared" si="22"/>
        <v>741.92132698901742</v>
      </c>
      <c r="Q128" s="304">
        <f t="shared" si="22"/>
        <v>858.01534377874043</v>
      </c>
      <c r="R128" s="304">
        <f t="shared" si="22"/>
        <v>916.72019776535615</v>
      </c>
      <c r="S128" s="304">
        <f t="shared" si="22"/>
        <v>992.54856293359762</v>
      </c>
      <c r="T128" s="304">
        <f t="shared" si="22"/>
        <v>1794.0000000000002</v>
      </c>
    </row>
    <row r="129" spans="1:20">
      <c r="A129" s="852" t="s">
        <v>1556</v>
      </c>
      <c r="B129" s="304">
        <f t="shared" ref="B129" si="30">(B58/B$71)*$T$71</f>
        <v>254.29863172782265</v>
      </c>
      <c r="C129" s="304">
        <f t="shared" si="22"/>
        <v>345.28032288019722</v>
      </c>
      <c r="D129" s="304">
        <f t="shared" si="22"/>
        <v>389.04923065012792</v>
      </c>
      <c r="E129" s="304">
        <f t="shared" si="22"/>
        <v>408.96657083416767</v>
      </c>
      <c r="F129" s="304">
        <f t="shared" si="22"/>
        <v>397.198451203101</v>
      </c>
      <c r="G129" s="304">
        <f t="shared" si="22"/>
        <v>460.62807449203575</v>
      </c>
      <c r="H129" s="304">
        <f t="shared" si="22"/>
        <v>582.90824358179748</v>
      </c>
      <c r="I129" s="304">
        <f t="shared" si="22"/>
        <v>600.42573783686464</v>
      </c>
      <c r="J129" s="304">
        <f t="shared" si="22"/>
        <v>442.23141529265052</v>
      </c>
      <c r="K129" s="304">
        <f t="shared" si="22"/>
        <v>353.18380340660775</v>
      </c>
      <c r="L129" s="304">
        <f t="shared" si="22"/>
        <v>389.51287677231323</v>
      </c>
      <c r="M129" s="304">
        <f t="shared" si="22"/>
        <v>512.91492462455244</v>
      </c>
      <c r="N129" s="304">
        <f t="shared" si="22"/>
        <v>387.92717189017492</v>
      </c>
      <c r="O129" s="304">
        <f t="shared" si="22"/>
        <v>460.11481598236691</v>
      </c>
      <c r="P129" s="304">
        <f t="shared" si="22"/>
        <v>434.2954109204004</v>
      </c>
      <c r="Q129" s="304">
        <f t="shared" si="22"/>
        <v>519.03259785579246</v>
      </c>
      <c r="R129" s="304">
        <f t="shared" si="22"/>
        <v>584.35481800682658</v>
      </c>
      <c r="S129" s="304">
        <f t="shared" si="22"/>
        <v>641.86223984142714</v>
      </c>
      <c r="T129" s="304">
        <f t="shared" si="22"/>
        <v>1101</v>
      </c>
    </row>
    <row r="130" spans="1:20">
      <c r="A130" s="847" t="s">
        <v>1557</v>
      </c>
      <c r="B130" s="304">
        <f t="shared" ref="B130" si="31">(B59/B$71)*$T$71</f>
        <v>3177.2192142660701</v>
      </c>
      <c r="C130" s="304">
        <f t="shared" si="22"/>
        <v>4029.2583601341466</v>
      </c>
      <c r="D130" s="304">
        <f t="shared" si="22"/>
        <v>4309.0645286202007</v>
      </c>
      <c r="E130" s="304">
        <f t="shared" si="22"/>
        <v>3623.7827656667946</v>
      </c>
      <c r="F130" s="304">
        <f t="shared" si="22"/>
        <v>4330.9645555582119</v>
      </c>
      <c r="G130" s="304">
        <f t="shared" si="22"/>
        <v>5007.1731901555013</v>
      </c>
      <c r="H130" s="304">
        <f t="shared" si="22"/>
        <v>5515.0099232007315</v>
      </c>
      <c r="I130" s="304">
        <f t="shared" si="22"/>
        <v>6388.4280835100317</v>
      </c>
      <c r="J130" s="304">
        <f t="shared" si="22"/>
        <v>5254.3088494940339</v>
      </c>
      <c r="K130" s="304">
        <f t="shared" si="22"/>
        <v>3990.8539179359896</v>
      </c>
      <c r="L130" s="304">
        <f t="shared" si="22"/>
        <v>4443.8233774178771</v>
      </c>
      <c r="M130" s="304">
        <f t="shared" si="22"/>
        <v>5592.3126077425222</v>
      </c>
      <c r="N130" s="304">
        <f t="shared" si="22"/>
        <v>4359.5068624163932</v>
      </c>
      <c r="O130" s="304">
        <f t="shared" si="22"/>
        <v>5454.156987438334</v>
      </c>
      <c r="P130" s="304">
        <f t="shared" si="22"/>
        <v>5029.4575321953671</v>
      </c>
      <c r="Q130" s="304">
        <f t="shared" si="22"/>
        <v>5810.4976907710552</v>
      </c>
      <c r="R130" s="304">
        <f t="shared" si="22"/>
        <v>6360.560993025978</v>
      </c>
      <c r="S130" s="304">
        <f t="shared" si="22"/>
        <v>6941.4638255698701</v>
      </c>
      <c r="T130" s="304">
        <f t="shared" si="22"/>
        <v>11246</v>
      </c>
    </row>
    <row r="131" spans="1:20">
      <c r="A131" s="848" t="s">
        <v>628</v>
      </c>
      <c r="B131" s="304">
        <f t="shared" ref="B131" si="32">(B60/B$71)*$T$71</f>
        <v>718.99910756378426</v>
      </c>
      <c r="C131" s="304">
        <f t="shared" si="22"/>
        <v>468.27717609503139</v>
      </c>
      <c r="D131" s="304">
        <f t="shared" si="22"/>
        <v>606.91629207684036</v>
      </c>
      <c r="E131" s="304">
        <f t="shared" si="22"/>
        <v>357.33315319250147</v>
      </c>
      <c r="F131" s="304">
        <f t="shared" si="22"/>
        <v>399.92833746566527</v>
      </c>
      <c r="G131" s="304">
        <f t="shared" si="22"/>
        <v>586.73662514547493</v>
      </c>
      <c r="H131" s="304">
        <f t="shared" si="22"/>
        <v>655.28709422610052</v>
      </c>
      <c r="I131" s="304">
        <f t="shared" si="22"/>
        <v>679.29522034933416</v>
      </c>
      <c r="J131" s="304">
        <f t="shared" si="22"/>
        <v>738.30160010722159</v>
      </c>
      <c r="K131" s="304">
        <f t="shared" si="22"/>
        <v>632.53127160625922</v>
      </c>
      <c r="L131" s="304">
        <f t="shared" si="22"/>
        <v>686.16974267320813</v>
      </c>
      <c r="M131" s="304">
        <f t="shared" si="22"/>
        <v>607.67980677227581</v>
      </c>
      <c r="N131" s="304">
        <f t="shared" si="22"/>
        <v>372.73725250893318</v>
      </c>
      <c r="O131" s="304">
        <f t="shared" si="22"/>
        <v>595.71540406785027</v>
      </c>
      <c r="P131" s="304">
        <f t="shared" si="22"/>
        <v>705.73004274565074</v>
      </c>
      <c r="Q131" s="304">
        <f t="shared" si="22"/>
        <v>525.70111089034231</v>
      </c>
      <c r="R131" s="304">
        <f t="shared" si="22"/>
        <v>527.87442667531172</v>
      </c>
      <c r="S131" s="304">
        <f t="shared" si="22"/>
        <v>494.14890981169475</v>
      </c>
      <c r="T131" s="304">
        <f t="shared" si="22"/>
        <v>631</v>
      </c>
    </row>
    <row r="132" spans="1:20">
      <c r="A132" s="848" t="s">
        <v>629</v>
      </c>
      <c r="B132" s="304">
        <f t="shared" ref="B132" si="33">(B61/B$71)*$T$71</f>
        <v>192.23765612758021</v>
      </c>
      <c r="C132" s="304">
        <f t="shared" si="22"/>
        <v>191.16378391221221</v>
      </c>
      <c r="D132" s="304">
        <f t="shared" si="22"/>
        <v>173.45042466342261</v>
      </c>
      <c r="E132" s="304">
        <f t="shared" si="22"/>
        <v>218.31783797874635</v>
      </c>
      <c r="F132" s="304">
        <f t="shared" si="22"/>
        <v>241.59493423693775</v>
      </c>
      <c r="G132" s="304">
        <f t="shared" si="22"/>
        <v>355.75885868549159</v>
      </c>
      <c r="H132" s="304">
        <f t="shared" si="22"/>
        <v>404.54607592262221</v>
      </c>
      <c r="I132" s="304">
        <f t="shared" si="22"/>
        <v>505.01910576532896</v>
      </c>
      <c r="J132" s="304">
        <f t="shared" si="22"/>
        <v>485.95486030746059</v>
      </c>
      <c r="K132" s="304">
        <f t="shared" si="22"/>
        <v>365.48985927443385</v>
      </c>
      <c r="L132" s="304">
        <f t="shared" si="22"/>
        <v>255.65551045117772</v>
      </c>
      <c r="M132" s="304">
        <f t="shared" si="22"/>
        <v>261.78798693308568</v>
      </c>
      <c r="N132" s="304">
        <f t="shared" si="22"/>
        <v>341.188958409431</v>
      </c>
      <c r="O132" s="304">
        <f t="shared" si="22"/>
        <v>246.86260907870064</v>
      </c>
      <c r="P132" s="304">
        <f t="shared" si="22"/>
        <v>308.75689370122222</v>
      </c>
      <c r="Q132" s="304">
        <f t="shared" si="22"/>
        <v>398.99936323389613</v>
      </c>
      <c r="R132" s="304">
        <f t="shared" si="22"/>
        <v>452.92929202387859</v>
      </c>
      <c r="S132" s="304">
        <f t="shared" si="22"/>
        <v>436.76387512388504</v>
      </c>
      <c r="T132" s="304">
        <f t="shared" si="22"/>
        <v>546</v>
      </c>
    </row>
    <row r="133" spans="1:20">
      <c r="A133" s="848" t="s">
        <v>630</v>
      </c>
      <c r="B133" s="304">
        <f t="shared" ref="B133" si="34">(B62/B$71)*$T$71</f>
        <v>157.42296249817593</v>
      </c>
      <c r="C133" s="304">
        <f t="shared" si="22"/>
        <v>188.20000431667401</v>
      </c>
      <c r="D133" s="304">
        <f t="shared" si="22"/>
        <v>224.74965439491308</v>
      </c>
      <c r="E133" s="304">
        <f t="shared" si="22"/>
        <v>225.09195013044334</v>
      </c>
      <c r="F133" s="304">
        <f t="shared" si="22"/>
        <v>267.52885373129834</v>
      </c>
      <c r="G133" s="304">
        <f t="shared" si="22"/>
        <v>241.59743388343088</v>
      </c>
      <c r="H133" s="304">
        <f t="shared" si="22"/>
        <v>249.44853882768717</v>
      </c>
      <c r="I133" s="304">
        <f t="shared" si="22"/>
        <v>244.2409781031314</v>
      </c>
      <c r="J133" s="304">
        <f t="shared" si="22"/>
        <v>253.59598108589844</v>
      </c>
      <c r="K133" s="304">
        <f t="shared" si="22"/>
        <v>239.96808942260807</v>
      </c>
      <c r="L133" s="304">
        <f t="shared" si="22"/>
        <v>379.86549901943857</v>
      </c>
      <c r="M133" s="304">
        <f t="shared" si="22"/>
        <v>284.29464644317</v>
      </c>
      <c r="N133" s="304">
        <f t="shared" si="22"/>
        <v>262.90245082918483</v>
      </c>
      <c r="O133" s="304">
        <f t="shared" si="22"/>
        <v>243.38567092266257</v>
      </c>
      <c r="P133" s="304">
        <f t="shared" si="22"/>
        <v>273.6965870904607</v>
      </c>
      <c r="Q133" s="304">
        <f t="shared" si="22"/>
        <v>240.06646924379268</v>
      </c>
      <c r="R133" s="304">
        <f t="shared" si="22"/>
        <v>272.62650431173506</v>
      </c>
      <c r="S133" s="304">
        <f t="shared" si="22"/>
        <v>228.4774529236868</v>
      </c>
      <c r="T133" s="304">
        <f t="shared" si="22"/>
        <v>407</v>
      </c>
    </row>
    <row r="134" spans="1:20">
      <c r="A134" s="826" t="s">
        <v>1558</v>
      </c>
      <c r="B134" s="304">
        <f t="shared" ref="B134" si="35">(B63/B$71)*$T$71</f>
        <v>4244.3652581238975</v>
      </c>
      <c r="C134" s="304">
        <f t="shared" si="22"/>
        <v>4876.8993244580643</v>
      </c>
      <c r="D134" s="304">
        <f t="shared" si="22"/>
        <v>5314.1808997553771</v>
      </c>
      <c r="E134" s="304">
        <f t="shared" si="22"/>
        <v>4424.5257069684867</v>
      </c>
      <c r="F134" s="304">
        <f t="shared" si="22"/>
        <v>5238.6517378608305</v>
      </c>
      <c r="G134" s="304">
        <f t="shared" si="22"/>
        <v>6192.59356629783</v>
      </c>
      <c r="H134" s="304">
        <f t="shared" si="22"/>
        <v>6822.9991527013508</v>
      </c>
      <c r="I134" s="304">
        <f t="shared" si="22"/>
        <v>7816.9833877278261</v>
      </c>
      <c r="J134" s="304">
        <f t="shared" si="22"/>
        <v>6732.1612909946143</v>
      </c>
      <c r="K134" s="304">
        <f t="shared" si="22"/>
        <v>5228.843138239291</v>
      </c>
      <c r="L134" s="304">
        <f t="shared" si="22"/>
        <v>5766.7200517808105</v>
      </c>
      <c r="M134" s="304">
        <f t="shared" si="22"/>
        <v>6746.0750478910541</v>
      </c>
      <c r="N134" s="304">
        <f t="shared" si="22"/>
        <v>5336.3355241639429</v>
      </c>
      <c r="O134" s="304">
        <f t="shared" si="22"/>
        <v>6541.2796508928932</v>
      </c>
      <c r="P134" s="304">
        <f t="shared" si="22"/>
        <v>6316.5100781000956</v>
      </c>
      <c r="Q134" s="304">
        <f t="shared" si="22"/>
        <v>6974.1532152999962</v>
      </c>
      <c r="R134" s="304">
        <f t="shared" si="22"/>
        <v>7613.9912160369031</v>
      </c>
      <c r="S134" s="304">
        <f t="shared" si="22"/>
        <v>8100.8540634291385</v>
      </c>
      <c r="T134" s="304">
        <f t="shared" si="22"/>
        <v>12829</v>
      </c>
    </row>
    <row r="135" spans="1:20">
      <c r="A135" s="848" t="s">
        <v>1559</v>
      </c>
      <c r="B135" s="304">
        <f t="shared" ref="B135" si="36">(B64/B$71)*$T$71</f>
        <v>1.5136823317132302</v>
      </c>
      <c r="C135" s="304">
        <f t="shared" si="22"/>
        <v>1.4818897977690868</v>
      </c>
      <c r="D135" s="304">
        <f t="shared" si="22"/>
        <v>1.7539014896602421</v>
      </c>
      <c r="E135" s="304">
        <f t="shared" si="22"/>
        <v>1.5672847560882581</v>
      </c>
      <c r="F135" s="304">
        <f t="shared" si="22"/>
        <v>0</v>
      </c>
      <c r="G135" s="304">
        <f t="shared" si="22"/>
        <v>0</v>
      </c>
      <c r="H135" s="304" t="e">
        <f t="shared" si="22"/>
        <v>#VALUE!</v>
      </c>
      <c r="I135" s="304" t="e">
        <f t="shared" si="22"/>
        <v>#VALUE!</v>
      </c>
      <c r="J135" s="304">
        <f t="shared" si="22"/>
        <v>0</v>
      </c>
      <c r="K135" s="304" t="e">
        <f t="shared" si="22"/>
        <v>#VALUE!</v>
      </c>
      <c r="L135" s="304" t="e">
        <f t="shared" si="22"/>
        <v>#VALUE!</v>
      </c>
      <c r="M135" s="304">
        <f t="shared" si="22"/>
        <v>3.5536830805396251</v>
      </c>
      <c r="N135" s="304">
        <f t="shared" si="22"/>
        <v>3.5053660110557976</v>
      </c>
      <c r="O135" s="304">
        <f t="shared" si="22"/>
        <v>42.882237257802451</v>
      </c>
      <c r="P135" s="304">
        <f t="shared" si="22"/>
        <v>29.40541844773545</v>
      </c>
      <c r="Q135" s="304">
        <f t="shared" si="22"/>
        <v>32.23114633365735</v>
      </c>
      <c r="R135" s="304">
        <f t="shared" si="22"/>
        <v>9.7754523458391045</v>
      </c>
      <c r="S135" s="304">
        <f t="shared" si="22"/>
        <v>7.4388007928642228</v>
      </c>
      <c r="T135" s="304">
        <f t="shared" si="22"/>
        <v>4</v>
      </c>
    </row>
    <row r="136" spans="1:20">
      <c r="A136" s="826" t="s">
        <v>1560</v>
      </c>
      <c r="B136" s="304">
        <f t="shared" ref="B136:T136" si="37">(B65/B$71)*$T$71</f>
        <v>4247.3926227873235</v>
      </c>
      <c r="C136" s="304">
        <f t="shared" si="37"/>
        <v>4876.8993244580643</v>
      </c>
      <c r="D136" s="304">
        <f t="shared" si="37"/>
        <v>5315.9348012450373</v>
      </c>
      <c r="E136" s="304">
        <f t="shared" si="37"/>
        <v>4426.0929917245749</v>
      </c>
      <c r="F136" s="304">
        <f t="shared" si="37"/>
        <v>5240.0166809921129</v>
      </c>
      <c r="G136" s="304">
        <f t="shared" si="37"/>
        <v>6192.59356629783</v>
      </c>
      <c r="H136" s="304">
        <f t="shared" si="37"/>
        <v>6822.9991527013508</v>
      </c>
      <c r="I136" s="304">
        <f t="shared" si="37"/>
        <v>7816.9833877278261</v>
      </c>
      <c r="J136" s="304">
        <f t="shared" si="37"/>
        <v>6732.1612909946143</v>
      </c>
      <c r="K136" s="304">
        <f t="shared" si="37"/>
        <v>5228.843138239291</v>
      </c>
      <c r="L136" s="304">
        <f t="shared" si="37"/>
        <v>5766.7200517808105</v>
      </c>
      <c r="M136" s="304">
        <f t="shared" si="37"/>
        <v>6749.6287309715935</v>
      </c>
      <c r="N136" s="304">
        <f t="shared" si="37"/>
        <v>5338.6724348379803</v>
      </c>
      <c r="O136" s="304">
        <f t="shared" si="37"/>
        <v>6584.1618881506965</v>
      </c>
      <c r="P136" s="304">
        <f t="shared" si="37"/>
        <v>6345.9154965478301</v>
      </c>
      <c r="Q136" s="304">
        <f t="shared" si="37"/>
        <v>7006.3843616336526</v>
      </c>
      <c r="R136" s="304">
        <f t="shared" si="37"/>
        <v>7622.6805070109831</v>
      </c>
      <c r="S136" s="304">
        <f t="shared" si="37"/>
        <v>8108.2928642220013</v>
      </c>
      <c r="T136" s="304">
        <f t="shared" si="37"/>
        <v>12833</v>
      </c>
    </row>
    <row r="137" spans="1:20" ht="30">
      <c r="A137" s="849" t="s">
        <v>1561</v>
      </c>
      <c r="B137" s="304">
        <f t="shared" ref="B137:T137" si="38">(B66/B$71)*$T$71</f>
        <v>0</v>
      </c>
      <c r="C137" s="304">
        <f t="shared" si="38"/>
        <v>0</v>
      </c>
      <c r="D137" s="304">
        <f t="shared" si="38"/>
        <v>40.936003912450175</v>
      </c>
      <c r="E137" s="304">
        <f t="shared" si="38"/>
        <v>-52.715796987926247</v>
      </c>
      <c r="F137" s="304">
        <f t="shared" si="38"/>
        <v>68.247156564106717</v>
      </c>
      <c r="G137" s="304">
        <f t="shared" si="38"/>
        <v>71.682755108270698</v>
      </c>
      <c r="H137" s="304">
        <f t="shared" si="38"/>
        <v>86.596124878005398</v>
      </c>
      <c r="I137" s="304">
        <f t="shared" si="38"/>
        <v>47.067271821957618</v>
      </c>
      <c r="J137" s="304" t="e">
        <f t="shared" si="38"/>
        <v>#VALUE!</v>
      </c>
      <c r="K137" s="304" t="e">
        <f t="shared" si="38"/>
        <v>#VALUE!</v>
      </c>
      <c r="L137" s="304" t="e">
        <f t="shared" si="38"/>
        <v>#VALUE!</v>
      </c>
      <c r="M137" s="304" t="e">
        <f t="shared" si="38"/>
        <v>#VALUE!</v>
      </c>
      <c r="N137" s="304" t="e">
        <f t="shared" si="38"/>
        <v>#VALUE!</v>
      </c>
      <c r="O137" s="304" t="e">
        <f t="shared" si="38"/>
        <v>#VALUE!</v>
      </c>
      <c r="P137" s="304" t="e">
        <f t="shared" si="38"/>
        <v>#VALUE!</v>
      </c>
      <c r="Q137" s="304" t="e">
        <f t="shared" si="38"/>
        <v>#VALUE!</v>
      </c>
      <c r="R137" s="304" t="e">
        <f t="shared" si="38"/>
        <v>#VALUE!</v>
      </c>
      <c r="S137" s="304" t="e">
        <f t="shared" si="38"/>
        <v>#VALUE!</v>
      </c>
      <c r="T137" s="304" t="e">
        <f t="shared" si="38"/>
        <v>#VALUE!</v>
      </c>
    </row>
    <row r="138" spans="1:20" ht="15" thickBot="1">
      <c r="A138" s="850" t="s">
        <v>1562</v>
      </c>
      <c r="B138" s="304">
        <f t="shared" ref="B138:T138" si="39">(B67/B$71)*$T$71</f>
        <v>4247.3926227873235</v>
      </c>
      <c r="C138" s="304">
        <f t="shared" si="39"/>
        <v>4876.8993244580643</v>
      </c>
      <c r="D138" s="304">
        <f t="shared" si="39"/>
        <v>5356.8708051574877</v>
      </c>
      <c r="E138" s="304">
        <f t="shared" si="39"/>
        <v>4373.3771947366486</v>
      </c>
      <c r="F138" s="304">
        <f t="shared" si="39"/>
        <v>5308.2638375562201</v>
      </c>
      <c r="G138" s="304">
        <f t="shared" si="39"/>
        <v>6264.2763214060997</v>
      </c>
      <c r="H138" s="304">
        <f t="shared" si="39"/>
        <v>6909.5952775793558</v>
      </c>
      <c r="I138" s="304">
        <f t="shared" si="39"/>
        <v>7862.7785711221632</v>
      </c>
      <c r="J138" s="304">
        <f t="shared" si="39"/>
        <v>6732.1612909946143</v>
      </c>
      <c r="K138" s="304">
        <f t="shared" si="39"/>
        <v>5228.843138239291</v>
      </c>
      <c r="L138" s="304">
        <f t="shared" si="39"/>
        <v>5766.7200517808105</v>
      </c>
      <c r="M138" s="304">
        <f t="shared" si="39"/>
        <v>6749.6287309715935</v>
      </c>
      <c r="N138" s="304">
        <f t="shared" si="39"/>
        <v>5338.6724348379803</v>
      </c>
      <c r="O138" s="304">
        <f t="shared" si="39"/>
        <v>6584.1618881506965</v>
      </c>
      <c r="P138" s="304">
        <f t="shared" si="39"/>
        <v>6345.9154965478301</v>
      </c>
      <c r="Q138" s="304">
        <f t="shared" si="39"/>
        <v>7006.3843616336526</v>
      </c>
      <c r="R138" s="304">
        <f t="shared" si="39"/>
        <v>7622.6805070109831</v>
      </c>
      <c r="S138" s="304">
        <f t="shared" si="39"/>
        <v>8108.2928642220013</v>
      </c>
      <c r="T138" s="304">
        <f t="shared" si="39"/>
        <v>12833</v>
      </c>
    </row>
    <row r="140" spans="1:20">
      <c r="B140" s="476">
        <f>B59/B17</f>
        <v>3.9085339738934508E-2</v>
      </c>
      <c r="C140" s="476">
        <f t="shared" ref="C140:T140" si="40">C59/C17</f>
        <v>4.4698339635048497E-2</v>
      </c>
      <c r="D140" s="476">
        <f t="shared" si="40"/>
        <v>4.4122339216527043E-2</v>
      </c>
      <c r="E140" s="476">
        <f t="shared" si="40"/>
        <v>3.5265961584147187E-2</v>
      </c>
      <c r="F140" s="476">
        <f t="shared" si="40"/>
        <v>4.1247432597561293E-2</v>
      </c>
      <c r="G140" s="476">
        <f t="shared" si="40"/>
        <v>4.526309473810524E-2</v>
      </c>
      <c r="H140" s="476">
        <f t="shared" si="40"/>
        <v>4.7392680624201697E-2</v>
      </c>
      <c r="I140" s="476">
        <f t="shared" si="40"/>
        <v>5.1628423390081418E-2</v>
      </c>
      <c r="J140" s="476">
        <f t="shared" si="40"/>
        <v>4.2764328490234156E-2</v>
      </c>
      <c r="K140" s="476">
        <f t="shared" si="40"/>
        <v>3.2496618067037429E-2</v>
      </c>
      <c r="L140" s="476">
        <f t="shared" si="40"/>
        <v>3.5965956782291281E-2</v>
      </c>
      <c r="M140" s="476">
        <f t="shared" si="40"/>
        <v>4.3994445945820013E-2</v>
      </c>
      <c r="N140" s="476">
        <f t="shared" si="40"/>
        <v>3.3393000984516245E-2</v>
      </c>
      <c r="O140" s="476">
        <f t="shared" si="40"/>
        <v>4.0793682440339457E-2</v>
      </c>
      <c r="P140" s="476">
        <f t="shared" si="40"/>
        <v>3.7654211225984537E-2</v>
      </c>
      <c r="Q140" s="476">
        <f t="shared" si="40"/>
        <v>4.2804041330298512E-2</v>
      </c>
      <c r="R140" s="476">
        <f t="shared" si="40"/>
        <v>4.6091726944297959E-2</v>
      </c>
      <c r="S140" s="476">
        <f t="shared" si="40"/>
        <v>4.7789760173248853E-2</v>
      </c>
      <c r="T140" s="476">
        <f t="shared" si="40"/>
        <v>6.089517971821224E-2</v>
      </c>
    </row>
  </sheetData>
  <mergeCells count="10">
    <mergeCell ref="J27:N27"/>
    <mergeCell ref="P6:T6"/>
    <mergeCell ref="P27:T27"/>
    <mergeCell ref="J6:N6"/>
    <mergeCell ref="J48:N48"/>
    <mergeCell ref="J77:N77"/>
    <mergeCell ref="P77:T77"/>
    <mergeCell ref="J98:N98"/>
    <mergeCell ref="P98:T98"/>
    <mergeCell ref="J119:N119"/>
  </mergeCell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9ED68-F632-4194-9E28-455531350C96}">
  <sheetPr>
    <tabColor theme="9"/>
  </sheetPr>
  <dimension ref="A1"/>
  <sheetViews>
    <sheetView workbookViewId="0">
      <selection activeCell="O39" sqref="O39"/>
    </sheetView>
  </sheetViews>
  <sheetFormatPr defaultRowHeight="14.5"/>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20BBF-48ED-4168-86BA-65D879518CD9}">
  <dimension ref="A1:T184"/>
  <sheetViews>
    <sheetView workbookViewId="0">
      <selection activeCell="D180" sqref="D180"/>
    </sheetView>
  </sheetViews>
  <sheetFormatPr defaultColWidth="8.1796875" defaultRowHeight="10.5"/>
  <cols>
    <col min="1" max="2" width="14.453125" style="950" customWidth="1"/>
    <col min="3" max="3" width="11" style="949" customWidth="1"/>
    <col min="4" max="11" width="11" style="950" customWidth="1"/>
    <col min="12" max="12" width="8.1796875" style="951"/>
    <col min="13" max="16384" width="8.1796875" style="950"/>
  </cols>
  <sheetData>
    <row r="1" spans="1:20">
      <c r="A1" s="948" t="s">
        <v>1565</v>
      </c>
      <c r="B1" s="948"/>
    </row>
    <row r="2" spans="1:20">
      <c r="A2" s="952" t="s">
        <v>1566</v>
      </c>
      <c r="B2" s="952"/>
    </row>
    <row r="3" spans="1:20" s="953" customFormat="1" ht="45" customHeight="1">
      <c r="A3" s="1746" t="s">
        <v>1567</v>
      </c>
      <c r="B3" s="1747" t="s">
        <v>1557</v>
      </c>
      <c r="C3" s="953" t="s">
        <v>1060</v>
      </c>
      <c r="D3" s="1748" t="s">
        <v>1554</v>
      </c>
      <c r="E3" s="1748" t="s">
        <v>1568</v>
      </c>
      <c r="F3" s="1748" t="s">
        <v>1569</v>
      </c>
      <c r="G3" s="1748" t="s">
        <v>1570</v>
      </c>
      <c r="H3" s="1748" t="s">
        <v>1571</v>
      </c>
      <c r="I3" s="1748" t="s">
        <v>1549</v>
      </c>
      <c r="J3" s="1748" t="s">
        <v>1572</v>
      </c>
      <c r="K3" s="1748" t="s">
        <v>1573</v>
      </c>
      <c r="L3" s="954"/>
    </row>
    <row r="4" spans="1:20" s="953" customFormat="1">
      <c r="A4" s="955" t="s">
        <v>1574</v>
      </c>
      <c r="B4" s="956">
        <v>3.97</v>
      </c>
      <c r="D4" s="954">
        <v>3.19</v>
      </c>
      <c r="E4" s="954">
        <v>4.01</v>
      </c>
      <c r="F4" s="954">
        <v>3.51</v>
      </c>
      <c r="G4" s="954">
        <v>4.17</v>
      </c>
      <c r="H4" s="954">
        <v>3.92</v>
      </c>
      <c r="I4" s="954">
        <v>4.5199999999999996</v>
      </c>
      <c r="J4" s="954">
        <v>4.47</v>
      </c>
      <c r="K4" s="954">
        <v>3.3</v>
      </c>
      <c r="L4" s="957"/>
      <c r="M4" s="957"/>
      <c r="N4" s="957"/>
      <c r="O4" s="957"/>
      <c r="P4" s="957"/>
      <c r="Q4" s="957"/>
      <c r="R4" s="957"/>
      <c r="S4" s="957"/>
      <c r="T4" s="957"/>
    </row>
    <row r="5" spans="1:20" s="953" customFormat="1">
      <c r="A5" s="958" t="s">
        <v>1575</v>
      </c>
      <c r="B5" s="956">
        <v>4.04</v>
      </c>
      <c r="D5" s="954">
        <v>3.31</v>
      </c>
      <c r="E5" s="954">
        <v>4.07</v>
      </c>
      <c r="F5" s="954">
        <v>3.53</v>
      </c>
      <c r="G5" s="954">
        <v>4.24</v>
      </c>
      <c r="H5" s="954">
        <v>3.93</v>
      </c>
      <c r="I5" s="954">
        <v>4.6100000000000003</v>
      </c>
      <c r="J5" s="954">
        <v>4.53</v>
      </c>
      <c r="K5" s="954">
        <v>3.36</v>
      </c>
      <c r="L5" s="957"/>
      <c r="M5" s="957"/>
      <c r="N5" s="957"/>
      <c r="O5" s="957"/>
      <c r="P5" s="957"/>
      <c r="Q5" s="957"/>
      <c r="R5" s="957"/>
      <c r="S5" s="957"/>
      <c r="T5" s="957"/>
    </row>
    <row r="6" spans="1:20" s="953" customFormat="1">
      <c r="A6" s="955" t="s">
        <v>1576</v>
      </c>
      <c r="B6" s="956">
        <v>4.13</v>
      </c>
      <c r="D6" s="954">
        <v>3.51</v>
      </c>
      <c r="E6" s="954">
        <v>4.09</v>
      </c>
      <c r="F6" s="954">
        <v>3.64</v>
      </c>
      <c r="G6" s="954">
        <v>4.4400000000000004</v>
      </c>
      <c r="H6" s="954">
        <v>4.01</v>
      </c>
      <c r="I6" s="954">
        <v>4.57</v>
      </c>
      <c r="J6" s="954">
        <v>4.58</v>
      </c>
      <c r="K6" s="954">
        <v>3.34</v>
      </c>
      <c r="L6" s="957"/>
      <c r="M6" s="957"/>
      <c r="N6" s="957"/>
      <c r="O6" s="957"/>
      <c r="P6" s="957"/>
      <c r="Q6" s="957"/>
      <c r="R6" s="957"/>
      <c r="S6" s="957"/>
      <c r="T6" s="957"/>
    </row>
    <row r="7" spans="1:20" s="953" customFormat="1">
      <c r="A7" s="955" t="s">
        <v>1577</v>
      </c>
      <c r="B7" s="956">
        <v>4.66</v>
      </c>
      <c r="D7" s="954">
        <v>3.96</v>
      </c>
      <c r="E7" s="954">
        <v>4.59</v>
      </c>
      <c r="F7" s="954">
        <v>4.0999999999999996</v>
      </c>
      <c r="G7" s="954">
        <v>5.09</v>
      </c>
      <c r="H7" s="954">
        <v>4.43</v>
      </c>
      <c r="I7" s="954">
        <v>5.16</v>
      </c>
      <c r="J7" s="954">
        <v>5.12</v>
      </c>
      <c r="K7" s="954">
        <v>3.83</v>
      </c>
      <c r="L7" s="957"/>
      <c r="M7" s="957"/>
      <c r="N7" s="957"/>
      <c r="O7" s="957"/>
      <c r="P7" s="957"/>
      <c r="Q7" s="957"/>
      <c r="R7" s="957"/>
      <c r="S7" s="957"/>
      <c r="T7" s="957"/>
    </row>
    <row r="8" spans="1:20" s="953" customFormat="1">
      <c r="A8" s="955" t="s">
        <v>1578</v>
      </c>
      <c r="B8" s="956">
        <v>4.28</v>
      </c>
      <c r="D8" s="954">
        <v>3.45</v>
      </c>
      <c r="E8" s="954">
        <v>4.18</v>
      </c>
      <c r="F8" s="954">
        <v>3.77</v>
      </c>
      <c r="G8" s="954">
        <v>4.59</v>
      </c>
      <c r="H8" s="954">
        <v>4.12</v>
      </c>
      <c r="I8" s="954">
        <v>4.87</v>
      </c>
      <c r="J8" s="954">
        <v>4.84</v>
      </c>
      <c r="K8" s="954">
        <v>3.42</v>
      </c>
      <c r="L8" s="957"/>
      <c r="M8" s="957"/>
      <c r="N8" s="957"/>
      <c r="O8" s="957"/>
      <c r="P8" s="957"/>
      <c r="Q8" s="957"/>
      <c r="R8" s="957"/>
      <c r="S8" s="957"/>
      <c r="T8" s="957"/>
    </row>
    <row r="9" spans="1:20" s="953" customFormat="1">
      <c r="A9" s="955" t="s">
        <v>1579</v>
      </c>
      <c r="B9" s="956">
        <v>4.21</v>
      </c>
      <c r="D9" s="954">
        <v>3.47</v>
      </c>
      <c r="E9" s="954">
        <v>4.09</v>
      </c>
      <c r="F9" s="954">
        <v>3.79</v>
      </c>
      <c r="G9" s="954">
        <v>4.5</v>
      </c>
      <c r="H9" s="954">
        <v>4.0999999999999996</v>
      </c>
      <c r="I9" s="954">
        <v>4.76</v>
      </c>
      <c r="J9" s="954">
        <v>4.6500000000000004</v>
      </c>
      <c r="K9" s="954">
        <v>3.46</v>
      </c>
      <c r="L9" s="957"/>
      <c r="M9" s="957"/>
      <c r="N9" s="957"/>
      <c r="O9" s="957"/>
      <c r="P9" s="957"/>
      <c r="Q9" s="957"/>
      <c r="R9" s="957"/>
      <c r="S9" s="957"/>
      <c r="T9" s="957"/>
    </row>
    <row r="10" spans="1:20" s="953" customFormat="1">
      <c r="A10" s="955" t="s">
        <v>1580</v>
      </c>
      <c r="B10" s="956">
        <v>4.6900000000000004</v>
      </c>
      <c r="D10" s="954">
        <v>3.82</v>
      </c>
      <c r="E10" s="954">
        <v>4.62</v>
      </c>
      <c r="F10" s="954">
        <v>4.22</v>
      </c>
      <c r="G10" s="954">
        <v>5.0199999999999996</v>
      </c>
      <c r="H10" s="954">
        <v>4.6100000000000003</v>
      </c>
      <c r="I10" s="954">
        <v>5.25</v>
      </c>
      <c r="J10" s="954">
        <v>5.23</v>
      </c>
      <c r="K10" s="954">
        <v>3.99</v>
      </c>
      <c r="L10" s="957"/>
      <c r="M10" s="957"/>
      <c r="N10" s="957"/>
      <c r="O10" s="957"/>
      <c r="P10" s="957"/>
      <c r="Q10" s="957"/>
      <c r="R10" s="957"/>
      <c r="S10" s="957"/>
      <c r="T10" s="957"/>
    </row>
    <row r="11" spans="1:20" s="953" customFormat="1">
      <c r="A11" s="955" t="s">
        <v>1581</v>
      </c>
      <c r="B11" s="956">
        <v>4.75</v>
      </c>
      <c r="D11" s="954">
        <v>3.89</v>
      </c>
      <c r="E11" s="954">
        <v>4.7300000000000004</v>
      </c>
      <c r="F11" s="954">
        <v>4.3099999999999996</v>
      </c>
      <c r="G11" s="954">
        <v>5.07</v>
      </c>
      <c r="H11" s="954">
        <v>4.63</v>
      </c>
      <c r="I11" s="954">
        <v>5.31</v>
      </c>
      <c r="J11" s="954">
        <v>5.23</v>
      </c>
      <c r="K11" s="954">
        <v>4.05</v>
      </c>
      <c r="L11" s="957"/>
      <c r="M11" s="957"/>
      <c r="N11" s="957"/>
      <c r="O11" s="957"/>
      <c r="P11" s="957"/>
      <c r="Q11" s="957"/>
      <c r="R11" s="957"/>
      <c r="S11" s="957"/>
      <c r="T11" s="957"/>
    </row>
    <row r="12" spans="1:20" s="953" customFormat="1">
      <c r="A12" s="955" t="s">
        <v>1582</v>
      </c>
      <c r="B12" s="956">
        <v>4.66</v>
      </c>
      <c r="D12" s="954">
        <v>3.71</v>
      </c>
      <c r="E12" s="954">
        <v>4.79</v>
      </c>
      <c r="F12" s="954">
        <v>4.1399999999999997</v>
      </c>
      <c r="G12" s="954">
        <v>5.05</v>
      </c>
      <c r="H12" s="954">
        <v>4.55</v>
      </c>
      <c r="I12" s="954">
        <v>5.26</v>
      </c>
      <c r="J12" s="954">
        <v>5.1100000000000003</v>
      </c>
      <c r="K12" s="954">
        <v>3.97</v>
      </c>
      <c r="L12" s="957"/>
      <c r="M12" s="957"/>
      <c r="N12" s="957"/>
      <c r="O12" s="957"/>
      <c r="P12" s="957"/>
      <c r="Q12" s="957"/>
      <c r="R12" s="957"/>
      <c r="S12" s="957"/>
      <c r="T12" s="957"/>
    </row>
    <row r="13" spans="1:20" s="953" customFormat="1">
      <c r="A13" s="955" t="s">
        <v>1583</v>
      </c>
      <c r="B13" s="956">
        <v>4.8099999999999996</v>
      </c>
      <c r="D13" s="954">
        <v>3.86</v>
      </c>
      <c r="E13" s="954">
        <v>4.93</v>
      </c>
      <c r="F13" s="954">
        <v>4.33</v>
      </c>
      <c r="G13" s="954">
        <v>5.22</v>
      </c>
      <c r="H13" s="954">
        <v>4.74</v>
      </c>
      <c r="I13" s="954">
        <v>5.37</v>
      </c>
      <c r="J13" s="954">
        <v>5.3</v>
      </c>
      <c r="K13" s="954">
        <v>3.43</v>
      </c>
      <c r="L13" s="957"/>
      <c r="M13" s="957"/>
      <c r="N13" s="957"/>
      <c r="O13" s="957"/>
      <c r="P13" s="957"/>
      <c r="Q13" s="957"/>
      <c r="R13" s="957"/>
      <c r="S13" s="957"/>
      <c r="T13" s="957"/>
    </row>
    <row r="14" spans="1:20" s="953" customFormat="1">
      <c r="A14" s="955" t="s">
        <v>1584</v>
      </c>
      <c r="B14" s="956">
        <v>4.42</v>
      </c>
      <c r="D14" s="954">
        <v>3.61</v>
      </c>
      <c r="E14" s="954">
        <v>4.46</v>
      </c>
      <c r="F14" s="954">
        <v>4.0999999999999996</v>
      </c>
      <c r="G14" s="954">
        <v>4.7300000000000004</v>
      </c>
      <c r="H14" s="954">
        <v>4.32</v>
      </c>
      <c r="I14" s="954">
        <v>4.87</v>
      </c>
      <c r="J14" s="954">
        <v>4.92</v>
      </c>
      <c r="K14" s="954">
        <v>3.19</v>
      </c>
      <c r="L14" s="957"/>
      <c r="M14" s="957"/>
      <c r="N14" s="957"/>
      <c r="O14" s="957"/>
      <c r="P14" s="957"/>
      <c r="Q14" s="957"/>
      <c r="R14" s="957"/>
      <c r="S14" s="957"/>
      <c r="T14" s="957"/>
    </row>
    <row r="15" spans="1:20" s="953" customFormat="1">
      <c r="A15" s="955" t="s">
        <v>1585</v>
      </c>
      <c r="B15" s="956">
        <v>4.21</v>
      </c>
      <c r="D15" s="954">
        <v>3.48</v>
      </c>
      <c r="E15" s="954">
        <v>4.32</v>
      </c>
      <c r="F15" s="954">
        <v>3.84</v>
      </c>
      <c r="G15" s="954">
        <v>4.5199999999999996</v>
      </c>
      <c r="H15" s="954">
        <v>4.0999999999999996</v>
      </c>
      <c r="I15" s="954">
        <v>4.63</v>
      </c>
      <c r="J15" s="954">
        <v>4.6500000000000004</v>
      </c>
      <c r="K15" s="954">
        <v>3.12</v>
      </c>
      <c r="L15" s="957"/>
      <c r="M15" s="957"/>
      <c r="N15" s="957"/>
      <c r="O15" s="957"/>
      <c r="P15" s="957"/>
      <c r="Q15" s="957"/>
      <c r="R15" s="957"/>
      <c r="S15" s="957"/>
      <c r="T15" s="957"/>
    </row>
    <row r="16" spans="1:20" s="953" customFormat="1">
      <c r="A16" s="955" t="s">
        <v>1586</v>
      </c>
      <c r="B16" s="956">
        <v>3.91</v>
      </c>
      <c r="D16" s="954">
        <v>3.17</v>
      </c>
      <c r="E16" s="954">
        <v>3.95</v>
      </c>
      <c r="F16" s="954">
        <v>3.58</v>
      </c>
      <c r="G16" s="954">
        <v>4.26</v>
      </c>
      <c r="H16" s="954">
        <v>3.72</v>
      </c>
      <c r="I16" s="954">
        <v>4.38</v>
      </c>
      <c r="J16" s="954">
        <v>4.33</v>
      </c>
      <c r="K16" s="954">
        <v>2.71</v>
      </c>
      <c r="L16" s="957"/>
      <c r="M16" s="957"/>
      <c r="N16" s="957"/>
      <c r="O16" s="957"/>
      <c r="P16" s="957"/>
      <c r="Q16" s="957"/>
      <c r="R16" s="957"/>
      <c r="S16" s="957"/>
      <c r="T16" s="957"/>
    </row>
    <row r="17" spans="1:20" s="953" customFormat="1">
      <c r="A17" s="955" t="s">
        <v>1587</v>
      </c>
      <c r="B17" s="956">
        <v>3.9</v>
      </c>
      <c r="D17" s="954">
        <v>3.21</v>
      </c>
      <c r="E17" s="954">
        <v>3.88</v>
      </c>
      <c r="F17" s="954">
        <v>3.54</v>
      </c>
      <c r="G17" s="954">
        <v>4.25</v>
      </c>
      <c r="H17" s="954">
        <v>3.7</v>
      </c>
      <c r="I17" s="954">
        <v>4.4000000000000004</v>
      </c>
      <c r="J17" s="954">
        <v>4.29</v>
      </c>
      <c r="K17" s="954">
        <v>2.7</v>
      </c>
      <c r="L17" s="957"/>
      <c r="M17" s="957"/>
      <c r="N17" s="957"/>
      <c r="O17" s="957"/>
      <c r="P17" s="957"/>
      <c r="Q17" s="957"/>
      <c r="R17" s="957"/>
      <c r="S17" s="957"/>
      <c r="T17" s="957"/>
    </row>
    <row r="18" spans="1:20" s="953" customFormat="1">
      <c r="A18" s="955" t="s">
        <v>1588</v>
      </c>
      <c r="B18" s="956">
        <v>3.91</v>
      </c>
      <c r="D18" s="954">
        <v>3.29</v>
      </c>
      <c r="E18" s="954">
        <v>3.89</v>
      </c>
      <c r="F18" s="954">
        <v>3.48</v>
      </c>
      <c r="G18" s="954">
        <v>4.26</v>
      </c>
      <c r="H18" s="954">
        <v>3.67</v>
      </c>
      <c r="I18" s="954">
        <v>4.4000000000000004</v>
      </c>
      <c r="J18" s="954">
        <v>4.3099999999999996</v>
      </c>
      <c r="K18" s="954">
        <v>2.74</v>
      </c>
      <c r="L18" s="957"/>
      <c r="M18" s="957"/>
      <c r="N18" s="957"/>
      <c r="O18" s="957"/>
      <c r="P18" s="957"/>
      <c r="Q18" s="957"/>
      <c r="R18" s="957"/>
      <c r="S18" s="957"/>
      <c r="T18" s="957"/>
    </row>
    <row r="19" spans="1:20" s="953" customFormat="1">
      <c r="A19" s="955" t="s">
        <v>1589</v>
      </c>
      <c r="B19" s="956">
        <v>3.96</v>
      </c>
      <c r="D19" s="954">
        <v>3.33</v>
      </c>
      <c r="E19" s="954">
        <v>3.9</v>
      </c>
      <c r="F19" s="954">
        <v>3.46</v>
      </c>
      <c r="G19" s="954">
        <v>4.3499999999999996</v>
      </c>
      <c r="H19" s="954">
        <v>3.74</v>
      </c>
      <c r="I19" s="954">
        <v>4.4800000000000004</v>
      </c>
      <c r="J19" s="954">
        <v>4.3899999999999997</v>
      </c>
      <c r="K19" s="954">
        <v>2.75</v>
      </c>
      <c r="L19" s="957"/>
      <c r="M19" s="957"/>
      <c r="N19" s="957"/>
      <c r="O19" s="957"/>
      <c r="P19" s="957"/>
      <c r="Q19" s="957"/>
      <c r="R19" s="957"/>
      <c r="S19" s="957"/>
      <c r="T19" s="957"/>
    </row>
    <row r="20" spans="1:20" s="953" customFormat="1">
      <c r="A20" s="955" t="s">
        <v>1590</v>
      </c>
      <c r="B20" s="956">
        <v>3.83</v>
      </c>
      <c r="D20" s="954">
        <v>3.29</v>
      </c>
      <c r="E20" s="954">
        <v>3.69</v>
      </c>
      <c r="F20" s="954">
        <v>3.35</v>
      </c>
      <c r="G20" s="954">
        <v>4.13</v>
      </c>
      <c r="H20" s="954">
        <v>3.59</v>
      </c>
      <c r="I20" s="954">
        <v>4.38</v>
      </c>
      <c r="J20" s="954">
        <v>4.2699999999999996</v>
      </c>
      <c r="K20" s="954">
        <v>2.91</v>
      </c>
      <c r="L20" s="957"/>
      <c r="M20" s="957"/>
      <c r="N20" s="957"/>
      <c r="O20" s="957"/>
      <c r="P20" s="957"/>
      <c r="Q20" s="957"/>
      <c r="R20" s="957"/>
      <c r="S20" s="957"/>
      <c r="T20" s="957"/>
    </row>
    <row r="21" spans="1:20" s="953" customFormat="1">
      <c r="A21" s="955" t="s">
        <v>1591</v>
      </c>
      <c r="B21" s="956">
        <v>4.07</v>
      </c>
      <c r="D21" s="954">
        <v>3.49</v>
      </c>
      <c r="E21" s="954">
        <v>3.97</v>
      </c>
      <c r="F21" s="954">
        <v>3.67</v>
      </c>
      <c r="G21" s="954">
        <v>4.3600000000000003</v>
      </c>
      <c r="H21" s="954">
        <v>3.85</v>
      </c>
      <c r="I21" s="954">
        <v>4.5599999999999996</v>
      </c>
      <c r="J21" s="954">
        <v>4.4800000000000004</v>
      </c>
      <c r="K21" s="954">
        <v>3.26</v>
      </c>
      <c r="L21" s="957"/>
      <c r="M21" s="957"/>
      <c r="N21" s="957"/>
      <c r="O21" s="957"/>
      <c r="P21" s="957"/>
      <c r="Q21" s="957"/>
      <c r="R21" s="957"/>
      <c r="S21" s="957"/>
      <c r="T21" s="957"/>
    </row>
    <row r="22" spans="1:20" s="953" customFormat="1">
      <c r="A22" s="955" t="s">
        <v>1592</v>
      </c>
      <c r="B22" s="956">
        <v>4.28</v>
      </c>
      <c r="D22" s="954">
        <v>3.59</v>
      </c>
      <c r="E22" s="954">
        <v>4.26</v>
      </c>
      <c r="F22" s="954">
        <v>3.87</v>
      </c>
      <c r="G22" s="954">
        <v>4.58</v>
      </c>
      <c r="H22" s="954">
        <v>4.18</v>
      </c>
      <c r="I22" s="954">
        <v>4.72</v>
      </c>
      <c r="J22" s="954">
        <v>4.72</v>
      </c>
      <c r="K22" s="954">
        <v>3.59</v>
      </c>
      <c r="L22" s="957"/>
      <c r="M22" s="957"/>
      <c r="N22" s="957"/>
      <c r="O22" s="957"/>
      <c r="P22" s="957"/>
      <c r="Q22" s="957"/>
      <c r="R22" s="957"/>
      <c r="S22" s="957"/>
      <c r="T22" s="957"/>
    </row>
    <row r="23" spans="1:20" s="953" customFormat="1">
      <c r="A23" s="955" t="s">
        <v>1593</v>
      </c>
      <c r="B23" s="956">
        <v>4.32</v>
      </c>
      <c r="D23" s="954">
        <v>3.58</v>
      </c>
      <c r="E23" s="954">
        <v>4.29</v>
      </c>
      <c r="F23" s="954">
        <v>3.89</v>
      </c>
      <c r="G23" s="954">
        <v>4.6500000000000004</v>
      </c>
      <c r="H23" s="954">
        <v>4.16</v>
      </c>
      <c r="I23" s="954">
        <v>4.79</v>
      </c>
      <c r="J23" s="954">
        <v>4.7699999999999996</v>
      </c>
      <c r="K23" s="954">
        <v>3.84</v>
      </c>
      <c r="L23" s="957"/>
      <c r="M23" s="957"/>
      <c r="N23" s="957"/>
      <c r="O23" s="957"/>
      <c r="P23" s="957"/>
      <c r="Q23" s="957"/>
      <c r="R23" s="957"/>
      <c r="S23" s="957"/>
      <c r="T23" s="957"/>
    </row>
    <row r="24" spans="1:20" s="953" customFormat="1">
      <c r="A24" s="955" t="s">
        <v>1594</v>
      </c>
      <c r="B24" s="956">
        <v>4.95</v>
      </c>
      <c r="D24" s="954">
        <v>4.12</v>
      </c>
      <c r="E24" s="954">
        <v>5.01</v>
      </c>
      <c r="F24" s="954">
        <v>4.4400000000000004</v>
      </c>
      <c r="G24" s="954">
        <v>5.41</v>
      </c>
      <c r="H24" s="954">
        <v>4.8099999999999996</v>
      </c>
      <c r="I24" s="954">
        <v>5.57</v>
      </c>
      <c r="J24" s="954">
        <v>5.27</v>
      </c>
      <c r="K24" s="954">
        <v>4.34</v>
      </c>
      <c r="L24" s="957"/>
      <c r="M24" s="957"/>
      <c r="N24" s="957"/>
      <c r="O24" s="957"/>
      <c r="P24" s="957"/>
      <c r="Q24" s="957"/>
      <c r="R24" s="957"/>
      <c r="S24" s="957"/>
      <c r="T24" s="957"/>
    </row>
    <row r="25" spans="1:20" s="953" customFormat="1">
      <c r="A25" s="955" t="s">
        <v>1595</v>
      </c>
      <c r="B25" s="956">
        <v>4.6399999999999997</v>
      </c>
      <c r="D25" s="954">
        <v>3.72</v>
      </c>
      <c r="E25" s="954">
        <v>4.6500000000000004</v>
      </c>
      <c r="F25" s="954">
        <v>4.21</v>
      </c>
      <c r="G25" s="954">
        <v>4.9400000000000004</v>
      </c>
      <c r="H25" s="954">
        <v>4.5999999999999996</v>
      </c>
      <c r="I25" s="954">
        <v>5.12</v>
      </c>
      <c r="J25" s="954">
        <v>5.23</v>
      </c>
      <c r="K25" s="954">
        <v>4.1399999999999997</v>
      </c>
      <c r="L25" s="957"/>
      <c r="M25" s="957"/>
      <c r="N25" s="957"/>
      <c r="O25" s="957"/>
      <c r="P25" s="957"/>
      <c r="Q25" s="957"/>
      <c r="R25" s="957"/>
      <c r="S25" s="957"/>
      <c r="T25" s="957"/>
    </row>
    <row r="26" spans="1:20" s="953" customFormat="1">
      <c r="A26" s="955" t="s">
        <v>1596</v>
      </c>
      <c r="B26" s="956">
        <v>4.07</v>
      </c>
      <c r="D26" s="954">
        <v>3.38</v>
      </c>
      <c r="E26" s="954">
        <v>4.0599999999999996</v>
      </c>
      <c r="F26" s="954">
        <v>3.69</v>
      </c>
      <c r="G26" s="954">
        <v>4.34</v>
      </c>
      <c r="H26" s="954">
        <v>3.96</v>
      </c>
      <c r="I26" s="954">
        <v>4.4800000000000004</v>
      </c>
      <c r="J26" s="954">
        <v>4.53</v>
      </c>
      <c r="K26" s="954">
        <v>3.52</v>
      </c>
      <c r="L26" s="957"/>
      <c r="M26" s="957"/>
      <c r="N26" s="957"/>
      <c r="O26" s="957"/>
      <c r="P26" s="957"/>
      <c r="Q26" s="957"/>
      <c r="R26" s="957"/>
      <c r="S26" s="957"/>
      <c r="T26" s="957"/>
    </row>
    <row r="27" spans="1:20" s="953" customFormat="1">
      <c r="A27" s="955" t="s">
        <v>1597</v>
      </c>
      <c r="B27" s="956">
        <v>3.93</v>
      </c>
      <c r="D27" s="954">
        <v>3.31</v>
      </c>
      <c r="E27" s="954">
        <v>3.92</v>
      </c>
      <c r="F27" s="954">
        <v>3.58</v>
      </c>
      <c r="G27" s="954">
        <v>4.13</v>
      </c>
      <c r="H27" s="954">
        <v>3.92</v>
      </c>
      <c r="I27" s="954">
        <v>4.3499999999999996</v>
      </c>
      <c r="J27" s="954">
        <v>4.34</v>
      </c>
      <c r="K27" s="954">
        <v>3.38</v>
      </c>
      <c r="L27" s="957"/>
      <c r="M27" s="957"/>
      <c r="N27" s="957"/>
      <c r="O27" s="957"/>
      <c r="P27" s="957"/>
      <c r="Q27" s="957"/>
      <c r="R27" s="957"/>
      <c r="S27" s="957"/>
      <c r="T27" s="957"/>
    </row>
    <row r="28" spans="1:20" s="953" customFormat="1">
      <c r="A28" s="955" t="s">
        <v>1598</v>
      </c>
      <c r="B28" s="956">
        <v>3.73</v>
      </c>
      <c r="D28" s="954">
        <v>3.09</v>
      </c>
      <c r="E28" s="954">
        <v>3.62</v>
      </c>
      <c r="F28" s="954">
        <v>3.41</v>
      </c>
      <c r="G28" s="954">
        <v>3.96</v>
      </c>
      <c r="H28" s="954">
        <v>3.67</v>
      </c>
      <c r="I28" s="954">
        <v>4.17</v>
      </c>
      <c r="J28" s="954">
        <v>4.17</v>
      </c>
      <c r="K28" s="954">
        <v>3.1</v>
      </c>
      <c r="L28" s="957"/>
      <c r="M28" s="957"/>
      <c r="N28" s="957"/>
      <c r="O28" s="957"/>
      <c r="P28" s="957"/>
      <c r="Q28" s="957"/>
      <c r="R28" s="957"/>
      <c r="S28" s="957"/>
      <c r="T28" s="957"/>
    </row>
    <row r="29" spans="1:20" s="953" customFormat="1">
      <c r="A29" s="958" t="s">
        <v>1599</v>
      </c>
      <c r="B29" s="956">
        <v>3.69</v>
      </c>
      <c r="D29" s="954">
        <v>3.15</v>
      </c>
      <c r="E29" s="954">
        <v>3.56</v>
      </c>
      <c r="F29" s="954">
        <v>3.38</v>
      </c>
      <c r="G29" s="954">
        <v>3.88</v>
      </c>
      <c r="H29" s="954">
        <v>3.55</v>
      </c>
      <c r="I29" s="954">
        <v>4.1500000000000004</v>
      </c>
      <c r="J29" s="954">
        <v>4.08</v>
      </c>
      <c r="K29" s="954">
        <v>2.96</v>
      </c>
      <c r="L29" s="957"/>
      <c r="M29" s="957"/>
      <c r="N29" s="957"/>
      <c r="O29" s="957"/>
      <c r="P29" s="957"/>
      <c r="Q29" s="957"/>
      <c r="R29" s="957"/>
      <c r="S29" s="957"/>
      <c r="T29" s="957"/>
    </row>
    <row r="30" spans="1:20" s="953" customFormat="1">
      <c r="A30" s="955" t="s">
        <v>1600</v>
      </c>
      <c r="B30" s="956">
        <v>3.9</v>
      </c>
      <c r="D30" s="954">
        <v>3.43</v>
      </c>
      <c r="E30" s="954">
        <v>3.88</v>
      </c>
      <c r="F30" s="954">
        <v>3.59</v>
      </c>
      <c r="G30" s="954">
        <v>4.08</v>
      </c>
      <c r="H30" s="954">
        <v>3.75</v>
      </c>
      <c r="I30" s="954">
        <v>4.33</v>
      </c>
      <c r="J30" s="954">
        <v>4.21</v>
      </c>
      <c r="K30" s="954">
        <v>3.1</v>
      </c>
      <c r="L30" s="957"/>
      <c r="M30" s="957"/>
      <c r="N30" s="957"/>
      <c r="O30" s="957"/>
      <c r="P30" s="957"/>
      <c r="Q30" s="957"/>
      <c r="R30" s="957"/>
      <c r="S30" s="957"/>
      <c r="T30" s="957"/>
    </row>
    <row r="31" spans="1:20" s="953" customFormat="1">
      <c r="A31" s="955" t="s">
        <v>1601</v>
      </c>
      <c r="B31" s="956">
        <v>3.97</v>
      </c>
      <c r="D31" s="954">
        <v>3.5</v>
      </c>
      <c r="E31" s="954">
        <v>3.96</v>
      </c>
      <c r="F31" s="954">
        <v>3.57</v>
      </c>
      <c r="G31" s="954">
        <v>4.24</v>
      </c>
      <c r="H31" s="954">
        <v>3.87</v>
      </c>
      <c r="I31" s="954">
        <v>4.33</v>
      </c>
      <c r="J31" s="954">
        <v>4.33</v>
      </c>
      <c r="K31" s="954">
        <v>3.11</v>
      </c>
      <c r="L31" s="957"/>
      <c r="M31" s="957"/>
      <c r="N31" s="957"/>
      <c r="O31" s="957"/>
      <c r="P31" s="957"/>
      <c r="Q31" s="957"/>
      <c r="R31" s="957"/>
      <c r="S31" s="957"/>
      <c r="T31" s="957"/>
    </row>
    <row r="32" spans="1:20" s="953" customFormat="1">
      <c r="A32" s="955" t="s">
        <v>1602</v>
      </c>
      <c r="B32" s="956">
        <v>3.92</v>
      </c>
      <c r="D32" s="954">
        <v>3.44</v>
      </c>
      <c r="E32" s="954">
        <v>3.81</v>
      </c>
      <c r="F32" s="954">
        <v>3.58</v>
      </c>
      <c r="G32" s="954">
        <v>4.1399999999999997</v>
      </c>
      <c r="H32" s="954">
        <v>3.76</v>
      </c>
      <c r="I32" s="954">
        <v>4.3099999999999996</v>
      </c>
      <c r="J32" s="954">
        <v>4.33</v>
      </c>
      <c r="K32" s="954">
        <v>3.1</v>
      </c>
      <c r="L32" s="957"/>
      <c r="M32" s="957"/>
      <c r="N32" s="957"/>
      <c r="O32" s="957"/>
      <c r="P32" s="957"/>
      <c r="Q32" s="957"/>
      <c r="R32" s="957"/>
      <c r="S32" s="957"/>
      <c r="T32" s="957"/>
    </row>
    <row r="33" spans="1:20" s="953" customFormat="1">
      <c r="A33" s="955" t="s">
        <v>1603</v>
      </c>
      <c r="B33" s="956">
        <v>4.03</v>
      </c>
      <c r="D33" s="954">
        <v>3.47</v>
      </c>
      <c r="E33" s="954">
        <v>3.96</v>
      </c>
      <c r="F33" s="954">
        <v>3.66</v>
      </c>
      <c r="G33" s="954">
        <v>4.3</v>
      </c>
      <c r="H33" s="954">
        <v>3.83</v>
      </c>
      <c r="I33" s="954">
        <v>4.5199999999999996</v>
      </c>
      <c r="J33" s="954">
        <v>4.43</v>
      </c>
      <c r="K33" s="954">
        <v>3.17</v>
      </c>
      <c r="L33" s="957"/>
      <c r="M33" s="957"/>
      <c r="N33" s="957"/>
      <c r="O33" s="957"/>
      <c r="P33" s="957"/>
      <c r="Q33" s="957"/>
      <c r="R33" s="957"/>
      <c r="S33" s="957"/>
      <c r="T33" s="957"/>
    </row>
    <row r="34" spans="1:20" s="953" customFormat="1">
      <c r="A34" s="955" t="s">
        <v>1604</v>
      </c>
      <c r="B34" s="956">
        <v>4.2699999999999996</v>
      </c>
      <c r="D34" s="954">
        <v>3.61</v>
      </c>
      <c r="E34" s="954">
        <v>4.2</v>
      </c>
      <c r="F34" s="954">
        <v>3.86</v>
      </c>
      <c r="G34" s="954">
        <v>4.55</v>
      </c>
      <c r="H34" s="954">
        <v>4.0599999999999996</v>
      </c>
      <c r="I34" s="954">
        <v>4.79</v>
      </c>
      <c r="J34" s="954">
        <v>4.7</v>
      </c>
      <c r="K34" s="954">
        <v>3.18</v>
      </c>
      <c r="L34" s="957"/>
      <c r="M34" s="957"/>
      <c r="N34" s="957"/>
      <c r="O34" s="957"/>
      <c r="P34" s="957"/>
      <c r="Q34" s="957"/>
      <c r="R34" s="957"/>
      <c r="S34" s="957"/>
      <c r="T34" s="957"/>
    </row>
    <row r="35" spans="1:20" s="953" customFormat="1">
      <c r="A35" s="955" t="s">
        <v>1605</v>
      </c>
      <c r="B35" s="956">
        <v>4.43</v>
      </c>
      <c r="D35" s="954">
        <v>3.7</v>
      </c>
      <c r="E35" s="954">
        <v>4.3600000000000003</v>
      </c>
      <c r="F35" s="954">
        <v>4.07</v>
      </c>
      <c r="G35" s="954">
        <v>4.7</v>
      </c>
      <c r="H35" s="954">
        <v>4.3099999999999996</v>
      </c>
      <c r="I35" s="954">
        <v>4.88</v>
      </c>
      <c r="J35" s="954">
        <v>4.8899999999999997</v>
      </c>
      <c r="K35" s="954">
        <v>3.47</v>
      </c>
      <c r="L35" s="957"/>
      <c r="M35" s="957"/>
      <c r="N35" s="957"/>
      <c r="O35" s="957"/>
      <c r="P35" s="957"/>
      <c r="Q35" s="957"/>
      <c r="R35" s="957"/>
      <c r="S35" s="957"/>
      <c r="T35" s="957"/>
    </row>
    <row r="36" spans="1:20" s="953" customFormat="1">
      <c r="A36" s="955" t="s">
        <v>1606</v>
      </c>
      <c r="B36" s="956">
        <v>4.41</v>
      </c>
      <c r="D36" s="954">
        <v>3.69</v>
      </c>
      <c r="E36" s="954">
        <v>4.32</v>
      </c>
      <c r="F36" s="954">
        <v>4.08</v>
      </c>
      <c r="G36" s="954">
        <v>4.62</v>
      </c>
      <c r="H36" s="954">
        <v>4.34</v>
      </c>
      <c r="I36" s="954">
        <v>4.91</v>
      </c>
      <c r="J36" s="954">
        <v>4.8600000000000003</v>
      </c>
      <c r="K36" s="954">
        <v>3.38</v>
      </c>
      <c r="L36" s="957"/>
      <c r="M36" s="957"/>
      <c r="N36" s="957"/>
      <c r="O36" s="957"/>
      <c r="P36" s="957"/>
      <c r="Q36" s="957"/>
      <c r="R36" s="957"/>
      <c r="S36" s="957"/>
      <c r="T36" s="957"/>
    </row>
    <row r="37" spans="1:20" s="953" customFormat="1">
      <c r="A37" s="955" t="s">
        <v>1607</v>
      </c>
      <c r="B37" s="956">
        <v>4.49</v>
      </c>
      <c r="D37" s="954">
        <v>3.77</v>
      </c>
      <c r="E37" s="954">
        <v>4.3899999999999997</v>
      </c>
      <c r="F37" s="954">
        <v>4.12</v>
      </c>
      <c r="G37" s="954">
        <v>4.74</v>
      </c>
      <c r="H37" s="954">
        <v>4.5</v>
      </c>
      <c r="I37" s="954">
        <v>5.01</v>
      </c>
      <c r="J37" s="954">
        <v>4.8899999999999997</v>
      </c>
      <c r="K37" s="954">
        <v>3.38</v>
      </c>
      <c r="L37" s="957"/>
      <c r="M37" s="957"/>
      <c r="N37" s="957"/>
      <c r="O37" s="957"/>
      <c r="P37" s="957"/>
      <c r="Q37" s="957"/>
      <c r="R37" s="957"/>
      <c r="S37" s="957"/>
      <c r="T37" s="957"/>
    </row>
    <row r="38" spans="1:20" s="953" customFormat="1">
      <c r="A38" s="955" t="s">
        <v>1608</v>
      </c>
      <c r="B38" s="956">
        <v>4.51</v>
      </c>
      <c r="D38" s="954">
        <v>3.83</v>
      </c>
      <c r="E38" s="954">
        <v>4.4800000000000004</v>
      </c>
      <c r="F38" s="954">
        <v>4.1900000000000004</v>
      </c>
      <c r="G38" s="954">
        <v>4.71</v>
      </c>
      <c r="H38" s="954">
        <v>4.4800000000000004</v>
      </c>
      <c r="I38" s="954">
        <v>4.9400000000000004</v>
      </c>
      <c r="J38" s="954">
        <v>4.9400000000000004</v>
      </c>
      <c r="K38" s="954">
        <v>3.51</v>
      </c>
      <c r="L38" s="957"/>
      <c r="M38" s="957"/>
      <c r="N38" s="957"/>
      <c r="O38" s="957"/>
      <c r="P38" s="957"/>
      <c r="Q38" s="957"/>
      <c r="R38" s="957"/>
      <c r="S38" s="957"/>
      <c r="T38" s="957"/>
    </row>
    <row r="39" spans="1:20" s="953" customFormat="1">
      <c r="A39" s="955" t="s">
        <v>1609</v>
      </c>
      <c r="B39" s="956">
        <v>4.2</v>
      </c>
      <c r="D39" s="954">
        <v>3.49</v>
      </c>
      <c r="E39" s="954">
        <v>4.17</v>
      </c>
      <c r="F39" s="954">
        <v>3.91</v>
      </c>
      <c r="G39" s="954">
        <v>4.37</v>
      </c>
      <c r="H39" s="954">
        <v>4.1399999999999997</v>
      </c>
      <c r="I39" s="954">
        <v>4.6500000000000004</v>
      </c>
      <c r="J39" s="954">
        <v>4.6500000000000004</v>
      </c>
      <c r="K39" s="954">
        <v>3.49</v>
      </c>
      <c r="L39" s="957"/>
      <c r="M39" s="957"/>
      <c r="N39" s="957"/>
      <c r="O39" s="957"/>
      <c r="P39" s="957"/>
      <c r="Q39" s="957"/>
      <c r="R39" s="957"/>
      <c r="S39" s="957"/>
      <c r="T39" s="957"/>
    </row>
    <row r="40" spans="1:20" s="953" customFormat="1">
      <c r="A40" s="955" t="s">
        <v>1610</v>
      </c>
      <c r="B40" s="956">
        <v>4.03</v>
      </c>
      <c r="D40" s="954">
        <v>3.3</v>
      </c>
      <c r="E40" s="954">
        <v>3.94</v>
      </c>
      <c r="F40" s="954">
        <v>3.75</v>
      </c>
      <c r="G40" s="954">
        <v>4.24</v>
      </c>
      <c r="H40" s="954">
        <v>3.97</v>
      </c>
      <c r="I40" s="954">
        <v>4.4800000000000004</v>
      </c>
      <c r="J40" s="954">
        <v>4.4800000000000004</v>
      </c>
      <c r="K40" s="954">
        <v>3.37</v>
      </c>
      <c r="L40" s="957"/>
      <c r="M40" s="957"/>
      <c r="N40" s="957"/>
      <c r="O40" s="957"/>
      <c r="P40" s="957"/>
      <c r="Q40" s="957"/>
      <c r="R40" s="957"/>
      <c r="S40" s="957"/>
      <c r="T40" s="957"/>
    </row>
    <row r="41" spans="1:20" s="953" customFormat="1">
      <c r="A41" s="955" t="s">
        <v>1611</v>
      </c>
      <c r="B41" s="956">
        <v>4.1500000000000004</v>
      </c>
      <c r="D41" s="954">
        <v>3.44</v>
      </c>
      <c r="E41" s="954">
        <v>4.0999999999999996</v>
      </c>
      <c r="F41" s="954">
        <v>3.81</v>
      </c>
      <c r="G41" s="954">
        <v>4.43</v>
      </c>
      <c r="H41" s="954">
        <v>4.13</v>
      </c>
      <c r="I41" s="954">
        <v>4.6100000000000003</v>
      </c>
      <c r="J41" s="954">
        <v>4.51</v>
      </c>
      <c r="K41" s="954">
        <v>3.5</v>
      </c>
      <c r="L41" s="957"/>
      <c r="M41" s="957"/>
      <c r="N41" s="957"/>
      <c r="O41" s="957"/>
      <c r="P41" s="957"/>
      <c r="Q41" s="957"/>
      <c r="R41" s="957"/>
      <c r="S41" s="957"/>
      <c r="T41" s="957"/>
    </row>
    <row r="42" spans="1:20" s="953" customFormat="1">
      <c r="A42" s="955" t="s">
        <v>1612</v>
      </c>
      <c r="B42" s="956">
        <v>3.97</v>
      </c>
      <c r="D42" s="954">
        <v>3.32</v>
      </c>
      <c r="E42" s="954">
        <v>3.88</v>
      </c>
      <c r="F42" s="954">
        <v>3.61</v>
      </c>
      <c r="G42" s="954">
        <v>4.21</v>
      </c>
      <c r="H42" s="954">
        <v>3.87</v>
      </c>
      <c r="I42" s="954">
        <v>4.47</v>
      </c>
      <c r="J42" s="954">
        <v>4.32</v>
      </c>
      <c r="K42" s="954">
        <v>3.24</v>
      </c>
      <c r="L42" s="957"/>
      <c r="M42" s="957"/>
      <c r="N42" s="957"/>
      <c r="O42" s="957"/>
      <c r="P42" s="957"/>
      <c r="Q42" s="957"/>
      <c r="R42" s="957"/>
      <c r="S42" s="957"/>
      <c r="T42" s="957"/>
    </row>
    <row r="43" spans="1:20" s="953" customFormat="1">
      <c r="A43" s="955" t="s">
        <v>1613</v>
      </c>
      <c r="B43" s="956">
        <v>4.1900000000000004</v>
      </c>
      <c r="D43" s="954">
        <v>3.51</v>
      </c>
      <c r="E43" s="954">
        <v>4.21</v>
      </c>
      <c r="F43" s="954">
        <v>3.78</v>
      </c>
      <c r="G43" s="954">
        <v>4.4400000000000004</v>
      </c>
      <c r="H43" s="954">
        <v>4.0599999999999996</v>
      </c>
      <c r="I43" s="954">
        <v>4.66</v>
      </c>
      <c r="J43" s="954">
        <v>4.58</v>
      </c>
      <c r="K43" s="954">
        <v>3.33</v>
      </c>
      <c r="L43" s="957"/>
      <c r="M43" s="957"/>
      <c r="N43" s="957"/>
      <c r="O43" s="957"/>
      <c r="P43" s="957"/>
      <c r="Q43" s="957"/>
      <c r="R43" s="957"/>
      <c r="S43" s="957"/>
      <c r="T43" s="957"/>
    </row>
    <row r="44" spans="1:20" s="953" customFormat="1">
      <c r="A44" s="955" t="s">
        <v>1614</v>
      </c>
      <c r="B44" s="956">
        <v>4.04</v>
      </c>
      <c r="D44" s="954">
        <v>3.36</v>
      </c>
      <c r="E44" s="954">
        <v>4.08</v>
      </c>
      <c r="F44" s="954">
        <v>3.64</v>
      </c>
      <c r="G44" s="954">
        <v>4.2300000000000004</v>
      </c>
      <c r="H44" s="954">
        <v>3.95</v>
      </c>
      <c r="I44" s="954">
        <v>4.5199999999999996</v>
      </c>
      <c r="J44" s="954">
        <v>4.49</v>
      </c>
      <c r="K44" s="954">
        <v>3.12</v>
      </c>
      <c r="L44" s="957"/>
      <c r="M44" s="957"/>
      <c r="N44" s="957"/>
      <c r="O44" s="957"/>
      <c r="P44" s="957"/>
      <c r="Q44" s="957"/>
      <c r="R44" s="957"/>
      <c r="S44" s="957"/>
      <c r="T44" s="957"/>
    </row>
    <row r="45" spans="1:20" s="953" customFormat="1">
      <c r="A45" s="955" t="s">
        <v>1615</v>
      </c>
      <c r="B45" s="956">
        <v>4.07</v>
      </c>
      <c r="D45" s="954">
        <v>3.41</v>
      </c>
      <c r="E45" s="954">
        <v>4.13</v>
      </c>
      <c r="F45" s="954">
        <v>3.66</v>
      </c>
      <c r="G45" s="954">
        <v>4.26</v>
      </c>
      <c r="H45" s="954">
        <v>4.04</v>
      </c>
      <c r="I45" s="954">
        <v>4.51</v>
      </c>
      <c r="J45" s="954">
        <v>4.4800000000000004</v>
      </c>
      <c r="K45" s="954">
        <v>3.14</v>
      </c>
      <c r="L45" s="957"/>
      <c r="M45" s="957"/>
      <c r="N45" s="957"/>
      <c r="O45" s="957"/>
      <c r="P45" s="957"/>
      <c r="Q45" s="957"/>
      <c r="R45" s="957"/>
      <c r="S45" s="957"/>
      <c r="T45" s="957"/>
    </row>
    <row r="46" spans="1:20" s="953" customFormat="1">
      <c r="A46" s="955" t="s">
        <v>1616</v>
      </c>
      <c r="B46" s="956">
        <v>4.4400000000000004</v>
      </c>
      <c r="D46" s="954">
        <v>3.72</v>
      </c>
      <c r="E46" s="954">
        <v>4.5199999999999996</v>
      </c>
      <c r="F46" s="954">
        <v>4.04</v>
      </c>
      <c r="G46" s="954">
        <v>4.68</v>
      </c>
      <c r="H46" s="954">
        <v>4.49</v>
      </c>
      <c r="I46" s="954">
        <v>4.8099999999999996</v>
      </c>
      <c r="J46" s="954">
        <v>4.8600000000000003</v>
      </c>
      <c r="K46" s="954">
        <v>3.48</v>
      </c>
      <c r="L46" s="957"/>
      <c r="M46" s="957"/>
      <c r="N46" s="957"/>
      <c r="O46" s="957"/>
      <c r="P46" s="957"/>
      <c r="Q46" s="957"/>
      <c r="R46" s="957"/>
      <c r="S46" s="957"/>
      <c r="T46" s="957"/>
    </row>
    <row r="47" spans="1:20" s="953" customFormat="1">
      <c r="A47" s="955" t="s">
        <v>1617</v>
      </c>
      <c r="B47" s="956">
        <v>4.53</v>
      </c>
      <c r="D47" s="954">
        <v>3.78</v>
      </c>
      <c r="E47" s="954">
        <v>4.59</v>
      </c>
      <c r="F47" s="954">
        <v>4.16</v>
      </c>
      <c r="G47" s="954">
        <v>4.7699999999999996</v>
      </c>
      <c r="H47" s="954">
        <v>4.5199999999999996</v>
      </c>
      <c r="I47" s="954">
        <v>4.99</v>
      </c>
      <c r="J47" s="954">
        <v>4.95</v>
      </c>
      <c r="K47" s="954">
        <v>3.45</v>
      </c>
      <c r="L47" s="957"/>
      <c r="M47" s="957"/>
      <c r="N47" s="957"/>
      <c r="O47" s="957"/>
      <c r="P47" s="957"/>
      <c r="Q47" s="957"/>
      <c r="R47" s="957"/>
      <c r="S47" s="957"/>
      <c r="T47" s="957"/>
    </row>
    <row r="48" spans="1:20" s="953" customFormat="1">
      <c r="A48" s="955" t="s">
        <v>1618</v>
      </c>
      <c r="B48" s="956">
        <v>4.6500000000000004</v>
      </c>
      <c r="D48" s="954">
        <v>3.81</v>
      </c>
      <c r="E48" s="954">
        <v>4.53</v>
      </c>
      <c r="F48" s="954">
        <v>4.34</v>
      </c>
      <c r="G48" s="954">
        <v>4.93</v>
      </c>
      <c r="H48" s="954">
        <v>4.63</v>
      </c>
      <c r="I48" s="954">
        <v>5.0999999999999996</v>
      </c>
      <c r="J48" s="954">
        <v>5.19</v>
      </c>
      <c r="K48" s="954">
        <v>3.55</v>
      </c>
      <c r="L48" s="957"/>
      <c r="M48" s="957"/>
      <c r="N48" s="957"/>
      <c r="O48" s="957"/>
      <c r="P48" s="957"/>
      <c r="Q48" s="957"/>
      <c r="R48" s="957"/>
      <c r="S48" s="957"/>
      <c r="T48" s="957"/>
    </row>
    <row r="49" spans="1:20" s="953" customFormat="1">
      <c r="A49" s="955" t="s">
        <v>1619</v>
      </c>
      <c r="B49" s="956">
        <v>4.7699999999999996</v>
      </c>
      <c r="D49" s="954">
        <v>3.93</v>
      </c>
      <c r="E49" s="954">
        <v>4.71</v>
      </c>
      <c r="F49" s="954">
        <v>4.3499999999999996</v>
      </c>
      <c r="G49" s="954">
        <v>4.9800000000000004</v>
      </c>
      <c r="H49" s="954">
        <v>4.8</v>
      </c>
      <c r="I49" s="954">
        <v>5.27</v>
      </c>
      <c r="J49" s="954">
        <v>5.35</v>
      </c>
      <c r="K49" s="954">
        <v>3.63</v>
      </c>
      <c r="L49" s="957"/>
      <c r="M49" s="957"/>
      <c r="N49" s="957"/>
      <c r="O49" s="957"/>
      <c r="P49" s="957"/>
      <c r="Q49" s="957"/>
      <c r="R49" s="957"/>
      <c r="S49" s="957"/>
      <c r="T49" s="957"/>
    </row>
    <row r="50" spans="1:20" s="953" customFormat="1">
      <c r="A50" s="955" t="s">
        <v>1620</v>
      </c>
      <c r="B50" s="956">
        <v>4.3600000000000003</v>
      </c>
      <c r="D50" s="954">
        <v>3.68</v>
      </c>
      <c r="E50" s="954">
        <v>4.43</v>
      </c>
      <c r="F50" s="954">
        <v>4.01</v>
      </c>
      <c r="G50" s="954">
        <v>4.45</v>
      </c>
      <c r="H50" s="954">
        <v>4.4800000000000004</v>
      </c>
      <c r="I50" s="954">
        <v>4.87</v>
      </c>
      <c r="J50" s="954">
        <v>4.75</v>
      </c>
      <c r="K50" s="954">
        <v>3.38</v>
      </c>
      <c r="L50" s="957"/>
      <c r="M50" s="957"/>
      <c r="N50" s="957"/>
      <c r="O50" s="957"/>
      <c r="P50" s="957"/>
      <c r="Q50" s="957"/>
      <c r="R50" s="957"/>
      <c r="S50" s="957"/>
      <c r="T50" s="957"/>
    </row>
    <row r="51" spans="1:20" s="953" customFormat="1">
      <c r="A51" s="955" t="s">
        <v>1621</v>
      </c>
      <c r="B51" s="956">
        <v>4.13</v>
      </c>
      <c r="D51" s="954">
        <v>3.35</v>
      </c>
      <c r="E51" s="954">
        <v>4.2300000000000004</v>
      </c>
      <c r="F51" s="954">
        <v>3.81</v>
      </c>
      <c r="G51" s="954">
        <v>4.3099999999999996</v>
      </c>
      <c r="H51" s="954">
        <v>4.1900000000000004</v>
      </c>
      <c r="I51" s="954">
        <v>4.63</v>
      </c>
      <c r="J51" s="954">
        <v>4.49</v>
      </c>
      <c r="K51" s="954">
        <v>3.13</v>
      </c>
      <c r="L51" s="957"/>
      <c r="M51" s="957"/>
      <c r="N51" s="957"/>
      <c r="O51" s="957"/>
      <c r="P51" s="957"/>
      <c r="Q51" s="957"/>
      <c r="R51" s="957"/>
      <c r="S51" s="957"/>
      <c r="T51" s="957"/>
    </row>
    <row r="52" spans="1:20" s="953" customFormat="1">
      <c r="A52" s="955" t="s">
        <v>1622</v>
      </c>
      <c r="B52" s="956">
        <v>3.98</v>
      </c>
      <c r="D52" s="954">
        <v>3.29</v>
      </c>
      <c r="E52" s="954">
        <v>4.1399999999999997</v>
      </c>
      <c r="F52" s="954">
        <v>3.73</v>
      </c>
      <c r="G52" s="954">
        <v>4.17</v>
      </c>
      <c r="H52" s="954">
        <v>3.96</v>
      </c>
      <c r="I52" s="954">
        <v>4.47</v>
      </c>
      <c r="J52" s="954">
        <v>4.38</v>
      </c>
      <c r="K52" s="954">
        <v>2.34</v>
      </c>
      <c r="L52" s="957"/>
      <c r="M52" s="957"/>
      <c r="N52" s="957"/>
      <c r="O52" s="957"/>
      <c r="P52" s="957"/>
      <c r="Q52" s="957"/>
      <c r="R52" s="957"/>
      <c r="S52" s="957"/>
      <c r="T52" s="957"/>
    </row>
    <row r="53" spans="1:20" s="953" customFormat="1">
      <c r="A53" s="955" t="s">
        <v>1623</v>
      </c>
      <c r="B53" s="956">
        <v>3.78</v>
      </c>
      <c r="D53" s="954">
        <v>3.24</v>
      </c>
      <c r="E53" s="954">
        <v>3.82</v>
      </c>
      <c r="F53" s="954">
        <v>3.54</v>
      </c>
      <c r="G53" s="954">
        <v>3.96</v>
      </c>
      <c r="H53" s="954">
        <v>3.58</v>
      </c>
      <c r="I53" s="954">
        <v>4.3099999999999996</v>
      </c>
      <c r="J53" s="954">
        <v>4.1500000000000004</v>
      </c>
      <c r="K53" s="954">
        <v>2.4700000000000002</v>
      </c>
      <c r="L53" s="957"/>
      <c r="M53" s="957"/>
      <c r="N53" s="957"/>
      <c r="O53" s="957"/>
      <c r="P53" s="957"/>
      <c r="Q53" s="957"/>
      <c r="R53" s="957"/>
      <c r="S53" s="957"/>
      <c r="T53" s="957"/>
    </row>
    <row r="54" spans="1:20" s="953" customFormat="1">
      <c r="A54" s="955" t="s">
        <v>1624</v>
      </c>
      <c r="B54" s="956">
        <v>3.8</v>
      </c>
      <c r="D54" s="954">
        <v>3.32</v>
      </c>
      <c r="E54" s="954">
        <v>3.84</v>
      </c>
      <c r="F54" s="954">
        <v>3.55</v>
      </c>
      <c r="G54" s="954">
        <v>3.93</v>
      </c>
      <c r="H54" s="954">
        <v>3.65</v>
      </c>
      <c r="I54" s="954">
        <v>4.28</v>
      </c>
      <c r="J54" s="954">
        <v>4.13</v>
      </c>
      <c r="K54" s="954">
        <v>2.71</v>
      </c>
      <c r="L54" s="957"/>
      <c r="M54" s="957"/>
      <c r="N54" s="957"/>
      <c r="O54" s="957"/>
      <c r="P54" s="957"/>
      <c r="Q54" s="957"/>
      <c r="R54" s="957"/>
      <c r="S54" s="957"/>
      <c r="T54" s="957"/>
    </row>
    <row r="55" spans="1:20" s="953" customFormat="1">
      <c r="A55" s="955" t="s">
        <v>1625</v>
      </c>
      <c r="B55" s="956">
        <v>3.87</v>
      </c>
      <c r="D55" s="954">
        <v>3.36</v>
      </c>
      <c r="E55" s="954">
        <v>3.93</v>
      </c>
      <c r="F55" s="954">
        <v>3.56</v>
      </c>
      <c r="G55" s="954">
        <v>3.99</v>
      </c>
      <c r="H55" s="954">
        <v>3.72</v>
      </c>
      <c r="I55" s="954">
        <v>4.3600000000000003</v>
      </c>
      <c r="J55" s="954">
        <v>4.24</v>
      </c>
      <c r="K55" s="954">
        <v>3</v>
      </c>
      <c r="L55" s="957"/>
      <c r="M55" s="957"/>
      <c r="N55" s="957"/>
      <c r="O55" s="957"/>
      <c r="P55" s="957"/>
      <c r="Q55" s="957"/>
      <c r="R55" s="957"/>
      <c r="S55" s="957"/>
      <c r="T55" s="957"/>
    </row>
    <row r="56" spans="1:20" s="953" customFormat="1">
      <c r="A56" s="955" t="s">
        <v>1626</v>
      </c>
      <c r="B56" s="956">
        <v>3.8</v>
      </c>
      <c r="D56" s="954">
        <v>3.26</v>
      </c>
      <c r="E56" s="954">
        <v>3.84</v>
      </c>
      <c r="F56" s="954">
        <v>3.51</v>
      </c>
      <c r="G56" s="954">
        <v>3.92</v>
      </c>
      <c r="H56" s="954">
        <v>3.65</v>
      </c>
      <c r="I56" s="954">
        <v>4.32</v>
      </c>
      <c r="J56" s="954">
        <v>4.18</v>
      </c>
      <c r="K56" s="954">
        <v>2.92</v>
      </c>
      <c r="L56" s="957"/>
      <c r="M56" s="957"/>
      <c r="N56" s="957"/>
      <c r="O56" s="957"/>
      <c r="P56" s="957"/>
      <c r="Q56" s="957"/>
      <c r="R56" s="957"/>
      <c r="S56" s="957"/>
      <c r="T56" s="957"/>
    </row>
    <row r="57" spans="1:20" s="953" customFormat="1">
      <c r="A57" s="955" t="s">
        <v>1627</v>
      </c>
      <c r="B57" s="956">
        <v>3.94</v>
      </c>
      <c r="D57" s="954">
        <v>3.47</v>
      </c>
      <c r="E57" s="954">
        <v>3.98</v>
      </c>
      <c r="F57" s="954">
        <v>3.68</v>
      </c>
      <c r="G57" s="954">
        <v>4.05</v>
      </c>
      <c r="H57" s="954">
        <v>3.8</v>
      </c>
      <c r="I57" s="954">
        <v>4.43</v>
      </c>
      <c r="J57" s="954">
        <v>4.26</v>
      </c>
      <c r="K57" s="954">
        <v>3</v>
      </c>
      <c r="L57" s="957"/>
      <c r="M57" s="957"/>
      <c r="N57" s="957"/>
      <c r="O57" s="957"/>
      <c r="P57" s="957"/>
      <c r="Q57" s="957"/>
      <c r="R57" s="957"/>
      <c r="S57" s="957"/>
      <c r="T57" s="957"/>
    </row>
    <row r="58" spans="1:20" s="953" customFormat="1">
      <c r="A58" s="955" t="s">
        <v>1628</v>
      </c>
      <c r="B58" s="956">
        <v>4.17</v>
      </c>
      <c r="D58" s="954">
        <v>3.69</v>
      </c>
      <c r="E58" s="954">
        <v>4.1500000000000004</v>
      </c>
      <c r="F58" s="954">
        <v>3.95</v>
      </c>
      <c r="G58" s="954">
        <v>4.32</v>
      </c>
      <c r="H58" s="954">
        <v>4.0599999999999996</v>
      </c>
      <c r="I58" s="954">
        <v>4.63</v>
      </c>
      <c r="J58" s="954">
        <v>4.4800000000000004</v>
      </c>
      <c r="K58" s="954">
        <v>3.27</v>
      </c>
      <c r="L58" s="957"/>
      <c r="M58" s="957"/>
      <c r="N58" s="957"/>
      <c r="O58" s="957"/>
      <c r="P58" s="957"/>
      <c r="Q58" s="957"/>
      <c r="R58" s="957"/>
      <c r="S58" s="957"/>
      <c r="T58" s="957"/>
    </row>
    <row r="59" spans="1:20" s="953" customFormat="1">
      <c r="A59" s="955" t="s">
        <v>1629</v>
      </c>
      <c r="B59" s="956">
        <v>4.2300000000000004</v>
      </c>
      <c r="D59" s="954">
        <v>3.66</v>
      </c>
      <c r="E59" s="954">
        <v>4.24</v>
      </c>
      <c r="F59" s="954">
        <v>3.9</v>
      </c>
      <c r="G59" s="954">
        <v>4.4000000000000004</v>
      </c>
      <c r="H59" s="954">
        <v>4.1399999999999997</v>
      </c>
      <c r="I59" s="954">
        <v>4.8</v>
      </c>
      <c r="J59" s="954">
        <v>4.58</v>
      </c>
      <c r="K59" s="954">
        <v>3.26</v>
      </c>
      <c r="L59" s="957"/>
      <c r="M59" s="957"/>
      <c r="N59" s="957"/>
      <c r="O59" s="957"/>
      <c r="P59" s="957"/>
      <c r="Q59" s="957"/>
      <c r="R59" s="957"/>
      <c r="S59" s="957"/>
      <c r="T59" s="957"/>
    </row>
    <row r="60" spans="1:20" s="953" customFormat="1">
      <c r="A60" s="955" t="s">
        <v>1630</v>
      </c>
      <c r="B60" s="956">
        <v>4.34</v>
      </c>
      <c r="D60" s="954">
        <v>3.63</v>
      </c>
      <c r="E60" s="954">
        <v>4.37</v>
      </c>
      <c r="F60" s="954">
        <v>4.01</v>
      </c>
      <c r="G60" s="954">
        <v>4.54</v>
      </c>
      <c r="H60" s="954">
        <v>4.32</v>
      </c>
      <c r="I60" s="954">
        <v>4.9400000000000004</v>
      </c>
      <c r="J60" s="954">
        <v>4.76</v>
      </c>
      <c r="K60" s="954">
        <v>3.19</v>
      </c>
      <c r="L60" s="957"/>
      <c r="M60" s="957"/>
      <c r="N60" s="957"/>
      <c r="O60" s="957"/>
      <c r="P60" s="957"/>
      <c r="Q60" s="957"/>
      <c r="R60" s="957"/>
      <c r="S60" s="957"/>
      <c r="T60" s="957"/>
    </row>
    <row r="61" spans="1:20" s="953" customFormat="1">
      <c r="A61" s="955" t="s">
        <v>1631</v>
      </c>
      <c r="B61" s="956">
        <v>4.4400000000000004</v>
      </c>
      <c r="D61" s="954">
        <v>3.66</v>
      </c>
      <c r="E61" s="954">
        <v>4.46</v>
      </c>
      <c r="F61" s="954">
        <v>4.05</v>
      </c>
      <c r="G61" s="954">
        <v>4.62</v>
      </c>
      <c r="H61" s="954">
        <v>4.4000000000000004</v>
      </c>
      <c r="I61" s="954">
        <v>5.0999999999999996</v>
      </c>
      <c r="J61" s="954">
        <v>4.91</v>
      </c>
      <c r="K61" s="954">
        <v>3.37</v>
      </c>
      <c r="L61" s="957"/>
      <c r="M61" s="957"/>
      <c r="N61" s="957"/>
      <c r="O61" s="957"/>
      <c r="P61" s="957"/>
      <c r="Q61" s="957"/>
      <c r="R61" s="957"/>
      <c r="S61" s="957"/>
      <c r="T61" s="957"/>
    </row>
    <row r="62" spans="1:20" s="953" customFormat="1">
      <c r="A62" s="955" t="s">
        <v>1632</v>
      </c>
      <c r="B62" s="956">
        <v>4.3</v>
      </c>
      <c r="D62" s="954">
        <v>3.63</v>
      </c>
      <c r="E62" s="954">
        <v>4.32</v>
      </c>
      <c r="F62" s="954">
        <v>3.95</v>
      </c>
      <c r="G62" s="954">
        <v>4.46</v>
      </c>
      <c r="H62" s="954">
        <v>4.26</v>
      </c>
      <c r="I62" s="954">
        <v>4.88</v>
      </c>
      <c r="J62" s="954">
        <v>4.6900000000000004</v>
      </c>
      <c r="K62" s="954">
        <v>3.52</v>
      </c>
      <c r="L62" s="957"/>
      <c r="M62" s="957"/>
      <c r="N62" s="957"/>
      <c r="O62" s="957"/>
      <c r="P62" s="957"/>
      <c r="Q62" s="957"/>
      <c r="R62" s="957"/>
      <c r="S62" s="957"/>
      <c r="T62" s="957"/>
    </row>
    <row r="63" spans="1:20" s="953" customFormat="1">
      <c r="A63" s="955" t="s">
        <v>1633</v>
      </c>
      <c r="B63" s="956">
        <v>4.04</v>
      </c>
      <c r="D63" s="954">
        <v>3.37</v>
      </c>
      <c r="E63" s="954">
        <v>4.07</v>
      </c>
      <c r="F63" s="954">
        <v>3.7</v>
      </c>
      <c r="G63" s="954">
        <v>4.21</v>
      </c>
      <c r="H63" s="954">
        <v>3.93</v>
      </c>
      <c r="I63" s="954">
        <v>4.6500000000000004</v>
      </c>
      <c r="J63" s="954">
        <v>4.4000000000000004</v>
      </c>
      <c r="K63" s="954">
        <v>3.28</v>
      </c>
      <c r="L63" s="957"/>
      <c r="M63" s="957"/>
      <c r="N63" s="957"/>
      <c r="O63" s="957"/>
      <c r="P63" s="957"/>
      <c r="Q63" s="957"/>
      <c r="R63" s="957"/>
      <c r="S63" s="957"/>
      <c r="T63" s="957"/>
    </row>
    <row r="64" spans="1:20" s="953" customFormat="1">
      <c r="A64" s="955" t="s">
        <v>1634</v>
      </c>
      <c r="B64" s="956">
        <v>3.95</v>
      </c>
      <c r="D64" s="954">
        <v>3.29</v>
      </c>
      <c r="E64" s="954">
        <v>3.95</v>
      </c>
      <c r="F64" s="954">
        <v>3.7</v>
      </c>
      <c r="G64" s="954">
        <v>4.09</v>
      </c>
      <c r="H64" s="954">
        <v>3.82</v>
      </c>
      <c r="I64" s="954">
        <v>4.58</v>
      </c>
      <c r="J64" s="954">
        <v>4.2699999999999996</v>
      </c>
      <c r="K64" s="954">
        <v>3.1</v>
      </c>
      <c r="L64" s="957"/>
      <c r="M64" s="957"/>
      <c r="N64" s="957"/>
      <c r="O64" s="957"/>
      <c r="P64" s="957"/>
      <c r="Q64" s="957"/>
      <c r="R64" s="957"/>
      <c r="S64" s="957"/>
      <c r="T64" s="957"/>
    </row>
    <row r="65" spans="1:20" s="953" customFormat="1">
      <c r="A65" s="955" t="s">
        <v>1635</v>
      </c>
      <c r="B65" s="956">
        <v>3.85</v>
      </c>
      <c r="D65" s="954">
        <v>3.25</v>
      </c>
      <c r="E65" s="954">
        <v>3.79</v>
      </c>
      <c r="F65" s="954">
        <v>3.67</v>
      </c>
      <c r="G65" s="954">
        <v>3.93</v>
      </c>
      <c r="H65" s="954">
        <v>3.73</v>
      </c>
      <c r="I65" s="954">
        <v>4.4800000000000004</v>
      </c>
      <c r="J65" s="954">
        <v>4.1900000000000004</v>
      </c>
      <c r="K65" s="954">
        <v>2.93</v>
      </c>
      <c r="L65" s="957"/>
      <c r="M65" s="957"/>
      <c r="N65" s="957"/>
      <c r="O65" s="957"/>
      <c r="P65" s="957"/>
      <c r="Q65" s="957"/>
      <c r="R65" s="957"/>
      <c r="S65" s="957"/>
      <c r="T65" s="957"/>
    </row>
    <row r="66" spans="1:20" s="953" customFormat="1">
      <c r="A66" s="955" t="s">
        <v>1636</v>
      </c>
      <c r="B66" s="956">
        <v>3.95</v>
      </c>
      <c r="D66" s="954">
        <v>3.33</v>
      </c>
      <c r="E66" s="954">
        <v>3.97</v>
      </c>
      <c r="F66" s="954">
        <v>3.69</v>
      </c>
      <c r="G66" s="954">
        <v>4.01</v>
      </c>
      <c r="H66" s="954">
        <v>3.84</v>
      </c>
      <c r="I66" s="954">
        <v>4.63</v>
      </c>
      <c r="J66" s="954">
        <v>4.3</v>
      </c>
      <c r="K66" s="954">
        <v>2.94</v>
      </c>
      <c r="L66" s="957"/>
      <c r="M66" s="957"/>
      <c r="N66" s="957"/>
      <c r="O66" s="957"/>
      <c r="P66" s="957"/>
      <c r="Q66" s="957"/>
      <c r="R66" s="957"/>
      <c r="S66" s="957"/>
      <c r="T66" s="957"/>
    </row>
    <row r="67" spans="1:20" s="953" customFormat="1">
      <c r="A67" s="955" t="s">
        <v>1637</v>
      </c>
      <c r="B67" s="956">
        <v>4.08</v>
      </c>
      <c r="D67" s="954">
        <v>3.43</v>
      </c>
      <c r="E67" s="954">
        <v>4.12</v>
      </c>
      <c r="F67" s="954">
        <v>3.76</v>
      </c>
      <c r="G67" s="954">
        <v>4.13</v>
      </c>
      <c r="H67" s="954">
        <v>3.88</v>
      </c>
      <c r="I67" s="954">
        <v>4.82</v>
      </c>
      <c r="J67" s="954">
        <v>4.49</v>
      </c>
      <c r="K67" s="954">
        <v>3.14</v>
      </c>
      <c r="L67" s="957"/>
      <c r="M67" s="957"/>
      <c r="N67" s="957"/>
      <c r="O67" s="957"/>
      <c r="P67" s="957"/>
      <c r="Q67" s="957"/>
      <c r="R67" s="957"/>
      <c r="S67" s="957"/>
      <c r="T67" s="957"/>
    </row>
    <row r="68" spans="1:20" s="953" customFormat="1">
      <c r="A68" s="955" t="s">
        <v>1638</v>
      </c>
      <c r="B68" s="956">
        <v>3.98</v>
      </c>
      <c r="D68" s="954">
        <v>3.38</v>
      </c>
      <c r="E68" s="954">
        <v>3.98</v>
      </c>
      <c r="F68" s="954">
        <v>3.63</v>
      </c>
      <c r="G68" s="954">
        <v>4.08</v>
      </c>
      <c r="H68" s="954">
        <v>3.71</v>
      </c>
      <c r="I68" s="954">
        <v>4.67</v>
      </c>
      <c r="J68" s="954">
        <v>4.45</v>
      </c>
      <c r="K68" s="954">
        <v>3.01</v>
      </c>
      <c r="L68" s="957"/>
      <c r="M68" s="957"/>
      <c r="N68" s="957"/>
      <c r="O68" s="957"/>
      <c r="P68" s="957"/>
      <c r="Q68" s="957"/>
      <c r="R68" s="957"/>
      <c r="S68" s="957"/>
      <c r="T68" s="957"/>
    </row>
    <row r="69" spans="1:20" s="953" customFormat="1">
      <c r="A69" s="955" t="s">
        <v>1639</v>
      </c>
      <c r="B69" s="956">
        <v>4.1500000000000004</v>
      </c>
      <c r="D69" s="954">
        <v>3.52</v>
      </c>
      <c r="E69" s="954">
        <v>4.16</v>
      </c>
      <c r="F69" s="954">
        <v>3.86</v>
      </c>
      <c r="G69" s="954">
        <v>4.25</v>
      </c>
      <c r="H69" s="954">
        <v>3.88</v>
      </c>
      <c r="I69" s="954">
        <v>4.84</v>
      </c>
      <c r="J69" s="954">
        <v>4.54</v>
      </c>
      <c r="K69" s="954">
        <v>3.22</v>
      </c>
      <c r="L69" s="957"/>
      <c r="M69" s="957"/>
      <c r="N69" s="957"/>
      <c r="O69" s="957"/>
      <c r="P69" s="957"/>
      <c r="Q69" s="957"/>
      <c r="R69" s="957"/>
      <c r="S69" s="957"/>
      <c r="T69" s="957"/>
    </row>
    <row r="70" spans="1:20" s="953" customFormat="1">
      <c r="A70" s="955" t="s">
        <v>1640</v>
      </c>
      <c r="B70" s="956">
        <v>4.42</v>
      </c>
      <c r="D70" s="954">
        <v>3.71</v>
      </c>
      <c r="E70" s="954">
        <v>4.4000000000000004</v>
      </c>
      <c r="F70" s="954">
        <v>4.1100000000000003</v>
      </c>
      <c r="G70" s="954">
        <v>4.57</v>
      </c>
      <c r="H70" s="954">
        <v>4.21</v>
      </c>
      <c r="I70" s="954">
        <v>5.19</v>
      </c>
      <c r="J70" s="954">
        <v>4.78</v>
      </c>
      <c r="K70" s="954">
        <v>3.45</v>
      </c>
      <c r="L70" s="957"/>
      <c r="M70" s="957"/>
      <c r="N70" s="957"/>
      <c r="O70" s="957"/>
      <c r="P70" s="957"/>
      <c r="Q70" s="957"/>
      <c r="R70" s="957"/>
      <c r="S70" s="957"/>
      <c r="T70" s="957"/>
    </row>
    <row r="71" spans="1:20" s="953" customFormat="1">
      <c r="A71" s="955" t="s">
        <v>1641</v>
      </c>
      <c r="B71" s="956">
        <v>4.47</v>
      </c>
      <c r="D71" s="954">
        <v>3.7</v>
      </c>
      <c r="E71" s="954">
        <v>4.43</v>
      </c>
      <c r="F71" s="954">
        <v>4.21</v>
      </c>
      <c r="G71" s="954">
        <v>4.59</v>
      </c>
      <c r="H71" s="954">
        <v>4.2699999999999996</v>
      </c>
      <c r="I71" s="954">
        <v>5.26</v>
      </c>
      <c r="J71" s="954">
        <v>4.88</v>
      </c>
      <c r="K71" s="954">
        <v>3.49</v>
      </c>
      <c r="L71" s="957"/>
      <c r="M71" s="957"/>
      <c r="N71" s="957"/>
      <c r="O71" s="957"/>
      <c r="P71" s="957"/>
      <c r="Q71" s="957"/>
      <c r="R71" s="957"/>
      <c r="S71" s="957"/>
      <c r="T71" s="957"/>
    </row>
    <row r="72" spans="1:20" s="953" customFormat="1">
      <c r="A72" s="955" t="s">
        <v>1642</v>
      </c>
      <c r="B72" s="956">
        <v>4.78</v>
      </c>
      <c r="D72" s="954">
        <v>3.95</v>
      </c>
      <c r="E72" s="954">
        <v>4.68</v>
      </c>
      <c r="F72" s="954">
        <v>4.54</v>
      </c>
      <c r="G72" s="954">
        <v>4.95</v>
      </c>
      <c r="H72" s="954">
        <v>4.62</v>
      </c>
      <c r="I72" s="954">
        <v>5.64</v>
      </c>
      <c r="J72" s="954">
        <v>5.19</v>
      </c>
      <c r="K72" s="954">
        <v>3.66</v>
      </c>
      <c r="L72" s="957"/>
      <c r="M72" s="957"/>
      <c r="N72" s="957"/>
      <c r="O72" s="957"/>
      <c r="P72" s="957"/>
      <c r="Q72" s="957"/>
      <c r="R72" s="957"/>
      <c r="S72" s="957"/>
      <c r="T72" s="957"/>
    </row>
    <row r="73" spans="1:20" s="953" customFormat="1">
      <c r="A73" s="955" t="s">
        <v>1643</v>
      </c>
      <c r="B73" s="956">
        <v>4.72</v>
      </c>
      <c r="D73" s="954">
        <v>3.79</v>
      </c>
      <c r="E73" s="954">
        <v>4.72</v>
      </c>
      <c r="F73" s="954">
        <v>4.45</v>
      </c>
      <c r="G73" s="954">
        <v>4.8499999999999996</v>
      </c>
      <c r="H73" s="954">
        <v>4.58</v>
      </c>
      <c r="I73" s="954">
        <v>5.52</v>
      </c>
      <c r="J73" s="954">
        <v>5.24</v>
      </c>
      <c r="K73" s="954">
        <v>3.57</v>
      </c>
      <c r="L73" s="957"/>
      <c r="M73" s="957"/>
      <c r="N73" s="957"/>
      <c r="O73" s="957"/>
      <c r="P73" s="957"/>
      <c r="Q73" s="957"/>
      <c r="R73" s="957"/>
      <c r="S73" s="957"/>
      <c r="T73" s="957"/>
    </row>
    <row r="74" spans="1:20" s="953" customFormat="1">
      <c r="A74" s="955" t="s">
        <v>1644</v>
      </c>
      <c r="B74" s="956">
        <v>4.42</v>
      </c>
      <c r="D74" s="954">
        <v>3.64</v>
      </c>
      <c r="E74" s="954">
        <v>4.53</v>
      </c>
      <c r="F74" s="954">
        <v>4.09</v>
      </c>
      <c r="G74" s="954">
        <v>4.59</v>
      </c>
      <c r="H74" s="954">
        <v>4.25</v>
      </c>
      <c r="I74" s="954">
        <v>5.0599999999999996</v>
      </c>
      <c r="J74" s="954">
        <v>4.8499999999999996</v>
      </c>
      <c r="K74" s="954">
        <v>3.54</v>
      </c>
      <c r="L74" s="957"/>
      <c r="M74" s="957"/>
      <c r="N74" s="957"/>
      <c r="O74" s="957"/>
      <c r="P74" s="957"/>
      <c r="Q74" s="957"/>
      <c r="R74" s="957"/>
      <c r="S74" s="957"/>
      <c r="T74" s="957"/>
    </row>
    <row r="75" spans="1:20" s="953" customFormat="1">
      <c r="A75" s="955" t="s">
        <v>1645</v>
      </c>
      <c r="B75" s="956">
        <v>4.18</v>
      </c>
      <c r="D75" s="954">
        <v>3.48</v>
      </c>
      <c r="E75" s="954">
        <v>4.16</v>
      </c>
      <c r="F75" s="954">
        <v>3.85</v>
      </c>
      <c r="G75" s="954">
        <v>4.34</v>
      </c>
      <c r="H75" s="954">
        <v>3.97</v>
      </c>
      <c r="I75" s="954">
        <v>4.84</v>
      </c>
      <c r="J75" s="954">
        <v>4.63</v>
      </c>
      <c r="K75" s="954">
        <v>3.4</v>
      </c>
      <c r="L75" s="957"/>
      <c r="M75" s="957"/>
      <c r="N75" s="957"/>
      <c r="O75" s="957"/>
      <c r="P75" s="957"/>
      <c r="Q75" s="957"/>
      <c r="R75" s="957"/>
      <c r="S75" s="957"/>
      <c r="T75" s="957"/>
    </row>
    <row r="76" spans="1:20" s="953" customFormat="1">
      <c r="A76" s="955" t="s">
        <v>1646</v>
      </c>
      <c r="B76" s="956">
        <v>3.99</v>
      </c>
      <c r="D76" s="954">
        <v>3.3</v>
      </c>
      <c r="E76" s="954">
        <v>4.05</v>
      </c>
      <c r="F76" s="954">
        <v>3.63</v>
      </c>
      <c r="G76" s="954">
        <v>4.17</v>
      </c>
      <c r="H76" s="954">
        <v>3.76</v>
      </c>
      <c r="I76" s="954">
        <v>4.68</v>
      </c>
      <c r="J76" s="954">
        <v>4.37</v>
      </c>
      <c r="K76" s="954">
        <v>3.06</v>
      </c>
      <c r="L76" s="957"/>
      <c r="M76" s="957"/>
      <c r="N76" s="957"/>
      <c r="O76" s="957"/>
      <c r="P76" s="957"/>
      <c r="Q76" s="957"/>
      <c r="R76" s="957"/>
      <c r="S76" s="957"/>
      <c r="T76" s="957"/>
    </row>
    <row r="77" spans="1:20" s="953" customFormat="1">
      <c r="A77" s="955" t="s">
        <v>1647</v>
      </c>
      <c r="B77" s="956">
        <v>3.9</v>
      </c>
      <c r="D77" s="954">
        <v>3.19</v>
      </c>
      <c r="E77" s="954">
        <v>3.95</v>
      </c>
      <c r="F77" s="954">
        <v>3.59</v>
      </c>
      <c r="G77" s="954">
        <v>4.0999999999999996</v>
      </c>
      <c r="H77" s="954">
        <v>3.65</v>
      </c>
      <c r="I77" s="954">
        <v>4.54</v>
      </c>
      <c r="J77" s="954">
        <v>4.33</v>
      </c>
      <c r="K77" s="954">
        <v>2.88</v>
      </c>
      <c r="L77" s="957"/>
      <c r="M77" s="957"/>
      <c r="N77" s="957"/>
      <c r="O77" s="957"/>
      <c r="P77" s="957"/>
      <c r="Q77" s="957"/>
      <c r="R77" s="957"/>
      <c r="S77" s="957"/>
      <c r="T77" s="957"/>
    </row>
    <row r="78" spans="1:20" s="953" customFormat="1">
      <c r="A78" s="955" t="s">
        <v>1648</v>
      </c>
      <c r="B78" s="956">
        <v>3.93</v>
      </c>
      <c r="D78" s="954">
        <v>3.31</v>
      </c>
      <c r="E78" s="954">
        <v>3.88</v>
      </c>
      <c r="F78" s="954">
        <v>3.64</v>
      </c>
      <c r="G78" s="954">
        <v>4.1500000000000004</v>
      </c>
      <c r="H78" s="954">
        <v>3.71</v>
      </c>
      <c r="I78" s="954">
        <v>4.5599999999999996</v>
      </c>
      <c r="J78" s="954">
        <v>4.3099999999999996</v>
      </c>
      <c r="K78" s="954">
        <v>2.94</v>
      </c>
      <c r="L78" s="957"/>
      <c r="M78" s="957"/>
      <c r="N78" s="957"/>
      <c r="O78" s="957"/>
      <c r="P78" s="957"/>
      <c r="Q78" s="957"/>
      <c r="R78" s="957"/>
      <c r="S78" s="957"/>
      <c r="T78" s="957"/>
    </row>
    <row r="79" spans="1:20" s="953" customFormat="1">
      <c r="A79" s="955" t="s">
        <v>1649</v>
      </c>
      <c r="B79" s="956">
        <v>3.98</v>
      </c>
      <c r="D79" s="954">
        <v>3.37</v>
      </c>
      <c r="E79" s="954">
        <v>3.88</v>
      </c>
      <c r="F79" s="954">
        <v>3.69</v>
      </c>
      <c r="G79" s="954">
        <v>4.16</v>
      </c>
      <c r="H79" s="954">
        <v>3.77</v>
      </c>
      <c r="I79" s="954">
        <v>4.67</v>
      </c>
      <c r="J79" s="954">
        <v>4.3499999999999996</v>
      </c>
      <c r="K79" s="954">
        <v>2.99</v>
      </c>
      <c r="L79" s="957"/>
      <c r="M79" s="957"/>
      <c r="N79" s="957"/>
      <c r="O79" s="957"/>
      <c r="P79" s="957"/>
      <c r="Q79" s="957"/>
      <c r="R79" s="957"/>
      <c r="S79" s="957"/>
      <c r="T79" s="957"/>
    </row>
    <row r="80" spans="1:20" s="953" customFormat="1">
      <c r="A80" s="955" t="s">
        <v>1650</v>
      </c>
      <c r="B80" s="956">
        <v>3.92</v>
      </c>
      <c r="D80" s="954">
        <v>3.29</v>
      </c>
      <c r="E80" s="954">
        <v>3.84</v>
      </c>
      <c r="F80" s="954">
        <v>3.64</v>
      </c>
      <c r="G80" s="954">
        <v>4.08</v>
      </c>
      <c r="H80" s="954">
        <v>3.75</v>
      </c>
      <c r="I80" s="954">
        <v>4.59</v>
      </c>
      <c r="J80" s="954">
        <v>4.3099999999999996</v>
      </c>
      <c r="K80" s="954">
        <v>2.79</v>
      </c>
      <c r="L80" s="957"/>
      <c r="M80" s="957"/>
      <c r="N80" s="957"/>
      <c r="O80" s="957"/>
      <c r="P80" s="957"/>
      <c r="Q80" s="957"/>
      <c r="R80" s="957"/>
      <c r="S80" s="957"/>
      <c r="T80" s="957"/>
    </row>
    <row r="81" spans="1:20" s="953" customFormat="1">
      <c r="A81" s="955" t="s">
        <v>1651</v>
      </c>
      <c r="B81" s="956">
        <v>4</v>
      </c>
      <c r="D81" s="954">
        <v>3.43</v>
      </c>
      <c r="E81" s="954">
        <v>3.96</v>
      </c>
      <c r="F81" s="954">
        <v>3.77</v>
      </c>
      <c r="G81" s="954">
        <v>4.16</v>
      </c>
      <c r="H81" s="954">
        <v>3.85</v>
      </c>
      <c r="I81" s="954">
        <v>4.59</v>
      </c>
      <c r="J81" s="954">
        <v>4.33</v>
      </c>
      <c r="K81" s="954">
        <v>2.92</v>
      </c>
      <c r="L81" s="957"/>
      <c r="M81" s="957"/>
      <c r="N81" s="957"/>
      <c r="O81" s="957"/>
      <c r="P81" s="957"/>
      <c r="Q81" s="957"/>
      <c r="R81" s="957"/>
      <c r="S81" s="957"/>
      <c r="T81" s="957"/>
    </row>
    <row r="82" spans="1:20" s="953" customFormat="1">
      <c r="A82" s="955" t="s">
        <v>1652</v>
      </c>
      <c r="B82" s="956">
        <v>4.24</v>
      </c>
      <c r="D82" s="954">
        <v>3.52</v>
      </c>
      <c r="E82" s="954">
        <v>4.21</v>
      </c>
      <c r="F82" s="954">
        <v>4.01</v>
      </c>
      <c r="G82" s="954">
        <v>4.43</v>
      </c>
      <c r="H82" s="954">
        <v>4.0999999999999996</v>
      </c>
      <c r="I82" s="954">
        <v>4.82</v>
      </c>
      <c r="J82" s="954">
        <v>4.63</v>
      </c>
      <c r="K82" s="954">
        <v>3.37</v>
      </c>
      <c r="L82" s="957"/>
      <c r="M82" s="957"/>
      <c r="N82" s="957"/>
      <c r="O82" s="957"/>
      <c r="P82" s="957"/>
      <c r="Q82" s="957"/>
      <c r="R82" s="957"/>
      <c r="S82" s="957"/>
      <c r="T82" s="957"/>
    </row>
    <row r="83" spans="1:20" s="953" customFormat="1">
      <c r="A83" s="955" t="s">
        <v>1653</v>
      </c>
      <c r="B83" s="956">
        <v>4.29</v>
      </c>
      <c r="D83" s="954">
        <v>3.5</v>
      </c>
      <c r="E83" s="954">
        <v>4.25</v>
      </c>
      <c r="F83" s="954">
        <v>4.0199999999999996</v>
      </c>
      <c r="G83" s="954">
        <v>4.45</v>
      </c>
      <c r="H83" s="954">
        <v>4.1500000000000004</v>
      </c>
      <c r="I83" s="954">
        <v>4.97</v>
      </c>
      <c r="J83" s="954">
        <v>4.75</v>
      </c>
      <c r="K83" s="954">
        <v>3.42</v>
      </c>
      <c r="L83" s="957"/>
      <c r="M83" s="957"/>
      <c r="N83" s="957"/>
      <c r="O83" s="957"/>
      <c r="P83" s="957"/>
      <c r="Q83" s="957"/>
      <c r="R83" s="957"/>
      <c r="S83" s="957"/>
      <c r="T83" s="957"/>
    </row>
    <row r="84" spans="1:20" s="953" customFormat="1">
      <c r="A84" s="955" t="s">
        <v>1654</v>
      </c>
      <c r="B84" s="956">
        <v>4.3899999999999997</v>
      </c>
      <c r="D84" s="954">
        <v>3.53</v>
      </c>
      <c r="E84" s="954">
        <v>4.3099999999999996</v>
      </c>
      <c r="F84" s="954">
        <v>4.07</v>
      </c>
      <c r="G84" s="954">
        <v>4.6399999999999997</v>
      </c>
      <c r="H84" s="954">
        <v>4.24</v>
      </c>
      <c r="I84" s="954">
        <v>5.1100000000000003</v>
      </c>
      <c r="J84" s="954">
        <v>4.8899999999999997</v>
      </c>
      <c r="K84" s="954">
        <v>3.37</v>
      </c>
      <c r="L84" s="957"/>
      <c r="M84" s="957"/>
      <c r="N84" s="957"/>
      <c r="O84" s="957"/>
      <c r="P84" s="957"/>
      <c r="Q84" s="957"/>
      <c r="R84" s="957"/>
      <c r="S84" s="957"/>
      <c r="T84" s="957"/>
    </row>
    <row r="85" spans="1:20" s="953" customFormat="1">
      <c r="A85" s="955" t="s">
        <v>1655</v>
      </c>
      <c r="B85" s="956">
        <v>4.49</v>
      </c>
      <c r="D85" s="954">
        <v>3.61</v>
      </c>
      <c r="E85" s="954">
        <v>4.45</v>
      </c>
      <c r="F85" s="954">
        <v>4.1500000000000004</v>
      </c>
      <c r="G85" s="954">
        <v>4.76</v>
      </c>
      <c r="H85" s="954">
        <v>4.2699999999999996</v>
      </c>
      <c r="I85" s="954">
        <v>5.22</v>
      </c>
      <c r="J85" s="954">
        <v>4.99</v>
      </c>
      <c r="K85" s="954">
        <v>3.36</v>
      </c>
      <c r="L85" s="957"/>
      <c r="M85" s="957"/>
      <c r="N85" s="957"/>
      <c r="O85" s="957"/>
      <c r="P85" s="957"/>
      <c r="Q85" s="957"/>
      <c r="R85" s="957"/>
      <c r="S85" s="957"/>
      <c r="T85" s="957"/>
    </row>
    <row r="86" spans="1:20" s="953" customFormat="1">
      <c r="A86" s="955" t="s">
        <v>1656</v>
      </c>
      <c r="B86" s="956">
        <v>4.42</v>
      </c>
      <c r="D86" s="954">
        <v>3.61</v>
      </c>
      <c r="E86" s="954">
        <v>4.4400000000000004</v>
      </c>
      <c r="F86" s="954">
        <v>4.1500000000000004</v>
      </c>
      <c r="G86" s="954">
        <v>4.6100000000000003</v>
      </c>
      <c r="H86" s="954">
        <v>4.41</v>
      </c>
      <c r="I86" s="954">
        <v>5.01</v>
      </c>
      <c r="J86" s="954">
        <v>4.87</v>
      </c>
      <c r="K86" s="954">
        <v>3.28</v>
      </c>
      <c r="L86" s="957"/>
      <c r="M86" s="957"/>
      <c r="N86" s="957"/>
      <c r="O86" s="957"/>
      <c r="P86" s="957"/>
      <c r="Q86" s="957"/>
      <c r="R86" s="957"/>
      <c r="S86" s="957"/>
      <c r="T86" s="957"/>
    </row>
    <row r="87" spans="1:20" s="953" customFormat="1">
      <c r="A87" s="955" t="s">
        <v>1657</v>
      </c>
      <c r="B87" s="956">
        <v>4.21</v>
      </c>
      <c r="D87" s="954">
        <v>3.39</v>
      </c>
      <c r="E87" s="954">
        <v>4.3</v>
      </c>
      <c r="F87" s="954">
        <v>4</v>
      </c>
      <c r="G87" s="954">
        <v>4.37</v>
      </c>
      <c r="H87" s="954">
        <v>4.1900000000000004</v>
      </c>
      <c r="I87" s="954">
        <v>4.8099999999999996</v>
      </c>
      <c r="J87" s="954">
        <v>4.6100000000000003</v>
      </c>
      <c r="K87" s="954">
        <v>3.16</v>
      </c>
      <c r="L87" s="957"/>
      <c r="M87" s="957"/>
      <c r="N87" s="957"/>
      <c r="O87" s="957"/>
      <c r="P87" s="957"/>
      <c r="Q87" s="957"/>
      <c r="R87" s="957"/>
      <c r="S87" s="957"/>
      <c r="T87" s="957"/>
    </row>
    <row r="88" spans="1:20" s="953" customFormat="1">
      <c r="A88" s="955" t="s">
        <v>1658</v>
      </c>
      <c r="B88" s="956">
        <v>4.01</v>
      </c>
      <c r="D88" s="954">
        <v>3.26</v>
      </c>
      <c r="E88" s="954">
        <v>4.07</v>
      </c>
      <c r="F88" s="954">
        <v>3.75</v>
      </c>
      <c r="G88" s="954">
        <v>4.2</v>
      </c>
      <c r="H88" s="954">
        <v>3.94</v>
      </c>
      <c r="I88" s="954">
        <v>4.62</v>
      </c>
      <c r="J88" s="954">
        <v>4.38</v>
      </c>
      <c r="K88" s="954">
        <v>2.86</v>
      </c>
      <c r="L88" s="957"/>
      <c r="M88" s="957"/>
      <c r="N88" s="957"/>
      <c r="O88" s="957"/>
      <c r="P88" s="957"/>
      <c r="Q88" s="957"/>
      <c r="R88" s="957"/>
      <c r="S88" s="957"/>
      <c r="T88" s="957"/>
    </row>
    <row r="89" spans="1:20" s="953" customFormat="1">
      <c r="A89" s="958" t="s">
        <v>1659</v>
      </c>
      <c r="B89" s="956">
        <v>3.84</v>
      </c>
      <c r="D89" s="954">
        <v>3.11</v>
      </c>
      <c r="E89" s="954">
        <v>3.82</v>
      </c>
      <c r="F89" s="954">
        <v>3.54</v>
      </c>
      <c r="G89" s="954">
        <v>4.03</v>
      </c>
      <c r="H89" s="954">
        <v>3.76</v>
      </c>
      <c r="I89" s="954">
        <v>4.45</v>
      </c>
      <c r="J89" s="954">
        <v>4.28</v>
      </c>
      <c r="K89" s="954">
        <v>2.8</v>
      </c>
      <c r="L89" s="957"/>
      <c r="M89" s="957"/>
      <c r="N89" s="957"/>
      <c r="O89" s="957"/>
      <c r="P89" s="957"/>
      <c r="Q89" s="957"/>
      <c r="R89" s="957"/>
      <c r="S89" s="957"/>
      <c r="T89" s="957"/>
    </row>
    <row r="90" spans="1:20" s="953" customFormat="1">
      <c r="A90" s="955" t="s">
        <v>1660</v>
      </c>
      <c r="B90" s="956">
        <v>3.94</v>
      </c>
      <c r="D90" s="954">
        <v>3.26</v>
      </c>
      <c r="E90" s="954">
        <v>3.87</v>
      </c>
      <c r="F90" s="954">
        <v>3.61</v>
      </c>
      <c r="G90" s="954">
        <v>4.08</v>
      </c>
      <c r="H90" s="954">
        <v>3.87</v>
      </c>
      <c r="I90" s="954">
        <v>4.5599999999999996</v>
      </c>
      <c r="J90" s="954">
        <v>4.4000000000000004</v>
      </c>
      <c r="K90" s="954">
        <v>3.11</v>
      </c>
      <c r="L90" s="957"/>
      <c r="M90" s="957"/>
      <c r="N90" s="957"/>
      <c r="O90" s="957"/>
      <c r="P90" s="957"/>
      <c r="Q90" s="957"/>
      <c r="R90" s="957"/>
      <c r="S90" s="957"/>
      <c r="T90" s="957"/>
    </row>
    <row r="91" spans="1:20" s="953" customFormat="1">
      <c r="A91" s="955" t="s">
        <v>1661</v>
      </c>
      <c r="B91" s="956">
        <v>4.04</v>
      </c>
      <c r="D91" s="954">
        <v>3.26</v>
      </c>
      <c r="E91" s="954">
        <v>4</v>
      </c>
      <c r="F91" s="954">
        <v>3.68</v>
      </c>
      <c r="G91" s="954">
        <v>4.22</v>
      </c>
      <c r="H91" s="954">
        <v>3.93</v>
      </c>
      <c r="I91" s="954">
        <v>4.74</v>
      </c>
      <c r="J91" s="954">
        <v>4.5</v>
      </c>
      <c r="K91" s="954">
        <v>3.12</v>
      </c>
      <c r="L91" s="957"/>
      <c r="M91" s="957"/>
      <c r="N91" s="957"/>
      <c r="O91" s="957"/>
      <c r="P91" s="957"/>
      <c r="Q91" s="957"/>
      <c r="R91" s="957"/>
      <c r="S91" s="957"/>
      <c r="T91" s="957"/>
    </row>
    <row r="92" spans="1:20" s="953" customFormat="1">
      <c r="A92" s="959" t="s">
        <v>1662</v>
      </c>
      <c r="B92" s="956">
        <v>3.92</v>
      </c>
      <c r="D92" s="954">
        <v>3.18</v>
      </c>
      <c r="E92" s="954">
        <v>3.88</v>
      </c>
      <c r="F92" s="954">
        <v>3.56</v>
      </c>
      <c r="G92" s="954">
        <v>4.08</v>
      </c>
      <c r="H92" s="954">
        <v>3.82</v>
      </c>
      <c r="I92" s="954">
        <v>4.5999999999999996</v>
      </c>
      <c r="J92" s="954">
        <v>4.3899999999999997</v>
      </c>
      <c r="K92" s="954">
        <v>2.98</v>
      </c>
      <c r="L92" s="957"/>
      <c r="M92" s="957"/>
      <c r="N92" s="957"/>
      <c r="O92" s="957"/>
      <c r="P92" s="957"/>
      <c r="Q92" s="957"/>
      <c r="R92" s="957"/>
      <c r="S92" s="957"/>
      <c r="T92" s="957"/>
    </row>
    <row r="93" spans="1:20" s="953" customFormat="1">
      <c r="A93" s="955" t="s">
        <v>1663</v>
      </c>
      <c r="B93" s="956">
        <v>3.99</v>
      </c>
      <c r="D93" s="954">
        <v>3.22</v>
      </c>
      <c r="E93" s="954">
        <v>3.92</v>
      </c>
      <c r="F93" s="954">
        <v>3.7</v>
      </c>
      <c r="G93" s="954">
        <v>4.1900000000000004</v>
      </c>
      <c r="H93" s="954">
        <v>3.9</v>
      </c>
      <c r="I93" s="954">
        <v>4.6500000000000004</v>
      </c>
      <c r="J93" s="954">
        <v>4.4000000000000004</v>
      </c>
      <c r="K93" s="954">
        <v>3.07</v>
      </c>
      <c r="L93" s="957"/>
      <c r="M93" s="957"/>
      <c r="N93" s="957"/>
      <c r="O93" s="957"/>
      <c r="P93" s="957"/>
      <c r="Q93" s="957"/>
      <c r="R93" s="957"/>
      <c r="S93" s="957"/>
      <c r="T93" s="957"/>
    </row>
    <row r="94" spans="1:20" s="953" customFormat="1">
      <c r="A94" s="955" t="s">
        <v>1664</v>
      </c>
      <c r="B94" s="956">
        <v>4.3</v>
      </c>
      <c r="D94" s="954">
        <v>3.51</v>
      </c>
      <c r="E94" s="954">
        <v>4.28</v>
      </c>
      <c r="F94" s="954">
        <v>4.03</v>
      </c>
      <c r="G94" s="954">
        <v>4.5</v>
      </c>
      <c r="H94" s="954">
        <v>4.22</v>
      </c>
      <c r="I94" s="954">
        <v>4.97</v>
      </c>
      <c r="J94" s="954">
        <v>4.71</v>
      </c>
      <c r="K94" s="954">
        <v>3.34</v>
      </c>
      <c r="L94" s="957"/>
      <c r="M94" s="957"/>
      <c r="N94" s="957"/>
      <c r="O94" s="957"/>
      <c r="P94" s="957"/>
      <c r="Q94" s="957"/>
      <c r="R94" s="957"/>
      <c r="S94" s="957"/>
      <c r="T94" s="957"/>
    </row>
    <row r="95" spans="1:20" s="953" customFormat="1">
      <c r="A95" s="955" t="s">
        <v>1665</v>
      </c>
      <c r="B95" s="956">
        <v>4.46</v>
      </c>
      <c r="D95" s="954">
        <v>3.66</v>
      </c>
      <c r="E95" s="954">
        <v>4.4800000000000004</v>
      </c>
      <c r="F95" s="954">
        <v>4.1500000000000004</v>
      </c>
      <c r="G95" s="954">
        <v>4.63</v>
      </c>
      <c r="H95" s="954">
        <v>4.37</v>
      </c>
      <c r="I95" s="954">
        <v>5.15</v>
      </c>
      <c r="J95" s="954">
        <v>4.92</v>
      </c>
      <c r="K95" s="954">
        <v>3.39</v>
      </c>
      <c r="L95" s="957"/>
      <c r="M95" s="957"/>
      <c r="N95" s="957"/>
      <c r="O95" s="957"/>
      <c r="P95" s="957"/>
      <c r="Q95" s="957"/>
      <c r="R95" s="957"/>
      <c r="S95" s="957"/>
      <c r="T95" s="957"/>
    </row>
    <row r="96" spans="1:20" s="953" customFormat="1">
      <c r="A96" s="955" t="s">
        <v>1666</v>
      </c>
      <c r="B96" s="956">
        <v>4.55</v>
      </c>
      <c r="D96" s="954">
        <v>3.64</v>
      </c>
      <c r="E96" s="954">
        <v>4.53</v>
      </c>
      <c r="F96" s="954">
        <v>4.22</v>
      </c>
      <c r="G96" s="954">
        <v>4.72</v>
      </c>
      <c r="H96" s="954">
        <v>4.5</v>
      </c>
      <c r="I96" s="954">
        <v>5.36</v>
      </c>
      <c r="J96" s="954">
        <v>5.05</v>
      </c>
      <c r="K96" s="954">
        <v>3.28</v>
      </c>
      <c r="L96" s="957"/>
      <c r="M96" s="957"/>
      <c r="N96" s="957"/>
      <c r="O96" s="957"/>
      <c r="P96" s="957"/>
      <c r="Q96" s="957"/>
      <c r="R96" s="957"/>
      <c r="S96" s="957"/>
      <c r="T96" s="957"/>
    </row>
    <row r="97" spans="1:20" s="953" customFormat="1">
      <c r="A97" s="955" t="s">
        <v>1667</v>
      </c>
      <c r="B97" s="956">
        <v>4.66</v>
      </c>
      <c r="D97" s="954">
        <v>3.83</v>
      </c>
      <c r="E97" s="954">
        <v>4.6900000000000004</v>
      </c>
      <c r="F97" s="954">
        <v>4.3600000000000003</v>
      </c>
      <c r="G97" s="954">
        <v>4.82</v>
      </c>
      <c r="H97" s="954">
        <v>4.67</v>
      </c>
      <c r="I97" s="954">
        <v>5.35</v>
      </c>
      <c r="J97" s="954">
        <v>5.17</v>
      </c>
      <c r="K97" s="954">
        <v>3.26</v>
      </c>
      <c r="L97" s="957"/>
      <c r="M97" s="957"/>
      <c r="N97" s="957"/>
      <c r="O97" s="957"/>
      <c r="P97" s="957"/>
      <c r="Q97" s="957"/>
      <c r="R97" s="957"/>
      <c r="S97" s="957"/>
      <c r="T97" s="957"/>
    </row>
    <row r="98" spans="1:20" s="953" customFormat="1">
      <c r="A98" s="955" t="s">
        <v>1668</v>
      </c>
      <c r="B98" s="956">
        <v>4.29</v>
      </c>
      <c r="D98" s="954">
        <v>3.54</v>
      </c>
      <c r="E98" s="954">
        <v>4.34</v>
      </c>
      <c r="F98" s="954">
        <v>3.99</v>
      </c>
      <c r="G98" s="954">
        <v>4.43</v>
      </c>
      <c r="H98" s="954">
        <v>4.21</v>
      </c>
      <c r="I98" s="954">
        <v>4.8600000000000003</v>
      </c>
      <c r="J98" s="954">
        <v>4.82</v>
      </c>
      <c r="K98" s="954">
        <v>3.14</v>
      </c>
      <c r="L98" s="957"/>
      <c r="M98" s="957"/>
      <c r="N98" s="957"/>
      <c r="O98" s="957"/>
      <c r="P98" s="957"/>
      <c r="Q98" s="957"/>
      <c r="R98" s="957"/>
      <c r="S98" s="957"/>
      <c r="T98" s="957"/>
    </row>
    <row r="99" spans="1:20" s="953" customFormat="1">
      <c r="A99" s="955" t="s">
        <v>1669</v>
      </c>
      <c r="B99" s="956">
        <v>3.93</v>
      </c>
      <c r="D99" s="954">
        <v>3.15</v>
      </c>
      <c r="E99" s="954">
        <v>4.0599999999999996</v>
      </c>
      <c r="F99" s="954">
        <v>3.63</v>
      </c>
      <c r="G99" s="954">
        <v>4.08</v>
      </c>
      <c r="H99" s="954">
        <v>3.83</v>
      </c>
      <c r="I99" s="954">
        <v>4.5199999999999996</v>
      </c>
      <c r="J99" s="954">
        <v>4.3600000000000003</v>
      </c>
      <c r="K99" s="954">
        <v>2.96</v>
      </c>
      <c r="L99" s="957"/>
      <c r="M99" s="957"/>
      <c r="N99" s="957"/>
      <c r="O99" s="957"/>
      <c r="P99" s="957"/>
      <c r="Q99" s="957"/>
      <c r="R99" s="957"/>
      <c r="S99" s="957"/>
      <c r="T99" s="957"/>
    </row>
    <row r="100" spans="1:20" s="953" customFormat="1">
      <c r="A100" s="955" t="s">
        <v>1670</v>
      </c>
      <c r="B100" s="956">
        <v>3.69</v>
      </c>
      <c r="D100" s="954">
        <v>2.96</v>
      </c>
      <c r="E100" s="954">
        <v>3.72</v>
      </c>
      <c r="F100" s="954">
        <v>3.39</v>
      </c>
      <c r="G100" s="954">
        <v>3.89</v>
      </c>
      <c r="H100" s="954">
        <v>3.57</v>
      </c>
      <c r="I100" s="954">
        <v>4.3</v>
      </c>
      <c r="J100" s="954">
        <v>4.1399999999999997</v>
      </c>
      <c r="K100" s="954">
        <v>2.57</v>
      </c>
      <c r="L100" s="957"/>
      <c r="M100" s="957"/>
      <c r="N100" s="957"/>
      <c r="O100" s="957"/>
      <c r="P100" s="957"/>
      <c r="Q100" s="957"/>
      <c r="R100" s="957"/>
      <c r="S100" s="957"/>
      <c r="T100" s="957"/>
    </row>
    <row r="101" spans="1:20" s="953" customFormat="1">
      <c r="A101" s="955" t="s">
        <v>1671</v>
      </c>
      <c r="B101" s="956">
        <v>3.84</v>
      </c>
      <c r="D101" s="954">
        <v>3.13</v>
      </c>
      <c r="E101" s="954">
        <v>3.87</v>
      </c>
      <c r="F101" s="954">
        <v>3.63</v>
      </c>
      <c r="G101" s="954">
        <v>4.07</v>
      </c>
      <c r="H101" s="954">
        <v>3.73</v>
      </c>
      <c r="I101" s="954">
        <v>4.4000000000000004</v>
      </c>
      <c r="J101" s="954">
        <v>4.1900000000000004</v>
      </c>
      <c r="K101" s="954">
        <v>2.58</v>
      </c>
      <c r="L101" s="957"/>
      <c r="M101" s="957"/>
      <c r="N101" s="957"/>
      <c r="O101" s="957"/>
      <c r="P101" s="957"/>
      <c r="Q101" s="957"/>
      <c r="R101" s="957"/>
      <c r="S101" s="957"/>
      <c r="T101" s="957"/>
    </row>
    <row r="102" spans="1:20" s="953" customFormat="1">
      <c r="A102" s="955" t="s">
        <v>1672</v>
      </c>
      <c r="B102" s="956">
        <v>3.85</v>
      </c>
      <c r="D102" s="954">
        <v>3.13</v>
      </c>
      <c r="E102" s="954">
        <v>3.84</v>
      </c>
      <c r="F102" s="954">
        <v>3.59</v>
      </c>
      <c r="G102" s="954">
        <v>4.13</v>
      </c>
      <c r="H102" s="954">
        <v>3.64</v>
      </c>
      <c r="I102" s="954">
        <v>4.49</v>
      </c>
      <c r="J102" s="954">
        <v>4.22</v>
      </c>
      <c r="K102" s="954">
        <v>2.57</v>
      </c>
      <c r="L102" s="957"/>
      <c r="M102" s="957"/>
      <c r="N102" s="957"/>
      <c r="O102" s="957"/>
      <c r="P102" s="957"/>
      <c r="Q102" s="957"/>
      <c r="R102" s="957"/>
      <c r="S102" s="957"/>
      <c r="T102" s="957"/>
    </row>
    <row r="103" spans="1:20" s="953" customFormat="1">
      <c r="A103" s="955" t="s">
        <v>1673</v>
      </c>
      <c r="B103" s="956">
        <v>4.0199999999999996</v>
      </c>
      <c r="D103" s="954">
        <v>3.29</v>
      </c>
      <c r="E103" s="954">
        <v>4.01</v>
      </c>
      <c r="F103" s="954">
        <v>3.75</v>
      </c>
      <c r="G103" s="954">
        <v>4.3</v>
      </c>
      <c r="H103" s="954">
        <v>3.8</v>
      </c>
      <c r="I103" s="954">
        <v>4.7</v>
      </c>
      <c r="J103" s="954">
        <v>4.38</v>
      </c>
      <c r="K103" s="954">
        <v>2.63</v>
      </c>
      <c r="L103" s="957"/>
      <c r="M103" s="957"/>
      <c r="N103" s="957"/>
      <c r="O103" s="957"/>
      <c r="P103" s="957"/>
      <c r="Q103" s="957"/>
      <c r="R103" s="957"/>
      <c r="S103" s="957"/>
      <c r="T103" s="957"/>
    </row>
    <row r="104" spans="1:20" s="953" customFormat="1">
      <c r="A104" s="955" t="s">
        <v>1674</v>
      </c>
      <c r="B104" s="956">
        <v>4</v>
      </c>
      <c r="D104" s="954">
        <v>3.33</v>
      </c>
      <c r="E104" s="954">
        <v>3.97</v>
      </c>
      <c r="F104" s="954">
        <v>3.75</v>
      </c>
      <c r="G104" s="954">
        <v>4.3</v>
      </c>
      <c r="H104" s="954">
        <v>3.75</v>
      </c>
      <c r="I104" s="954">
        <v>4.5999999999999996</v>
      </c>
      <c r="J104" s="954">
        <v>4.38</v>
      </c>
      <c r="K104" s="954">
        <v>2.6</v>
      </c>
      <c r="L104" s="957"/>
      <c r="M104" s="957"/>
      <c r="N104" s="957"/>
      <c r="O104" s="957"/>
      <c r="P104" s="957"/>
      <c r="Q104" s="957"/>
      <c r="R104" s="957"/>
      <c r="S104" s="957"/>
      <c r="T104" s="957"/>
    </row>
    <row r="105" spans="1:20" s="953" customFormat="1">
      <c r="A105" s="955" t="s">
        <v>1675</v>
      </c>
      <c r="B105" s="956">
        <v>3.99</v>
      </c>
      <c r="D105" s="954">
        <v>3.38</v>
      </c>
      <c r="E105" s="954">
        <v>3.91</v>
      </c>
      <c r="F105" s="954">
        <v>3.82</v>
      </c>
      <c r="G105" s="954">
        <v>4.28</v>
      </c>
      <c r="H105" s="954">
        <v>3.81</v>
      </c>
      <c r="I105" s="954">
        <v>4.54</v>
      </c>
      <c r="J105" s="954">
        <v>4.34</v>
      </c>
      <c r="K105" s="954">
        <v>2.62</v>
      </c>
      <c r="L105" s="957"/>
      <c r="M105" s="957"/>
      <c r="N105" s="957"/>
      <c r="O105" s="957"/>
      <c r="P105" s="957"/>
      <c r="Q105" s="957"/>
      <c r="R105" s="957"/>
      <c r="S105" s="957"/>
      <c r="T105" s="957"/>
    </row>
    <row r="106" spans="1:20" s="953" customFormat="1">
      <c r="A106" s="955" t="s">
        <v>1676</v>
      </c>
      <c r="B106" s="956">
        <v>4.25</v>
      </c>
      <c r="D106" s="954">
        <v>3.54</v>
      </c>
      <c r="E106" s="954">
        <v>4.1900000000000004</v>
      </c>
      <c r="F106" s="954">
        <v>4</v>
      </c>
      <c r="G106" s="954">
        <v>4.53</v>
      </c>
      <c r="H106" s="954">
        <v>4.0999999999999996</v>
      </c>
      <c r="I106" s="954">
        <v>4.8499999999999996</v>
      </c>
      <c r="J106" s="954">
        <v>4.66</v>
      </c>
      <c r="K106" s="954">
        <v>2.9</v>
      </c>
      <c r="L106" s="957"/>
      <c r="M106" s="957"/>
      <c r="N106" s="957"/>
      <c r="O106" s="957"/>
      <c r="P106" s="957"/>
      <c r="Q106" s="957"/>
      <c r="R106" s="957"/>
      <c r="S106" s="957"/>
      <c r="T106" s="957"/>
    </row>
    <row r="107" spans="1:20" s="953" customFormat="1">
      <c r="A107" s="955" t="s">
        <v>1677</v>
      </c>
      <c r="B107" s="956">
        <v>4.43</v>
      </c>
      <c r="D107" s="954">
        <v>3.66</v>
      </c>
      <c r="E107" s="954">
        <v>4.38</v>
      </c>
      <c r="F107" s="954">
        <v>4.18</v>
      </c>
      <c r="G107" s="954">
        <v>4.75</v>
      </c>
      <c r="H107" s="954">
        <v>4.3099999999999996</v>
      </c>
      <c r="I107" s="954">
        <v>5.05</v>
      </c>
      <c r="J107" s="954">
        <v>4.82</v>
      </c>
      <c r="K107" s="954">
        <v>2.98</v>
      </c>
      <c r="L107" s="957"/>
      <c r="M107" s="957"/>
      <c r="N107" s="957"/>
      <c r="O107" s="957"/>
      <c r="P107" s="957"/>
      <c r="Q107" s="957"/>
      <c r="R107" s="957"/>
      <c r="S107" s="957"/>
      <c r="T107" s="957"/>
    </row>
    <row r="108" spans="1:20" s="953" customFormat="1">
      <c r="A108" s="955" t="s">
        <v>1678</v>
      </c>
      <c r="B108" s="956">
        <v>4.6100000000000003</v>
      </c>
      <c r="D108" s="954">
        <v>3.73</v>
      </c>
      <c r="E108" s="954">
        <v>4.53</v>
      </c>
      <c r="F108" s="954">
        <v>4.33</v>
      </c>
      <c r="G108" s="954">
        <v>4.96</v>
      </c>
      <c r="H108" s="954">
        <v>4.58</v>
      </c>
      <c r="I108" s="954">
        <v>5.3</v>
      </c>
      <c r="J108" s="954">
        <v>5.03</v>
      </c>
      <c r="K108" s="954">
        <v>2.93</v>
      </c>
      <c r="L108" s="957"/>
      <c r="M108" s="957"/>
      <c r="N108" s="957"/>
      <c r="O108" s="957"/>
      <c r="P108" s="957"/>
      <c r="Q108" s="957"/>
      <c r="R108" s="957"/>
      <c r="S108" s="957"/>
      <c r="T108" s="957"/>
    </row>
    <row r="109" spans="1:20" s="953" customFormat="1">
      <c r="A109" s="955" t="s">
        <v>1679</v>
      </c>
      <c r="B109" s="956">
        <v>5.03</v>
      </c>
      <c r="D109" s="954">
        <v>4.03</v>
      </c>
      <c r="E109" s="954">
        <v>5.0599999999999996</v>
      </c>
      <c r="F109" s="954">
        <v>4.71</v>
      </c>
      <c r="G109" s="954">
        <v>5.45</v>
      </c>
      <c r="H109" s="954">
        <v>4.88</v>
      </c>
      <c r="I109" s="954">
        <v>5.81</v>
      </c>
      <c r="J109" s="954">
        <v>5.48</v>
      </c>
      <c r="K109" s="954">
        <v>3.33</v>
      </c>
      <c r="L109" s="957"/>
      <c r="M109" s="957"/>
      <c r="N109" s="957"/>
      <c r="O109" s="957"/>
      <c r="P109" s="957"/>
      <c r="Q109" s="957"/>
      <c r="R109" s="957"/>
      <c r="S109" s="957"/>
      <c r="T109" s="957"/>
    </row>
    <row r="110" spans="1:20" s="953" customFormat="1">
      <c r="A110" s="955" t="s">
        <v>1680</v>
      </c>
      <c r="B110" s="956">
        <v>4.45</v>
      </c>
      <c r="D110" s="954">
        <v>3.73</v>
      </c>
      <c r="E110" s="954">
        <v>4.5</v>
      </c>
      <c r="F110" s="954">
        <v>4.05</v>
      </c>
      <c r="G110" s="954">
        <v>4.8099999999999996</v>
      </c>
      <c r="H110" s="954">
        <v>4.3</v>
      </c>
      <c r="I110" s="954">
        <v>5.09</v>
      </c>
      <c r="J110" s="954">
        <v>4.8099999999999996</v>
      </c>
      <c r="K110" s="954">
        <v>2.95</v>
      </c>
      <c r="L110" s="957"/>
      <c r="M110" s="957"/>
      <c r="N110" s="957"/>
      <c r="O110" s="957"/>
      <c r="P110" s="957"/>
      <c r="Q110" s="957"/>
      <c r="R110" s="957"/>
      <c r="S110" s="957"/>
      <c r="T110" s="957"/>
    </row>
    <row r="111" spans="1:20" s="953" customFormat="1">
      <c r="A111" s="955" t="s">
        <v>1681</v>
      </c>
      <c r="B111" s="956">
        <v>4.05</v>
      </c>
      <c r="D111" s="954">
        <v>3.36</v>
      </c>
      <c r="E111" s="954">
        <v>4.04</v>
      </c>
      <c r="F111" s="954">
        <v>3.75</v>
      </c>
      <c r="G111" s="954">
        <v>4.32</v>
      </c>
      <c r="H111" s="954">
        <v>3.95</v>
      </c>
      <c r="I111" s="954">
        <v>4.72</v>
      </c>
      <c r="J111" s="954">
        <v>4.34</v>
      </c>
      <c r="K111" s="954">
        <v>2.78</v>
      </c>
      <c r="L111" s="957"/>
      <c r="M111" s="957"/>
      <c r="N111" s="957"/>
      <c r="O111" s="957"/>
      <c r="P111" s="957"/>
      <c r="Q111" s="957"/>
      <c r="R111" s="957"/>
      <c r="S111" s="957"/>
      <c r="T111" s="957"/>
    </row>
    <row r="112" spans="1:20" s="953" customFormat="1">
      <c r="A112" s="955" t="s">
        <v>1682</v>
      </c>
      <c r="B112" s="956">
        <v>3.83</v>
      </c>
      <c r="D112" s="954">
        <v>3.23</v>
      </c>
      <c r="E112" s="954">
        <v>3.77</v>
      </c>
      <c r="F112" s="954">
        <v>3.56</v>
      </c>
      <c r="G112" s="954">
        <v>4.1100000000000003</v>
      </c>
      <c r="H112" s="954">
        <v>3.74</v>
      </c>
      <c r="I112" s="954">
        <v>4.3899999999999997</v>
      </c>
      <c r="J112" s="954">
        <v>4.0999999999999996</v>
      </c>
      <c r="K112" s="954">
        <v>2.58</v>
      </c>
      <c r="L112" s="957"/>
      <c r="M112" s="957"/>
      <c r="N112" s="957"/>
      <c r="O112" s="957"/>
      <c r="P112" s="957"/>
      <c r="Q112" s="957"/>
      <c r="R112" s="957"/>
      <c r="S112" s="957"/>
      <c r="T112" s="957"/>
    </row>
    <row r="113" spans="1:20" s="953" customFormat="1">
      <c r="A113" s="955" t="s">
        <v>1683</v>
      </c>
      <c r="B113" s="956">
        <v>3.79</v>
      </c>
      <c r="D113" s="954">
        <v>3.19</v>
      </c>
      <c r="E113" s="954">
        <v>3.72</v>
      </c>
      <c r="F113" s="954">
        <v>3.49</v>
      </c>
      <c r="G113" s="954">
        <v>4.0599999999999996</v>
      </c>
      <c r="H113" s="954">
        <v>3.68</v>
      </c>
      <c r="I113" s="954">
        <v>4.3899999999999997</v>
      </c>
      <c r="J113" s="954">
        <v>4.09</v>
      </c>
      <c r="K113" s="954">
        <v>2.64</v>
      </c>
      <c r="L113" s="957"/>
      <c r="M113" s="957"/>
      <c r="N113" s="957"/>
      <c r="O113" s="957"/>
      <c r="P113" s="957"/>
      <c r="Q113" s="957"/>
      <c r="R113" s="957"/>
      <c r="S113" s="957"/>
      <c r="T113" s="957"/>
    </row>
    <row r="114" spans="1:20" s="953" customFormat="1">
      <c r="A114" s="955" t="s">
        <v>1684</v>
      </c>
      <c r="B114" s="956">
        <v>3.9</v>
      </c>
      <c r="D114" s="954">
        <v>3.33</v>
      </c>
      <c r="E114" s="954">
        <v>3.8</v>
      </c>
      <c r="F114" s="954">
        <v>3.58</v>
      </c>
      <c r="G114" s="954">
        <v>4.2</v>
      </c>
      <c r="H114" s="954">
        <v>3.77</v>
      </c>
      <c r="I114" s="954">
        <v>4.5</v>
      </c>
      <c r="J114" s="954">
        <v>4.1900000000000004</v>
      </c>
      <c r="K114" s="954">
        <v>2.74</v>
      </c>
      <c r="L114" s="957"/>
      <c r="M114" s="957"/>
      <c r="N114" s="957"/>
      <c r="O114" s="957"/>
      <c r="P114" s="957"/>
      <c r="Q114" s="957"/>
      <c r="R114" s="957"/>
      <c r="S114" s="957"/>
      <c r="T114" s="957"/>
    </row>
    <row r="115" spans="1:20" s="953" customFormat="1">
      <c r="A115" s="955" t="s">
        <v>1685</v>
      </c>
      <c r="B115" s="956">
        <v>4.09</v>
      </c>
      <c r="D115" s="954">
        <v>3.48</v>
      </c>
      <c r="E115" s="954">
        <v>4.0199999999999996</v>
      </c>
      <c r="F115" s="954">
        <v>3.71</v>
      </c>
      <c r="G115" s="954">
        <v>4.38</v>
      </c>
      <c r="H115" s="954">
        <v>3.92</v>
      </c>
      <c r="I115" s="954">
        <v>4.8099999999999996</v>
      </c>
      <c r="J115" s="954">
        <v>4.37</v>
      </c>
      <c r="K115" s="954">
        <v>2.79</v>
      </c>
      <c r="L115" s="957"/>
      <c r="M115" s="957"/>
      <c r="N115" s="957"/>
      <c r="O115" s="957"/>
      <c r="P115" s="957"/>
      <c r="Q115" s="957"/>
      <c r="R115" s="957"/>
      <c r="S115" s="957"/>
      <c r="T115" s="957"/>
    </row>
    <row r="116" spans="1:20" s="953" customFormat="1">
      <c r="A116" s="955" t="s">
        <v>1686</v>
      </c>
      <c r="B116" s="956">
        <v>4.05</v>
      </c>
      <c r="D116" s="954">
        <v>3.44</v>
      </c>
      <c r="E116" s="954">
        <v>4.0199999999999996</v>
      </c>
      <c r="F116" s="954">
        <v>3.7</v>
      </c>
      <c r="G116" s="954">
        <v>4.32</v>
      </c>
      <c r="H116" s="954">
        <v>3.95</v>
      </c>
      <c r="I116" s="954">
        <v>4.7300000000000004</v>
      </c>
      <c r="J116" s="954">
        <v>4.3</v>
      </c>
      <c r="K116" s="954">
        <v>2.78</v>
      </c>
      <c r="L116" s="957"/>
      <c r="M116" s="957"/>
      <c r="N116" s="957"/>
      <c r="O116" s="957"/>
      <c r="P116" s="957"/>
      <c r="Q116" s="957"/>
      <c r="R116" s="957"/>
      <c r="S116" s="957"/>
      <c r="T116" s="957"/>
    </row>
    <row r="117" spans="1:20" s="953" customFormat="1">
      <c r="A117" s="955" t="s">
        <v>1687</v>
      </c>
      <c r="B117" s="956">
        <v>4.12</v>
      </c>
      <c r="D117" s="954">
        <v>3.5</v>
      </c>
      <c r="E117" s="954">
        <v>4.09</v>
      </c>
      <c r="F117" s="954">
        <v>3.78</v>
      </c>
      <c r="G117" s="954">
        <v>4.46</v>
      </c>
      <c r="H117" s="954">
        <v>4.01</v>
      </c>
      <c r="I117" s="954">
        <v>4.79</v>
      </c>
      <c r="J117" s="954">
        <v>4.34</v>
      </c>
      <c r="K117" s="954">
        <v>2.78</v>
      </c>
      <c r="L117" s="957"/>
      <c r="M117" s="957"/>
      <c r="N117" s="957"/>
      <c r="O117" s="957"/>
      <c r="P117" s="957"/>
      <c r="Q117" s="957"/>
      <c r="R117" s="957"/>
      <c r="S117" s="957"/>
      <c r="T117" s="957"/>
    </row>
    <row r="118" spans="1:20" s="953" customFormat="1">
      <c r="A118" s="955" t="s">
        <v>1688</v>
      </c>
      <c r="B118" s="956">
        <v>4.34</v>
      </c>
      <c r="D118" s="954">
        <v>3.67</v>
      </c>
      <c r="E118" s="954">
        <v>4.37</v>
      </c>
      <c r="F118" s="954">
        <v>4.03</v>
      </c>
      <c r="G118" s="954">
        <v>4.68</v>
      </c>
      <c r="H118" s="954">
        <v>4.2300000000000004</v>
      </c>
      <c r="I118" s="954">
        <v>5.01</v>
      </c>
      <c r="J118" s="954">
        <v>4.58</v>
      </c>
      <c r="K118" s="954">
        <v>2.86</v>
      </c>
      <c r="L118" s="957"/>
      <c r="M118" s="957"/>
      <c r="N118" s="957"/>
      <c r="O118" s="957"/>
      <c r="P118" s="957"/>
      <c r="Q118" s="957"/>
      <c r="R118" s="957"/>
      <c r="S118" s="957"/>
      <c r="T118" s="957"/>
    </row>
    <row r="119" spans="1:20" s="953" customFormat="1">
      <c r="A119" s="955" t="s">
        <v>1689</v>
      </c>
      <c r="B119" s="956">
        <v>4.46</v>
      </c>
      <c r="D119" s="954">
        <v>3.8</v>
      </c>
      <c r="E119" s="954">
        <v>4.49</v>
      </c>
      <c r="F119" s="954">
        <v>4.16</v>
      </c>
      <c r="G119" s="954">
        <v>4.75</v>
      </c>
      <c r="H119" s="954">
        <v>4.42</v>
      </c>
      <c r="I119" s="954">
        <v>5.12</v>
      </c>
      <c r="J119" s="954">
        <v>4.71</v>
      </c>
      <c r="K119" s="954">
        <v>2.91</v>
      </c>
      <c r="L119" s="957"/>
      <c r="M119" s="957"/>
      <c r="N119" s="957"/>
      <c r="O119" s="957"/>
      <c r="P119" s="957"/>
      <c r="Q119" s="957"/>
      <c r="R119" s="957"/>
      <c r="S119" s="957"/>
      <c r="T119" s="957"/>
    </row>
    <row r="120" spans="1:20" s="953" customFormat="1">
      <c r="A120" s="955" t="s">
        <v>1690</v>
      </c>
      <c r="B120" s="956">
        <v>4.51</v>
      </c>
      <c r="D120" s="954">
        <v>3.73</v>
      </c>
      <c r="E120" s="954">
        <v>4.51</v>
      </c>
      <c r="F120" s="954">
        <v>4.1399999999999997</v>
      </c>
      <c r="G120" s="954">
        <v>4.8600000000000003</v>
      </c>
      <c r="H120" s="954">
        <v>4.42</v>
      </c>
      <c r="I120" s="954">
        <v>5.29</v>
      </c>
      <c r="J120" s="954">
        <v>4.8899999999999997</v>
      </c>
      <c r="K120" s="954">
        <v>2.72</v>
      </c>
      <c r="L120" s="957"/>
      <c r="M120" s="957"/>
      <c r="N120" s="957"/>
      <c r="O120" s="957"/>
      <c r="P120" s="957"/>
      <c r="Q120" s="957"/>
      <c r="R120" s="957"/>
      <c r="S120" s="957"/>
      <c r="T120" s="957"/>
    </row>
    <row r="121" spans="1:20" s="953" customFormat="1">
      <c r="A121" s="955" t="s">
        <v>1691</v>
      </c>
      <c r="B121" s="956">
        <v>4.7699999999999996</v>
      </c>
      <c r="D121" s="954">
        <v>3.9</v>
      </c>
      <c r="E121" s="954">
        <v>4.74</v>
      </c>
      <c r="F121" s="954">
        <v>4.42</v>
      </c>
      <c r="G121" s="954">
        <v>5.15</v>
      </c>
      <c r="H121" s="954">
        <v>4.72</v>
      </c>
      <c r="I121" s="954">
        <v>5.48</v>
      </c>
      <c r="J121" s="954">
        <v>5.21</v>
      </c>
      <c r="K121" s="954">
        <v>2.95</v>
      </c>
      <c r="L121" s="957"/>
      <c r="M121" s="957"/>
      <c r="N121" s="957"/>
      <c r="O121" s="957"/>
      <c r="P121" s="957"/>
      <c r="Q121" s="957"/>
      <c r="R121" s="957"/>
      <c r="S121" s="957"/>
      <c r="T121" s="957"/>
    </row>
    <row r="122" spans="1:20" s="953" customFormat="1">
      <c r="A122" s="955" t="s">
        <v>1692</v>
      </c>
      <c r="B122" s="956">
        <v>4.51</v>
      </c>
      <c r="D122" s="954">
        <v>3.73</v>
      </c>
      <c r="E122" s="954">
        <v>4.53</v>
      </c>
      <c r="F122" s="954">
        <v>4.18</v>
      </c>
      <c r="G122" s="954">
        <v>4.8499999999999996</v>
      </c>
      <c r="H122" s="954">
        <v>4.51</v>
      </c>
      <c r="I122" s="954">
        <v>5.13</v>
      </c>
      <c r="J122" s="954">
        <v>4.9000000000000004</v>
      </c>
      <c r="K122" s="954">
        <v>2.81</v>
      </c>
      <c r="L122" s="957"/>
      <c r="M122" s="957"/>
      <c r="N122" s="957"/>
      <c r="O122" s="957"/>
      <c r="P122" s="957"/>
      <c r="Q122" s="957"/>
      <c r="R122" s="957"/>
      <c r="S122" s="957"/>
      <c r="T122" s="957"/>
    </row>
    <row r="123" spans="1:20" s="953" customFormat="1">
      <c r="A123" s="955" t="s">
        <v>1693</v>
      </c>
      <c r="B123" s="956">
        <v>4.08</v>
      </c>
      <c r="D123" s="954">
        <v>3.4</v>
      </c>
      <c r="E123" s="954">
        <v>4.07</v>
      </c>
      <c r="F123" s="954">
        <v>3.68</v>
      </c>
      <c r="G123" s="954">
        <v>4.45</v>
      </c>
      <c r="H123" s="954">
        <v>3.88</v>
      </c>
      <c r="I123" s="954">
        <v>4.74</v>
      </c>
      <c r="J123" s="954">
        <v>4.41</v>
      </c>
      <c r="K123" s="954">
        <v>2.64</v>
      </c>
      <c r="L123" s="957"/>
      <c r="M123" s="957"/>
      <c r="N123" s="957"/>
      <c r="O123" s="957"/>
      <c r="P123" s="957"/>
      <c r="Q123" s="957"/>
      <c r="R123" s="957"/>
      <c r="S123" s="957"/>
      <c r="T123" s="957"/>
    </row>
    <row r="124" spans="1:20" s="953" customFormat="1">
      <c r="A124" s="955" t="s">
        <v>1694</v>
      </c>
      <c r="B124" s="956">
        <v>4.0599999999999996</v>
      </c>
      <c r="D124" s="954">
        <v>3.35</v>
      </c>
      <c r="E124" s="954">
        <v>4.08</v>
      </c>
      <c r="F124" s="954">
        <v>3.74</v>
      </c>
      <c r="G124" s="954">
        <v>4.41</v>
      </c>
      <c r="H124" s="954">
        <v>3.83</v>
      </c>
      <c r="I124" s="954">
        <v>4.76</v>
      </c>
      <c r="J124" s="954">
        <v>4.3600000000000003</v>
      </c>
      <c r="K124" s="954">
        <v>2.64</v>
      </c>
      <c r="L124" s="957"/>
      <c r="M124" s="957"/>
      <c r="N124" s="957"/>
      <c r="O124" s="957"/>
      <c r="P124" s="957"/>
      <c r="Q124" s="957"/>
      <c r="R124" s="957"/>
      <c r="S124" s="957"/>
      <c r="T124" s="957"/>
    </row>
    <row r="125" spans="1:20" s="953" customFormat="1">
      <c r="A125" s="955" t="s">
        <v>1695</v>
      </c>
      <c r="B125" s="956">
        <v>4.01</v>
      </c>
      <c r="D125" s="954">
        <v>3.31</v>
      </c>
      <c r="E125" s="954">
        <v>3.96</v>
      </c>
      <c r="F125" s="954">
        <v>3.68</v>
      </c>
      <c r="G125" s="954">
        <v>4.3099999999999996</v>
      </c>
      <c r="H125" s="954">
        <v>3.82</v>
      </c>
      <c r="I125" s="954">
        <v>4.7300000000000004</v>
      </c>
      <c r="J125" s="954">
        <v>4.3600000000000003</v>
      </c>
      <c r="K125" s="954">
        <v>2.58</v>
      </c>
      <c r="L125" s="957"/>
      <c r="M125" s="957"/>
      <c r="N125" s="957"/>
      <c r="O125" s="957"/>
      <c r="P125" s="957"/>
      <c r="Q125" s="957"/>
      <c r="R125" s="957"/>
      <c r="S125" s="957"/>
      <c r="T125" s="957"/>
    </row>
    <row r="126" spans="1:20" s="953" customFormat="1">
      <c r="A126" s="955" t="s">
        <v>1696</v>
      </c>
      <c r="B126" s="956">
        <v>4.12</v>
      </c>
      <c r="D126" s="954">
        <v>3.47</v>
      </c>
      <c r="E126" s="954">
        <v>4.12</v>
      </c>
      <c r="F126" s="954">
        <v>3.8</v>
      </c>
      <c r="G126" s="954">
        <v>4.43</v>
      </c>
      <c r="H126" s="954">
        <v>3.85</v>
      </c>
      <c r="I126" s="954">
        <v>4.8499999999999996</v>
      </c>
      <c r="J126" s="954">
        <v>4.38</v>
      </c>
      <c r="K126" s="954">
        <v>2.7</v>
      </c>
      <c r="L126" s="957"/>
      <c r="M126" s="957"/>
      <c r="N126" s="957"/>
      <c r="O126" s="957"/>
      <c r="P126" s="957"/>
      <c r="Q126" s="957"/>
      <c r="R126" s="957"/>
      <c r="S126" s="957"/>
      <c r="T126" s="957"/>
    </row>
    <row r="127" spans="1:20" s="953" customFormat="1">
      <c r="A127" s="955" t="s">
        <v>1697</v>
      </c>
      <c r="B127" s="956">
        <v>4.2300000000000004</v>
      </c>
      <c r="D127" s="954">
        <v>3.56</v>
      </c>
      <c r="E127" s="954">
        <v>4.22</v>
      </c>
      <c r="F127" s="954">
        <v>3.92</v>
      </c>
      <c r="G127" s="954">
        <v>4.53</v>
      </c>
      <c r="H127" s="954">
        <v>4.0199999999999996</v>
      </c>
      <c r="I127" s="954">
        <v>4.99</v>
      </c>
      <c r="J127" s="954">
        <v>4.53</v>
      </c>
      <c r="K127" s="954">
        <v>2.73</v>
      </c>
      <c r="L127" s="957"/>
      <c r="M127" s="957"/>
      <c r="N127" s="957"/>
      <c r="O127" s="957"/>
      <c r="P127" s="957"/>
      <c r="Q127" s="957"/>
      <c r="R127" s="957"/>
      <c r="S127" s="957"/>
      <c r="T127" s="957"/>
    </row>
    <row r="128" spans="1:20" s="953" customFormat="1">
      <c r="A128" s="955" t="s">
        <v>1698</v>
      </c>
      <c r="B128" s="956">
        <v>4.1399999999999997</v>
      </c>
      <c r="D128" s="954">
        <v>3.52</v>
      </c>
      <c r="E128" s="954">
        <v>4.07</v>
      </c>
      <c r="F128" s="954">
        <v>3.8</v>
      </c>
      <c r="G128" s="954">
        <v>4.46</v>
      </c>
      <c r="H128" s="954">
        <v>3.88</v>
      </c>
      <c r="I128" s="954">
        <v>4.8600000000000003</v>
      </c>
      <c r="J128" s="954">
        <v>4.46</v>
      </c>
      <c r="K128" s="954">
        <v>2.63</v>
      </c>
      <c r="L128" s="957"/>
      <c r="M128" s="957"/>
      <c r="N128" s="957"/>
      <c r="O128" s="957"/>
      <c r="P128" s="957"/>
      <c r="Q128" s="957"/>
      <c r="R128" s="957"/>
      <c r="S128" s="957"/>
      <c r="T128" s="957"/>
    </row>
    <row r="129" spans="1:20" s="953" customFormat="1">
      <c r="A129" s="955" t="s">
        <v>1699</v>
      </c>
      <c r="B129" s="956">
        <v>4.25</v>
      </c>
      <c r="D129" s="954">
        <v>3.61</v>
      </c>
      <c r="E129" s="954">
        <v>4.22</v>
      </c>
      <c r="F129" s="954">
        <v>3.88</v>
      </c>
      <c r="G129" s="954">
        <v>4.5999999999999996</v>
      </c>
      <c r="H129" s="954">
        <v>4.08</v>
      </c>
      <c r="I129" s="954">
        <v>4.96</v>
      </c>
      <c r="J129" s="954">
        <v>4.54</v>
      </c>
      <c r="K129" s="954">
        <v>2.8</v>
      </c>
      <c r="L129" s="957"/>
      <c r="M129" s="957"/>
      <c r="N129" s="957"/>
      <c r="O129" s="957"/>
      <c r="P129" s="957"/>
      <c r="Q129" s="957"/>
      <c r="R129" s="957"/>
      <c r="S129" s="957"/>
      <c r="T129" s="957"/>
    </row>
    <row r="130" spans="1:20" s="953" customFormat="1">
      <c r="A130" s="955" t="s">
        <v>1700</v>
      </c>
      <c r="B130" s="956">
        <v>4.5999999999999996</v>
      </c>
      <c r="D130" s="954">
        <v>3.91</v>
      </c>
      <c r="E130" s="954">
        <v>4.58</v>
      </c>
      <c r="F130" s="954">
        <v>4.3</v>
      </c>
      <c r="G130" s="954">
        <v>5</v>
      </c>
      <c r="H130" s="954">
        <v>4.4000000000000004</v>
      </c>
      <c r="I130" s="954">
        <v>5.29</v>
      </c>
      <c r="J130" s="954">
        <v>4.84</v>
      </c>
      <c r="K130" s="954">
        <v>3.15</v>
      </c>
      <c r="L130" s="957"/>
      <c r="M130" s="957"/>
      <c r="N130" s="957"/>
      <c r="O130" s="957"/>
      <c r="P130" s="957"/>
      <c r="Q130" s="957"/>
      <c r="R130" s="957"/>
      <c r="S130" s="957"/>
      <c r="T130" s="957"/>
    </row>
    <row r="131" spans="1:20" s="953" customFormat="1">
      <c r="A131" s="955" t="s">
        <v>1701</v>
      </c>
      <c r="B131" s="956">
        <v>4.7300000000000004</v>
      </c>
      <c r="D131" s="954">
        <v>4</v>
      </c>
      <c r="E131" s="954">
        <v>4.72</v>
      </c>
      <c r="F131" s="954">
        <v>4.34</v>
      </c>
      <c r="G131" s="954">
        <v>5.05</v>
      </c>
      <c r="H131" s="954">
        <v>4.51</v>
      </c>
      <c r="I131" s="954">
        <v>5.53</v>
      </c>
      <c r="J131" s="954">
        <v>5.05</v>
      </c>
      <c r="K131" s="954">
        <v>3.34</v>
      </c>
      <c r="L131" s="957"/>
      <c r="M131" s="957"/>
      <c r="N131" s="957"/>
      <c r="O131" s="957"/>
      <c r="P131" s="957"/>
      <c r="Q131" s="957"/>
      <c r="R131" s="957"/>
      <c r="S131" s="957"/>
      <c r="T131" s="957"/>
    </row>
    <row r="132" spans="1:20" s="953" customFormat="1">
      <c r="A132" s="955" t="s">
        <v>1702</v>
      </c>
      <c r="B132" s="960">
        <v>4.8600000000000003</v>
      </c>
      <c r="D132" s="954">
        <v>4.0199999999999996</v>
      </c>
      <c r="E132" s="954">
        <v>4.78</v>
      </c>
      <c r="F132" s="954">
        <v>4.45</v>
      </c>
      <c r="G132" s="954">
        <v>5.23</v>
      </c>
      <c r="H132" s="954">
        <v>4.62</v>
      </c>
      <c r="I132" s="954">
        <v>5.74</v>
      </c>
      <c r="J132" s="954">
        <v>5.3</v>
      </c>
      <c r="K132" s="954">
        <v>3.21</v>
      </c>
      <c r="L132" s="957"/>
      <c r="M132" s="957"/>
      <c r="N132" s="957"/>
      <c r="O132" s="957"/>
      <c r="P132" s="957"/>
      <c r="Q132" s="957"/>
      <c r="R132" s="957"/>
      <c r="S132" s="957"/>
      <c r="T132" s="957"/>
    </row>
    <row r="133" spans="1:20" s="953" customFormat="1">
      <c r="A133" s="955" t="s">
        <v>1703</v>
      </c>
      <c r="B133" s="955"/>
      <c r="C133" s="960">
        <v>4.8099999999999996</v>
      </c>
      <c r="D133" s="954">
        <v>3.98</v>
      </c>
      <c r="E133" s="954">
        <v>4.84</v>
      </c>
      <c r="F133" s="954">
        <v>4.43</v>
      </c>
      <c r="G133" s="954">
        <v>5.17</v>
      </c>
      <c r="H133" s="954">
        <v>4.63</v>
      </c>
      <c r="I133" s="954">
        <v>5.56</v>
      </c>
      <c r="J133" s="954">
        <v>5.2</v>
      </c>
      <c r="K133" s="954">
        <v>3.15</v>
      </c>
      <c r="L133" s="957"/>
      <c r="M133" s="957"/>
      <c r="N133" s="957"/>
      <c r="O133" s="957"/>
      <c r="P133" s="957"/>
      <c r="Q133" s="957"/>
      <c r="R133" s="957"/>
      <c r="S133" s="957"/>
      <c r="T133" s="957"/>
    </row>
    <row r="134" spans="1:20" s="953" customFormat="1">
      <c r="A134" s="955" t="s">
        <v>1704</v>
      </c>
      <c r="B134" s="955"/>
      <c r="C134" s="960">
        <v>4.51</v>
      </c>
      <c r="D134" s="954">
        <v>3.81</v>
      </c>
      <c r="E134" s="954">
        <v>4.51</v>
      </c>
      <c r="F134" s="954">
        <v>4.1900000000000004</v>
      </c>
      <c r="G134" s="954">
        <v>4.79</v>
      </c>
      <c r="H134" s="954">
        <v>4.38</v>
      </c>
      <c r="I134" s="954">
        <v>5.2</v>
      </c>
      <c r="J134" s="954">
        <v>4.8600000000000003</v>
      </c>
      <c r="K134" s="954">
        <v>3.03</v>
      </c>
      <c r="L134" s="957"/>
      <c r="M134" s="957"/>
      <c r="N134" s="957"/>
      <c r="O134" s="957"/>
      <c r="P134" s="957"/>
      <c r="Q134" s="957"/>
      <c r="R134" s="957"/>
      <c r="S134" s="957"/>
      <c r="T134" s="957"/>
    </row>
    <row r="135" spans="1:20" s="953" customFormat="1">
      <c r="A135" s="955" t="s">
        <v>1705</v>
      </c>
      <c r="B135" s="955"/>
      <c r="C135" s="960">
        <v>5.36</v>
      </c>
      <c r="D135" s="954">
        <v>5.72</v>
      </c>
      <c r="E135" s="954">
        <v>4.72</v>
      </c>
      <c r="F135" s="954">
        <v>5.34</v>
      </c>
      <c r="G135" s="954">
        <v>5.48</v>
      </c>
      <c r="H135" s="954">
        <v>5.19</v>
      </c>
      <c r="I135" s="954">
        <v>5.83</v>
      </c>
      <c r="J135" s="954">
        <v>5.22</v>
      </c>
      <c r="K135" s="954">
        <v>3.4</v>
      </c>
      <c r="L135" s="957"/>
      <c r="M135" s="957"/>
      <c r="N135" s="957"/>
      <c r="O135" s="957"/>
      <c r="P135" s="957"/>
      <c r="Q135" s="957"/>
      <c r="R135" s="957"/>
      <c r="S135" s="957"/>
      <c r="T135" s="957"/>
    </row>
    <row r="136" spans="1:20" s="953" customFormat="1">
      <c r="A136" s="955" t="s">
        <v>1706</v>
      </c>
      <c r="B136" s="955"/>
      <c r="C136" s="960">
        <v>6.2</v>
      </c>
      <c r="D136" s="954">
        <v>7.24</v>
      </c>
      <c r="E136" s="954">
        <v>4.5</v>
      </c>
      <c r="F136" s="954">
        <v>6.46</v>
      </c>
      <c r="G136" s="954">
        <v>6.09</v>
      </c>
      <c r="H136" s="954">
        <v>6.32</v>
      </c>
      <c r="I136" s="954">
        <v>6.92</v>
      </c>
      <c r="J136" s="954">
        <v>5.87</v>
      </c>
      <c r="K136" s="954">
        <v>2.68</v>
      </c>
      <c r="L136" s="957"/>
      <c r="M136" s="957"/>
      <c r="N136" s="957"/>
      <c r="O136" s="957"/>
      <c r="P136" s="957"/>
      <c r="Q136" s="957"/>
      <c r="R136" s="957"/>
      <c r="S136" s="957"/>
      <c r="T136" s="957"/>
    </row>
    <row r="137" spans="1:20" s="953" customFormat="1">
      <c r="A137" s="955" t="s">
        <v>1707</v>
      </c>
      <c r="B137" s="955"/>
      <c r="C137" s="960">
        <v>4.72</v>
      </c>
      <c r="D137" s="954">
        <v>4.3899999999999997</v>
      </c>
      <c r="E137" s="954">
        <v>3.85</v>
      </c>
      <c r="F137" s="954">
        <v>4.46</v>
      </c>
      <c r="G137" s="954">
        <v>5</v>
      </c>
      <c r="H137" s="954">
        <v>4.8</v>
      </c>
      <c r="I137" s="954">
        <v>5.57</v>
      </c>
      <c r="J137" s="954">
        <v>5.0999999999999996</v>
      </c>
      <c r="K137" s="954">
        <v>1.99</v>
      </c>
      <c r="L137" s="957"/>
      <c r="M137" s="957"/>
      <c r="N137" s="957"/>
      <c r="O137" s="957"/>
      <c r="P137" s="957"/>
      <c r="Q137" s="957"/>
      <c r="R137" s="957"/>
      <c r="S137" s="957"/>
      <c r="T137" s="957"/>
    </row>
    <row r="138" spans="1:20" s="953" customFormat="1">
      <c r="A138" s="955" t="s">
        <v>1708</v>
      </c>
      <c r="B138" s="955"/>
      <c r="C138" s="960">
        <v>4.04</v>
      </c>
      <c r="D138" s="954">
        <v>3.52</v>
      </c>
      <c r="E138" s="954">
        <v>3.6</v>
      </c>
      <c r="F138" s="954">
        <v>3.68</v>
      </c>
      <c r="G138" s="954">
        <v>4.3099999999999996</v>
      </c>
      <c r="H138" s="954">
        <v>3.97</v>
      </c>
      <c r="I138" s="954">
        <v>4.9000000000000004</v>
      </c>
      <c r="J138" s="954">
        <v>4.3899999999999997</v>
      </c>
      <c r="K138" s="954">
        <v>1.99</v>
      </c>
      <c r="L138" s="957"/>
      <c r="M138" s="957"/>
      <c r="N138" s="957"/>
      <c r="O138" s="957"/>
      <c r="P138" s="957"/>
      <c r="Q138" s="957"/>
      <c r="R138" s="957"/>
      <c r="S138" s="957"/>
      <c r="T138" s="957"/>
    </row>
    <row r="139" spans="1:20" s="953" customFormat="1">
      <c r="A139" s="955" t="s">
        <v>1709</v>
      </c>
      <c r="B139" s="955"/>
      <c r="C139" s="960">
        <v>3.88</v>
      </c>
      <c r="D139" s="954">
        <v>3.31</v>
      </c>
      <c r="E139" s="954">
        <v>3.65</v>
      </c>
      <c r="F139" s="954">
        <v>3.58</v>
      </c>
      <c r="G139" s="954">
        <v>4.13</v>
      </c>
      <c r="H139" s="954">
        <v>3.77</v>
      </c>
      <c r="I139" s="954">
        <v>4.6900000000000004</v>
      </c>
      <c r="J139" s="954">
        <v>4.2</v>
      </c>
      <c r="K139" s="954">
        <v>2.02</v>
      </c>
      <c r="L139" s="957"/>
      <c r="M139" s="957"/>
      <c r="N139" s="957"/>
      <c r="O139" s="957"/>
      <c r="P139" s="957"/>
      <c r="Q139" s="957"/>
      <c r="R139" s="957"/>
      <c r="S139" s="957"/>
      <c r="T139" s="957"/>
    </row>
    <row r="140" spans="1:20" s="953" customFormat="1">
      <c r="A140" s="955" t="s">
        <v>1710</v>
      </c>
      <c r="B140" s="955"/>
      <c r="C140" s="960">
        <v>3.9</v>
      </c>
      <c r="D140" s="954">
        <v>3.28</v>
      </c>
      <c r="E140" s="954">
        <v>3.8</v>
      </c>
      <c r="F140" s="954">
        <v>3.51</v>
      </c>
      <c r="G140" s="954">
        <v>4.2</v>
      </c>
      <c r="H140" s="954">
        <v>3.68</v>
      </c>
      <c r="I140" s="954">
        <v>4.74</v>
      </c>
      <c r="J140" s="954">
        <v>4.2699999999999996</v>
      </c>
      <c r="K140" s="954">
        <v>1.86</v>
      </c>
      <c r="L140" s="957"/>
      <c r="M140" s="957"/>
      <c r="N140" s="957"/>
      <c r="O140" s="957"/>
      <c r="P140" s="957"/>
      <c r="Q140" s="957"/>
      <c r="R140" s="957"/>
      <c r="S140" s="957"/>
      <c r="T140" s="957"/>
    </row>
    <row r="141" spans="1:20" s="953" customFormat="1">
      <c r="A141" s="955" t="s">
        <v>1711</v>
      </c>
      <c r="B141" s="955"/>
      <c r="C141" s="960">
        <v>4.1900000000000004</v>
      </c>
      <c r="D141" s="954">
        <v>3.55</v>
      </c>
      <c r="E141" s="954">
        <v>4.01</v>
      </c>
      <c r="F141" s="954">
        <v>3.81</v>
      </c>
      <c r="G141" s="954">
        <v>4.51</v>
      </c>
      <c r="H141" s="954">
        <v>4.04</v>
      </c>
      <c r="I141" s="954">
        <v>5.03</v>
      </c>
      <c r="J141" s="954">
        <v>4.58</v>
      </c>
      <c r="K141" s="954">
        <v>2.08</v>
      </c>
      <c r="L141" s="957"/>
      <c r="M141" s="957"/>
      <c r="N141" s="957"/>
      <c r="O141" s="957"/>
      <c r="P141" s="957"/>
      <c r="Q141" s="957"/>
      <c r="R141" s="957"/>
      <c r="S141" s="957"/>
      <c r="T141" s="957"/>
    </row>
    <row r="142" spans="1:20" s="953" customFormat="1">
      <c r="A142" s="955" t="s">
        <v>1712</v>
      </c>
      <c r="B142" s="955"/>
      <c r="C142" s="960">
        <v>4.5199999999999996</v>
      </c>
      <c r="D142" s="954">
        <v>3.71</v>
      </c>
      <c r="E142" s="954">
        <v>4.21</v>
      </c>
      <c r="F142" s="954">
        <v>4.0199999999999996</v>
      </c>
      <c r="G142" s="954">
        <v>4.7699999999999996</v>
      </c>
      <c r="H142" s="954">
        <v>4.13</v>
      </c>
      <c r="I142" s="954">
        <v>5.76</v>
      </c>
      <c r="J142" s="954">
        <v>5.0999999999999996</v>
      </c>
      <c r="K142" s="954">
        <v>2.36</v>
      </c>
      <c r="L142" s="957"/>
      <c r="M142" s="957"/>
      <c r="N142" s="957"/>
      <c r="O142" s="957"/>
      <c r="P142" s="957"/>
      <c r="Q142" s="957"/>
      <c r="R142" s="957"/>
      <c r="S142" s="957"/>
      <c r="T142" s="957"/>
    </row>
    <row r="143" spans="1:20" s="953" customFormat="1">
      <c r="A143" s="955" t="s">
        <v>1713</v>
      </c>
      <c r="B143" s="955"/>
      <c r="C143" s="960">
        <v>4.92</v>
      </c>
      <c r="D143" s="954">
        <v>3.81</v>
      </c>
      <c r="E143" s="954">
        <v>4.62</v>
      </c>
      <c r="F143" s="954">
        <v>4.3899999999999997</v>
      </c>
      <c r="G143" s="954">
        <v>5.32</v>
      </c>
      <c r="H143" s="954">
        <v>4.37</v>
      </c>
      <c r="I143" s="954">
        <v>6.15</v>
      </c>
      <c r="J143" s="954">
        <v>5.78</v>
      </c>
      <c r="K143" s="954">
        <v>2.56</v>
      </c>
      <c r="L143" s="957"/>
      <c r="M143" s="957"/>
      <c r="N143" s="957"/>
      <c r="O143" s="957"/>
      <c r="P143" s="957"/>
      <c r="Q143" s="957"/>
      <c r="R143" s="957"/>
      <c r="S143" s="957"/>
      <c r="T143" s="957"/>
    </row>
    <row r="144" spans="1:20" s="953" customFormat="1">
      <c r="A144" s="955" t="s">
        <v>1714</v>
      </c>
      <c r="B144" s="955"/>
      <c r="C144" s="960">
        <v>5.09</v>
      </c>
      <c r="D144" s="954">
        <v>4.3600000000000003</v>
      </c>
      <c r="E144" s="954">
        <v>4.59</v>
      </c>
      <c r="F144" s="954">
        <v>5.03</v>
      </c>
      <c r="G144" s="954">
        <v>5.41</v>
      </c>
      <c r="H144" s="954">
        <v>5.04</v>
      </c>
      <c r="I144" s="954">
        <v>5.96</v>
      </c>
      <c r="J144" s="954">
        <v>5.5</v>
      </c>
      <c r="K144" s="954">
        <v>2.39</v>
      </c>
      <c r="L144" s="957"/>
      <c r="M144" s="957"/>
      <c r="N144" s="957"/>
      <c r="O144" s="957"/>
      <c r="P144" s="957"/>
      <c r="Q144" s="957"/>
      <c r="R144" s="957"/>
      <c r="S144" s="957"/>
      <c r="T144" s="957"/>
    </row>
    <row r="145" spans="1:20" s="953" customFormat="1">
      <c r="A145" s="955" t="s">
        <v>1715</v>
      </c>
      <c r="B145" s="955"/>
      <c r="C145" s="960">
        <v>5.75</v>
      </c>
      <c r="D145" s="954">
        <v>5.63</v>
      </c>
      <c r="E145" s="954">
        <v>5.09</v>
      </c>
      <c r="F145" s="954">
        <v>5.88</v>
      </c>
      <c r="G145" s="954">
        <v>5.78</v>
      </c>
      <c r="H145" s="954">
        <v>6.33</v>
      </c>
      <c r="I145" s="954">
        <v>6.35</v>
      </c>
      <c r="J145" s="954">
        <v>5.72</v>
      </c>
      <c r="K145" s="954">
        <v>2.78</v>
      </c>
      <c r="L145" s="957"/>
      <c r="M145" s="957"/>
      <c r="N145" s="957"/>
      <c r="O145" s="957"/>
      <c r="P145" s="957"/>
      <c r="Q145" s="957"/>
      <c r="R145" s="957"/>
      <c r="S145" s="957"/>
      <c r="T145" s="957"/>
    </row>
    <row r="146" spans="1:20" s="953" customFormat="1">
      <c r="A146" s="955" t="s">
        <v>1716</v>
      </c>
      <c r="B146" s="955"/>
      <c r="C146" s="960">
        <v>4.6500000000000004</v>
      </c>
      <c r="D146" s="954">
        <v>4.1500000000000004</v>
      </c>
      <c r="E146" s="954">
        <v>4.26</v>
      </c>
      <c r="F146" s="954">
        <v>4.24</v>
      </c>
      <c r="G146" s="954">
        <v>4.92</v>
      </c>
      <c r="H146" s="954">
        <v>4.63</v>
      </c>
      <c r="I146" s="954">
        <v>5.45</v>
      </c>
      <c r="J146" s="954">
        <v>5.07</v>
      </c>
      <c r="K146" s="954">
        <v>2.39</v>
      </c>
      <c r="L146" s="957"/>
      <c r="M146" s="957"/>
      <c r="N146" s="957"/>
      <c r="O146" s="957"/>
      <c r="P146" s="957"/>
      <c r="Q146" s="957"/>
      <c r="R146" s="957"/>
      <c r="S146" s="957"/>
      <c r="T146" s="957"/>
    </row>
    <row r="147" spans="1:20" s="953" customFormat="1">
      <c r="A147" s="955" t="s">
        <v>1717</v>
      </c>
      <c r="B147" s="955"/>
      <c r="C147" s="960">
        <v>3.99</v>
      </c>
      <c r="D147" s="954">
        <v>3.39</v>
      </c>
      <c r="E147" s="954">
        <v>3.69</v>
      </c>
      <c r="F147" s="954">
        <v>3.58</v>
      </c>
      <c r="G147" s="954">
        <v>4.26</v>
      </c>
      <c r="H147" s="954">
        <v>3.79</v>
      </c>
      <c r="I147" s="954">
        <v>4.83</v>
      </c>
      <c r="J147" s="954">
        <v>4.4400000000000004</v>
      </c>
      <c r="K147" s="954">
        <v>2.2000000000000002</v>
      </c>
      <c r="L147" s="957"/>
      <c r="M147" s="957"/>
      <c r="N147" s="957"/>
      <c r="O147" s="957"/>
      <c r="P147" s="957"/>
      <c r="Q147" s="957"/>
      <c r="R147" s="957"/>
      <c r="S147" s="957"/>
      <c r="T147" s="957"/>
    </row>
    <row r="148" spans="1:20" s="953" customFormat="1">
      <c r="A148" s="955" t="s">
        <v>1718</v>
      </c>
      <c r="B148" s="955"/>
      <c r="C148" s="960">
        <v>4.0599999999999996</v>
      </c>
      <c r="D148" s="954">
        <v>3.47</v>
      </c>
      <c r="E148" s="954">
        <v>3.75</v>
      </c>
      <c r="F148" s="954">
        <v>3.65</v>
      </c>
      <c r="G148" s="954">
        <v>4.3</v>
      </c>
      <c r="H148" s="954">
        <v>3.84</v>
      </c>
      <c r="I148" s="954">
        <v>4.9800000000000004</v>
      </c>
      <c r="J148" s="954">
        <v>4.55</v>
      </c>
      <c r="K148" s="954">
        <v>2.09</v>
      </c>
      <c r="L148" s="957"/>
      <c r="M148" s="957"/>
      <c r="N148" s="957"/>
      <c r="O148" s="957"/>
      <c r="P148" s="957"/>
      <c r="Q148" s="957"/>
      <c r="R148" s="957"/>
      <c r="S148" s="957"/>
      <c r="T148" s="957"/>
    </row>
    <row r="149" spans="1:20" s="953" customFormat="1">
      <c r="A149" s="955" t="s">
        <v>1719</v>
      </c>
      <c r="B149" s="955"/>
      <c r="C149" s="960">
        <v>4.34</v>
      </c>
      <c r="D149" s="954">
        <v>3.66</v>
      </c>
      <c r="E149" s="954">
        <v>4.0199999999999996</v>
      </c>
      <c r="F149" s="954">
        <v>3.92</v>
      </c>
      <c r="G149" s="954">
        <v>4.57</v>
      </c>
      <c r="H149" s="954">
        <v>4.08</v>
      </c>
      <c r="I149" s="954">
        <v>5.34</v>
      </c>
      <c r="J149" s="954">
        <v>4.8499999999999996</v>
      </c>
      <c r="K149" s="954">
        <v>2.36</v>
      </c>
      <c r="L149" s="957"/>
      <c r="M149" s="957"/>
      <c r="N149" s="957"/>
      <c r="O149" s="957"/>
      <c r="P149" s="957"/>
      <c r="Q149" s="957"/>
      <c r="R149" s="957"/>
      <c r="S149" s="957"/>
      <c r="T149" s="957"/>
    </row>
    <row r="150" spans="1:20" s="953" customFormat="1">
      <c r="A150" s="955" t="s">
        <v>1720</v>
      </c>
      <c r="B150" s="955"/>
      <c r="C150" s="960">
        <v>4.63</v>
      </c>
      <c r="D150" s="954">
        <v>3.93</v>
      </c>
      <c r="E150" s="954">
        <v>4.32</v>
      </c>
      <c r="F150" s="954">
        <v>4.1399999999999997</v>
      </c>
      <c r="G150" s="954">
        <v>4.93</v>
      </c>
      <c r="H150" s="954">
        <v>4.34</v>
      </c>
      <c r="I150" s="954">
        <v>5.67</v>
      </c>
      <c r="J150" s="954">
        <v>5.15</v>
      </c>
      <c r="K150" s="954">
        <v>2.52</v>
      </c>
      <c r="L150" s="957"/>
      <c r="M150" s="957"/>
      <c r="N150" s="957"/>
      <c r="O150" s="957"/>
      <c r="P150" s="957"/>
      <c r="Q150" s="957"/>
      <c r="R150" s="957"/>
      <c r="S150" s="957"/>
      <c r="T150" s="957"/>
    </row>
    <row r="151" spans="1:20" s="953" customFormat="1">
      <c r="A151" s="955" t="s">
        <v>1721</v>
      </c>
      <c r="B151" s="955"/>
      <c r="C151" s="960">
        <v>5.07</v>
      </c>
      <c r="D151" s="954">
        <v>4.3099999999999996</v>
      </c>
      <c r="E151" s="954">
        <v>4.75</v>
      </c>
      <c r="F151" s="954">
        <v>4.51</v>
      </c>
      <c r="G151" s="954">
        <v>5.4</v>
      </c>
      <c r="H151" s="954">
        <v>4.75</v>
      </c>
      <c r="I151" s="954">
        <v>6.14</v>
      </c>
      <c r="J151" s="954">
        <v>5.73</v>
      </c>
      <c r="K151" s="954">
        <v>2.77</v>
      </c>
      <c r="L151" s="957"/>
      <c r="M151" s="957"/>
      <c r="N151" s="957"/>
      <c r="O151" s="957"/>
      <c r="P151" s="957"/>
      <c r="Q151" s="957"/>
      <c r="R151" s="957"/>
      <c r="S151" s="957"/>
      <c r="T151" s="957"/>
    </row>
    <row r="152" spans="1:20" s="953" customFormat="1">
      <c r="A152" s="955" t="s">
        <v>1722</v>
      </c>
      <c r="B152" s="955"/>
      <c r="C152" s="960">
        <v>5.14</v>
      </c>
      <c r="D152" s="954">
        <v>4.45</v>
      </c>
      <c r="E152" s="954">
        <v>4.83</v>
      </c>
      <c r="F152" s="954">
        <v>4.53</v>
      </c>
      <c r="G152" s="954">
        <v>5.47</v>
      </c>
      <c r="H152" s="954">
        <v>4.8099999999999996</v>
      </c>
      <c r="I152" s="954">
        <v>6.15</v>
      </c>
      <c r="J152" s="954">
        <v>5.86</v>
      </c>
      <c r="K152" s="954">
        <v>2.68</v>
      </c>
      <c r="L152" s="957"/>
      <c r="M152" s="957"/>
      <c r="N152" s="957"/>
      <c r="O152" s="957"/>
      <c r="P152" s="957"/>
      <c r="Q152" s="957"/>
      <c r="R152" s="957"/>
      <c r="S152" s="957"/>
      <c r="T152" s="957"/>
    </row>
    <row r="153" spans="1:20" s="953" customFormat="1">
      <c r="A153" s="955" t="s">
        <v>1723</v>
      </c>
      <c r="B153" s="955"/>
      <c r="C153" s="960">
        <v>5.38</v>
      </c>
      <c r="D153" s="954">
        <v>4.67</v>
      </c>
      <c r="E153" s="954">
        <v>5.0999999999999996</v>
      </c>
      <c r="F153" s="954">
        <v>4.75</v>
      </c>
      <c r="G153" s="954">
        <v>5.71</v>
      </c>
      <c r="H153" s="954">
        <v>5.12</v>
      </c>
      <c r="I153" s="954">
        <v>6.38</v>
      </c>
      <c r="J153" s="954">
        <v>6.1</v>
      </c>
      <c r="K153" s="954">
        <v>2.89</v>
      </c>
      <c r="L153" s="957"/>
      <c r="M153" s="957"/>
      <c r="N153" s="957"/>
      <c r="O153" s="957"/>
      <c r="P153" s="957"/>
      <c r="Q153" s="957"/>
      <c r="R153" s="957"/>
      <c r="S153" s="957"/>
      <c r="T153" s="957"/>
    </row>
    <row r="154" spans="1:20" s="953" customFormat="1">
      <c r="A154" s="955" t="s">
        <v>1724</v>
      </c>
      <c r="B154" s="955"/>
      <c r="C154" s="960">
        <v>5.66</v>
      </c>
      <c r="D154" s="954">
        <v>4.8899999999999997</v>
      </c>
      <c r="E154" s="954">
        <v>5.46</v>
      </c>
      <c r="F154" s="954">
        <v>5.14</v>
      </c>
      <c r="G154" s="954">
        <v>5.96</v>
      </c>
      <c r="H154" s="954">
        <v>5.54</v>
      </c>
      <c r="I154" s="954">
        <v>6.68</v>
      </c>
      <c r="J154" s="954">
        <v>6.34</v>
      </c>
      <c r="K154" s="954">
        <v>3.05</v>
      </c>
      <c r="L154" s="957"/>
      <c r="M154" s="957"/>
      <c r="N154" s="957"/>
      <c r="O154" s="957"/>
      <c r="P154" s="957"/>
      <c r="Q154" s="957"/>
      <c r="R154" s="957"/>
      <c r="S154" s="957"/>
      <c r="T154" s="957"/>
    </row>
    <row r="155" spans="1:20" s="953" customFormat="1">
      <c r="A155" s="955" t="s">
        <v>1725</v>
      </c>
      <c r="B155" s="955"/>
      <c r="C155" s="960">
        <v>5.59</v>
      </c>
      <c r="D155" s="954">
        <v>4.82</v>
      </c>
      <c r="E155" s="954">
        <v>5.45</v>
      </c>
      <c r="F155" s="954">
        <v>5.08</v>
      </c>
      <c r="G155" s="954">
        <v>5.88</v>
      </c>
      <c r="H155" s="954">
        <v>5.5</v>
      </c>
      <c r="I155" s="954">
        <v>6.64</v>
      </c>
      <c r="J155" s="954">
        <v>6.22</v>
      </c>
      <c r="K155" s="954">
        <v>3.03</v>
      </c>
      <c r="L155" s="957"/>
      <c r="M155" s="957"/>
      <c r="N155" s="957"/>
      <c r="O155" s="957"/>
      <c r="P155" s="957"/>
      <c r="Q155" s="957"/>
      <c r="R155" s="957"/>
      <c r="S155" s="957"/>
      <c r="T155" s="957"/>
    </row>
    <row r="156" spans="1:20" s="953" customFormat="1">
      <c r="A156" s="955" t="s">
        <v>1726</v>
      </c>
      <c r="B156" s="955"/>
      <c r="C156" s="960">
        <v>6.17</v>
      </c>
      <c r="D156" s="954">
        <v>6.12</v>
      </c>
      <c r="E156" s="954">
        <v>5.67</v>
      </c>
      <c r="F156" s="954">
        <v>5.48</v>
      </c>
      <c r="G156" s="954">
        <v>6.35</v>
      </c>
      <c r="H156" s="954">
        <v>5.95</v>
      </c>
      <c r="I156" s="954">
        <v>7.3</v>
      </c>
      <c r="J156" s="954">
        <v>6.63</v>
      </c>
      <c r="K156" s="954">
        <v>3.2</v>
      </c>
      <c r="L156" s="957"/>
      <c r="M156" s="957"/>
      <c r="N156" s="957"/>
      <c r="O156" s="957"/>
      <c r="P156" s="957"/>
      <c r="Q156" s="957"/>
      <c r="R156" s="957"/>
      <c r="S156" s="957"/>
      <c r="T156" s="957"/>
    </row>
    <row r="157" spans="1:20" s="953" customFormat="1">
      <c r="A157" s="955" t="s">
        <v>1727</v>
      </c>
      <c r="B157" s="955"/>
      <c r="C157" s="960">
        <v>6.69</v>
      </c>
      <c r="D157" s="954">
        <v>6.04</v>
      </c>
      <c r="E157" s="954">
        <v>5.97</v>
      </c>
      <c r="F157" s="954">
        <v>5.87</v>
      </c>
      <c r="G157" s="954">
        <v>7.06</v>
      </c>
      <c r="H157" s="954">
        <v>6.45</v>
      </c>
      <c r="I157" s="954">
        <v>7.9</v>
      </c>
      <c r="J157" s="954">
        <v>7.83</v>
      </c>
      <c r="K157" s="954">
        <v>3.33</v>
      </c>
      <c r="L157" s="957"/>
      <c r="M157" s="957"/>
      <c r="N157" s="957"/>
      <c r="O157" s="957"/>
      <c r="P157" s="957"/>
      <c r="Q157" s="957"/>
      <c r="R157" s="957"/>
      <c r="S157" s="957"/>
      <c r="T157" s="957"/>
    </row>
    <row r="158" spans="1:20" s="953" customFormat="1">
      <c r="A158" s="955" t="s">
        <v>1728</v>
      </c>
      <c r="B158" s="955"/>
      <c r="C158" s="960">
        <v>5.61</v>
      </c>
      <c r="D158" s="954">
        <v>4.91</v>
      </c>
      <c r="E158" s="954">
        <v>5.63</v>
      </c>
      <c r="F158" s="954">
        <v>5.36</v>
      </c>
      <c r="G158" s="954">
        <v>5.9</v>
      </c>
      <c r="H158" s="954">
        <v>5.62</v>
      </c>
      <c r="I158" s="954">
        <v>6.32</v>
      </c>
      <c r="J158" s="954">
        <v>6.13</v>
      </c>
      <c r="K158" s="954">
        <v>2.94</v>
      </c>
      <c r="L158" s="957"/>
      <c r="M158" s="957"/>
      <c r="N158" s="957"/>
      <c r="O158" s="957"/>
      <c r="P158" s="957"/>
      <c r="Q158" s="957"/>
      <c r="R158" s="957"/>
      <c r="S158" s="957"/>
      <c r="T158" s="957"/>
    </row>
    <row r="159" spans="1:20" s="953" customFormat="1">
      <c r="A159" s="955" t="s">
        <v>1126</v>
      </c>
      <c r="B159" s="955"/>
      <c r="C159" s="960">
        <v>6.02</v>
      </c>
      <c r="D159" s="954">
        <v>5.16</v>
      </c>
      <c r="E159" s="954">
        <v>6.53</v>
      </c>
      <c r="F159" s="954">
        <v>5.92</v>
      </c>
      <c r="G159" s="954">
        <v>6.16</v>
      </c>
      <c r="H159" s="954">
        <v>6.29</v>
      </c>
      <c r="I159" s="954">
        <v>6.62</v>
      </c>
      <c r="J159" s="954">
        <v>6.44</v>
      </c>
      <c r="K159" s="954">
        <v>3.17</v>
      </c>
      <c r="L159" s="957"/>
      <c r="M159" s="957"/>
      <c r="N159" s="957"/>
      <c r="O159" s="957"/>
      <c r="P159" s="957"/>
      <c r="Q159" s="957"/>
      <c r="R159" s="957"/>
      <c r="S159" s="957"/>
      <c r="T159" s="957"/>
    </row>
    <row r="160" spans="1:20" s="953" customFormat="1">
      <c r="A160" s="955" t="s">
        <v>1729</v>
      </c>
      <c r="B160" s="955"/>
      <c r="C160" s="960">
        <v>5.77</v>
      </c>
      <c r="D160" s="954">
        <v>4.82</v>
      </c>
      <c r="E160" s="954">
        <v>6.05</v>
      </c>
      <c r="F160" s="954">
        <v>5.42</v>
      </c>
      <c r="G160" s="954">
        <v>6.08</v>
      </c>
      <c r="H160" s="954">
        <v>5.73</v>
      </c>
      <c r="I160" s="954">
        <v>6.52</v>
      </c>
      <c r="J160" s="954">
        <v>6.49</v>
      </c>
      <c r="K160" s="954">
        <v>2.97</v>
      </c>
      <c r="L160" s="957"/>
      <c r="M160" s="957"/>
      <c r="N160" s="957"/>
      <c r="O160" s="957"/>
      <c r="P160" s="957"/>
      <c r="Q160" s="957"/>
      <c r="R160" s="957"/>
      <c r="S160" s="957"/>
      <c r="T160" s="957"/>
    </row>
    <row r="161" spans="1:20" s="953" customFormat="1">
      <c r="A161" s="955" t="s">
        <v>1730</v>
      </c>
      <c r="B161" s="955"/>
      <c r="C161" s="960">
        <v>4.9000000000000004</v>
      </c>
      <c r="D161" s="954">
        <v>4.26</v>
      </c>
      <c r="E161" s="954">
        <v>4.7699999999999996</v>
      </c>
      <c r="F161" s="954">
        <v>4.37</v>
      </c>
      <c r="G161" s="954">
        <v>5.21</v>
      </c>
      <c r="H161" s="954">
        <v>4.6500000000000004</v>
      </c>
      <c r="I161" s="954">
        <v>5.84</v>
      </c>
      <c r="J161" s="954">
        <v>5.52</v>
      </c>
      <c r="K161" s="954">
        <v>2.5299999999999998</v>
      </c>
      <c r="L161" s="957"/>
      <c r="M161" s="957"/>
      <c r="N161" s="957"/>
      <c r="O161" s="957"/>
      <c r="P161" s="957"/>
      <c r="Q161" s="957"/>
      <c r="R161" s="957"/>
      <c r="S161" s="957"/>
      <c r="T161" s="957"/>
    </row>
    <row r="162" spans="1:20" s="953" customFormat="1">
      <c r="A162" s="955" t="s">
        <v>1125</v>
      </c>
      <c r="B162" s="955"/>
      <c r="C162" s="960">
        <v>5.22</v>
      </c>
      <c r="D162" s="954">
        <v>4.59</v>
      </c>
      <c r="E162" s="954">
        <v>5.18</v>
      </c>
      <c r="F162" s="954">
        <v>4.7699999999999996</v>
      </c>
      <c r="G162" s="954">
        <v>5.53</v>
      </c>
      <c r="H162" s="954">
        <v>5.07</v>
      </c>
      <c r="I162" s="954">
        <v>5.99</v>
      </c>
      <c r="J162" s="954">
        <v>5.78</v>
      </c>
      <c r="K162" s="954">
        <v>2.78</v>
      </c>
      <c r="L162" s="957"/>
      <c r="M162" s="957"/>
      <c r="N162" s="957"/>
      <c r="O162" s="957"/>
      <c r="P162" s="957"/>
      <c r="Q162" s="957"/>
      <c r="R162" s="957"/>
      <c r="S162" s="957"/>
      <c r="T162" s="957"/>
    </row>
    <row r="163" spans="1:20" s="953" customFormat="1">
      <c r="A163" s="955" t="s">
        <v>1731</v>
      </c>
      <c r="B163" s="955"/>
      <c r="C163" s="960">
        <v>6.05</v>
      </c>
      <c r="D163" s="954">
        <v>5.34</v>
      </c>
      <c r="E163" s="954">
        <v>6.23</v>
      </c>
      <c r="F163" s="954">
        <v>5.62</v>
      </c>
      <c r="G163" s="954">
        <v>6.42</v>
      </c>
      <c r="H163" s="954">
        <v>5.97</v>
      </c>
      <c r="I163" s="954">
        <v>6.82</v>
      </c>
      <c r="J163" s="954">
        <v>6.56</v>
      </c>
      <c r="K163" s="954">
        <v>3.15</v>
      </c>
      <c r="L163" s="957"/>
      <c r="M163" s="957"/>
      <c r="N163" s="957"/>
      <c r="O163" s="957"/>
      <c r="P163" s="957"/>
      <c r="Q163" s="957"/>
      <c r="R163" s="957"/>
      <c r="S163" s="957"/>
      <c r="T163" s="957"/>
    </row>
    <row r="164" spans="1:20" s="953" customFormat="1">
      <c r="A164" s="955" t="s">
        <v>1732</v>
      </c>
      <c r="B164" s="955"/>
      <c r="C164" s="960">
        <v>5.01</v>
      </c>
      <c r="D164" s="954">
        <v>4.38</v>
      </c>
      <c r="E164" s="954">
        <v>4.8899999999999997</v>
      </c>
      <c r="F164" s="954">
        <v>4.4400000000000004</v>
      </c>
      <c r="G164" s="954">
        <v>5.4</v>
      </c>
      <c r="H164" s="954">
        <v>4.72</v>
      </c>
      <c r="I164" s="954">
        <v>5.91</v>
      </c>
      <c r="J164" s="954">
        <v>5.58</v>
      </c>
      <c r="K164" s="954">
        <v>2.7</v>
      </c>
      <c r="L164" s="957"/>
      <c r="M164" s="957"/>
      <c r="N164" s="957"/>
      <c r="O164" s="957"/>
      <c r="P164" s="957"/>
      <c r="Q164" s="957"/>
      <c r="R164" s="957"/>
      <c r="S164" s="957"/>
      <c r="T164" s="957"/>
    </row>
    <row r="165" spans="1:20" s="953" customFormat="1">
      <c r="A165" s="955" t="s">
        <v>1733</v>
      </c>
      <c r="B165" s="955"/>
      <c r="C165" s="960">
        <v>5.01</v>
      </c>
      <c r="D165" s="954">
        <v>4.3499999999999996</v>
      </c>
      <c r="E165" s="954">
        <v>4.93</v>
      </c>
      <c r="F165" s="954">
        <v>4.57</v>
      </c>
      <c r="G165" s="954">
        <v>5.4</v>
      </c>
      <c r="H165" s="954">
        <v>4.76</v>
      </c>
      <c r="I165" s="954">
        <v>5.84</v>
      </c>
      <c r="J165" s="954">
        <v>5.55</v>
      </c>
      <c r="K165" s="954">
        <v>2.72</v>
      </c>
      <c r="L165" s="957"/>
      <c r="M165" s="957"/>
      <c r="N165" s="957"/>
      <c r="O165" s="957"/>
      <c r="P165" s="957"/>
      <c r="Q165" s="957"/>
      <c r="R165" s="957"/>
      <c r="S165" s="957"/>
      <c r="T165" s="957"/>
    </row>
    <row r="166" spans="1:20" s="953" customFormat="1">
      <c r="A166" s="955" t="s">
        <v>1168</v>
      </c>
      <c r="B166" s="955"/>
      <c r="C166" s="960">
        <v>5.6</v>
      </c>
      <c r="D166" s="954">
        <v>4.7699999999999996</v>
      </c>
      <c r="E166" s="954">
        <v>5.62</v>
      </c>
      <c r="F166" s="954">
        <v>5.16</v>
      </c>
      <c r="G166" s="954">
        <v>6.05</v>
      </c>
      <c r="H166" s="954">
        <v>5.52</v>
      </c>
      <c r="I166" s="954">
        <v>6.45</v>
      </c>
      <c r="J166" s="954">
        <v>6.1</v>
      </c>
      <c r="K166" s="954">
        <v>3.16</v>
      </c>
      <c r="L166" s="957"/>
      <c r="M166" s="957"/>
      <c r="N166" s="957"/>
      <c r="O166" s="957"/>
      <c r="P166" s="957"/>
      <c r="Q166" s="957"/>
      <c r="R166" s="957"/>
      <c r="S166" s="957"/>
      <c r="T166" s="957"/>
    </row>
    <row r="167" spans="1:20" s="953" customFormat="1">
      <c r="A167" s="955" t="s">
        <v>1734</v>
      </c>
      <c r="B167" s="955"/>
      <c r="C167" s="960">
        <v>5.44</v>
      </c>
      <c r="D167" s="954">
        <v>4.78</v>
      </c>
      <c r="E167" s="954">
        <v>5.28</v>
      </c>
      <c r="F167" s="954">
        <v>4.8600000000000003</v>
      </c>
      <c r="G167" s="954">
        <v>5.8</v>
      </c>
      <c r="H167" s="954">
        <v>5.17</v>
      </c>
      <c r="I167" s="954">
        <v>6.43</v>
      </c>
      <c r="J167" s="954">
        <v>6.04</v>
      </c>
      <c r="K167" s="954">
        <v>3.15</v>
      </c>
      <c r="L167" s="957"/>
      <c r="M167" s="957"/>
      <c r="N167" s="957"/>
      <c r="O167" s="957"/>
      <c r="P167" s="957"/>
      <c r="Q167" s="957"/>
      <c r="R167" s="957"/>
      <c r="S167" s="957"/>
      <c r="T167" s="957"/>
    </row>
    <row r="168" spans="1:20" s="953" customFormat="1">
      <c r="A168" s="955" t="s">
        <v>1735</v>
      </c>
      <c r="B168" s="955"/>
      <c r="C168" s="960">
        <v>6.28</v>
      </c>
      <c r="D168" s="954">
        <v>5.4</v>
      </c>
      <c r="E168" s="954">
        <v>6.45</v>
      </c>
      <c r="F168" s="954">
        <v>5.77</v>
      </c>
      <c r="G168" s="954">
        <v>6.63</v>
      </c>
      <c r="H168" s="954">
        <v>6.07</v>
      </c>
      <c r="I168" s="954">
        <v>7.43</v>
      </c>
      <c r="J168" s="954">
        <v>6.8</v>
      </c>
      <c r="K168" s="954">
        <v>3.36</v>
      </c>
      <c r="L168" s="957"/>
      <c r="M168" s="957"/>
      <c r="N168" s="957"/>
      <c r="O168" s="957"/>
      <c r="P168" s="957"/>
      <c r="Q168" s="957"/>
      <c r="R168" s="957"/>
      <c r="S168" s="957"/>
      <c r="T168" s="957"/>
    </row>
    <row r="169" spans="1:20" s="953" customFormat="1">
      <c r="A169" s="955" t="s">
        <v>1736</v>
      </c>
      <c r="B169" s="955"/>
      <c r="C169" s="960">
        <v>5.32</v>
      </c>
      <c r="D169" s="954">
        <v>4.4400000000000004</v>
      </c>
      <c r="E169" s="954">
        <v>5.24</v>
      </c>
      <c r="F169" s="954">
        <v>4.78</v>
      </c>
      <c r="G169" s="954">
        <v>5.68</v>
      </c>
      <c r="H169" s="954">
        <v>5.12</v>
      </c>
      <c r="I169" s="954">
        <v>6.41</v>
      </c>
      <c r="J169" s="954">
        <v>5.95</v>
      </c>
      <c r="K169" s="954">
        <v>2.98</v>
      </c>
      <c r="L169" s="957"/>
      <c r="M169" s="957"/>
      <c r="N169" s="957"/>
      <c r="O169" s="957"/>
      <c r="P169" s="957"/>
      <c r="Q169" s="957"/>
      <c r="R169" s="957"/>
      <c r="S169" s="957"/>
      <c r="T169" s="957"/>
    </row>
    <row r="170" spans="1:20" s="953" customFormat="1">
      <c r="A170" s="955" t="s">
        <v>1737</v>
      </c>
      <c r="B170" s="955"/>
      <c r="C170" s="960">
        <v>5</v>
      </c>
      <c r="D170" s="954">
        <v>4.4000000000000004</v>
      </c>
      <c r="E170" s="954">
        <v>4.9000000000000004</v>
      </c>
      <c r="F170" s="954">
        <v>4.54</v>
      </c>
      <c r="G170" s="954">
        <v>5.35</v>
      </c>
      <c r="H170" s="954">
        <v>4.8899999999999997</v>
      </c>
      <c r="I170" s="954">
        <v>5.73</v>
      </c>
      <c r="J170" s="954">
        <v>5.47</v>
      </c>
      <c r="K170" s="954">
        <v>2.85</v>
      </c>
      <c r="L170" s="957"/>
      <c r="M170" s="957"/>
      <c r="N170" s="957"/>
      <c r="O170" s="957"/>
      <c r="P170" s="957"/>
      <c r="Q170" s="957"/>
      <c r="R170" s="957"/>
      <c r="S170" s="957"/>
      <c r="T170" s="957"/>
    </row>
    <row r="171" spans="1:20" s="953" customFormat="1">
      <c r="A171" s="955" t="s">
        <v>1738</v>
      </c>
      <c r="B171" s="955"/>
      <c r="C171" s="960">
        <v>4.9400000000000004</v>
      </c>
      <c r="D171" s="954">
        <v>4.28</v>
      </c>
      <c r="E171" s="954">
        <v>4.88</v>
      </c>
      <c r="F171" s="954">
        <v>4.5</v>
      </c>
      <c r="G171" s="954">
        <v>5.3</v>
      </c>
      <c r="H171" s="954">
        <v>4.84</v>
      </c>
      <c r="I171" s="954">
        <v>5.74</v>
      </c>
      <c r="J171" s="954">
        <v>5.4</v>
      </c>
      <c r="K171" s="954">
        <v>2.92</v>
      </c>
      <c r="L171" s="957"/>
      <c r="M171" s="957"/>
      <c r="N171" s="957"/>
      <c r="O171" s="957"/>
      <c r="P171" s="957"/>
      <c r="Q171" s="957"/>
      <c r="R171" s="957"/>
      <c r="S171" s="957"/>
      <c r="T171" s="957"/>
    </row>
    <row r="172" spans="1:20" s="953" customFormat="1">
      <c r="A172" s="955" t="s">
        <v>1739</v>
      </c>
      <c r="B172" s="955"/>
      <c r="C172" s="960">
        <v>4.51</v>
      </c>
      <c r="D172" s="954">
        <v>3.82</v>
      </c>
      <c r="E172" s="954">
        <v>4.33</v>
      </c>
      <c r="F172" s="954">
        <v>4</v>
      </c>
      <c r="G172" s="954">
        <v>4.88</v>
      </c>
      <c r="H172" s="954">
        <v>4.32</v>
      </c>
      <c r="I172" s="954">
        <v>5.35</v>
      </c>
      <c r="J172" s="954">
        <v>5.05</v>
      </c>
      <c r="K172" s="954">
        <v>2.63</v>
      </c>
      <c r="L172" s="957"/>
      <c r="M172" s="957"/>
      <c r="N172" s="957"/>
      <c r="O172" s="957"/>
      <c r="P172" s="957"/>
      <c r="Q172" s="957"/>
      <c r="R172" s="957"/>
      <c r="S172" s="957"/>
      <c r="T172" s="957"/>
    </row>
    <row r="173" spans="1:20" s="953" customFormat="1">
      <c r="A173" s="961" t="s">
        <v>1740</v>
      </c>
      <c r="B173" s="961"/>
      <c r="C173" s="962">
        <v>4.46</v>
      </c>
      <c r="D173" s="963">
        <v>3.9</v>
      </c>
      <c r="E173" s="963">
        <v>4.3600000000000003</v>
      </c>
      <c r="F173" s="963">
        <v>3.99</v>
      </c>
      <c r="G173" s="963">
        <v>4.8099999999999996</v>
      </c>
      <c r="H173" s="963">
        <v>4.22</v>
      </c>
      <c r="I173" s="963">
        <v>5.24</v>
      </c>
      <c r="J173" s="963">
        <v>4.91</v>
      </c>
      <c r="K173" s="963">
        <v>2.66</v>
      </c>
      <c r="L173" s="954"/>
    </row>
    <row r="174" spans="1:20" s="953" customFormat="1">
      <c r="A174" s="955"/>
      <c r="B174" s="955"/>
      <c r="C174" s="964"/>
      <c r="D174" s="965"/>
      <c r="E174" s="965"/>
      <c r="F174" s="965"/>
      <c r="G174" s="965"/>
      <c r="H174" s="965"/>
      <c r="I174" s="965"/>
      <c r="J174" s="965"/>
      <c r="K174" s="965"/>
      <c r="L174" s="954"/>
    </row>
    <row r="175" spans="1:20" s="953" customFormat="1">
      <c r="C175" s="966"/>
      <c r="D175" s="967"/>
      <c r="E175" s="967"/>
      <c r="F175" s="967"/>
      <c r="G175" s="967"/>
      <c r="H175" s="967"/>
      <c r="I175" s="967"/>
      <c r="J175" s="967"/>
      <c r="K175" s="967"/>
      <c r="L175" s="954"/>
    </row>
    <row r="176" spans="1:20" s="953" customFormat="1">
      <c r="C176" s="966"/>
      <c r="D176" s="967"/>
      <c r="E176" s="967"/>
      <c r="F176" s="967"/>
      <c r="G176" s="967"/>
      <c r="H176" s="967"/>
      <c r="I176" s="967"/>
      <c r="J176" s="967"/>
      <c r="K176" s="967"/>
      <c r="L176" s="954"/>
    </row>
    <row r="177" spans="3:12" s="953" customFormat="1">
      <c r="C177" s="966"/>
      <c r="D177" s="967"/>
      <c r="E177" s="967"/>
      <c r="F177" s="967"/>
      <c r="G177" s="967"/>
      <c r="H177" s="967"/>
      <c r="I177" s="967"/>
      <c r="J177" s="967"/>
      <c r="K177" s="967"/>
      <c r="L177" s="954"/>
    </row>
    <row r="178" spans="3:12" s="968" customFormat="1">
      <c r="C178" s="969"/>
      <c r="L178" s="970"/>
    </row>
    <row r="179" spans="3:12" s="953" customFormat="1">
      <c r="C179" s="948"/>
      <c r="L179" s="954"/>
    </row>
    <row r="180" spans="3:12" s="953" customFormat="1">
      <c r="C180" s="948"/>
      <c r="L180" s="954"/>
    </row>
    <row r="184" spans="3:12">
      <c r="C184" s="971"/>
      <c r="D184" s="972"/>
      <c r="E184" s="972"/>
      <c r="F184" s="972"/>
      <c r="G184" s="972"/>
      <c r="H184" s="972"/>
      <c r="I184" s="972"/>
      <c r="J184" s="972"/>
      <c r="K184" s="972"/>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B700-9314-41A6-A2FB-EA17C0CD2AAE}">
  <dimension ref="A1:AP136"/>
  <sheetViews>
    <sheetView topLeftCell="A102" workbookViewId="0">
      <selection activeCell="N8" sqref="N8"/>
    </sheetView>
  </sheetViews>
  <sheetFormatPr defaultColWidth="9.54296875" defaultRowHeight="15.5"/>
  <cols>
    <col min="1" max="1" width="10.1796875" style="755" customWidth="1"/>
    <col min="2" max="2" width="7.54296875" style="755" bestFit="1" customWidth="1"/>
    <col min="3" max="5" width="11.81640625" style="755" customWidth="1"/>
    <col min="6" max="7" width="15.54296875" style="755" customWidth="1"/>
    <col min="8" max="8" width="11.81640625" style="755" customWidth="1"/>
    <col min="9" max="12" width="11.81640625" style="754" customWidth="1"/>
    <col min="13" max="14" width="15.54296875" style="754" customWidth="1"/>
    <col min="15" max="16" width="11.81640625" style="754" customWidth="1"/>
    <col min="17" max="17" width="12.81640625" style="754" customWidth="1"/>
    <col min="18" max="18" width="10.453125" style="754" bestFit="1" customWidth="1"/>
    <col min="19" max="19" width="11.54296875" style="754" bestFit="1" customWidth="1"/>
    <col min="20" max="42" width="9.54296875" style="754"/>
    <col min="43" max="16384" width="9.54296875" style="755"/>
  </cols>
  <sheetData>
    <row r="1" spans="1:24" ht="33.75" customHeight="1" thickBot="1">
      <c r="A1" s="748" t="s">
        <v>598</v>
      </c>
      <c r="B1" s="749"/>
      <c r="C1" s="749"/>
      <c r="D1" s="749"/>
      <c r="E1" s="749"/>
      <c r="F1" s="749"/>
      <c r="G1" s="749"/>
      <c r="H1" s="749"/>
      <c r="I1" s="750"/>
      <c r="J1" s="751"/>
      <c r="K1" s="752"/>
      <c r="L1" s="752"/>
      <c r="M1" s="752"/>
      <c r="N1" s="752"/>
      <c r="O1" s="753"/>
      <c r="P1" s="753"/>
    </row>
    <row r="2" spans="1:24" ht="19" thickBot="1">
      <c r="A2" s="756"/>
      <c r="B2" s="1818" t="s">
        <v>1403</v>
      </c>
      <c r="C2" s="1819"/>
      <c r="D2" s="1819"/>
      <c r="E2" s="1819"/>
      <c r="F2" s="1819"/>
      <c r="G2" s="1819"/>
      <c r="H2" s="1819"/>
      <c r="I2" s="1819"/>
      <c r="J2" s="1819"/>
      <c r="K2" s="1819"/>
      <c r="L2" s="1819"/>
      <c r="M2" s="1819"/>
      <c r="N2" s="1819"/>
      <c r="O2" s="1819"/>
      <c r="P2" s="1820"/>
    </row>
    <row r="3" spans="1:24">
      <c r="A3" s="756"/>
      <c r="B3" s="757"/>
      <c r="C3" s="1821" t="s">
        <v>1404</v>
      </c>
      <c r="D3" s="1821"/>
      <c r="E3" s="1821"/>
      <c r="F3" s="1821"/>
      <c r="G3" s="1821"/>
      <c r="H3" s="1821"/>
      <c r="I3" s="1822"/>
      <c r="J3" s="758" t="s">
        <v>1405</v>
      </c>
      <c r="K3" s="758" t="s">
        <v>1405</v>
      </c>
      <c r="L3" s="758" t="s">
        <v>1406</v>
      </c>
      <c r="M3" s="758" t="s">
        <v>1405</v>
      </c>
      <c r="N3" s="758" t="s">
        <v>1407</v>
      </c>
      <c r="O3" s="758" t="s">
        <v>1408</v>
      </c>
      <c r="P3" s="759" t="s">
        <v>1408</v>
      </c>
    </row>
    <row r="4" spans="1:24" ht="48.75" customHeight="1" thickBot="1">
      <c r="A4" s="756"/>
      <c r="B4" s="757"/>
      <c r="C4" s="1740" t="s">
        <v>1409</v>
      </c>
      <c r="D4" s="1740" t="s">
        <v>1410</v>
      </c>
      <c r="E4" s="1740" t="s">
        <v>1411</v>
      </c>
      <c r="F4" s="760" t="s">
        <v>1412</v>
      </c>
      <c r="G4" s="760" t="s">
        <v>1413</v>
      </c>
      <c r="H4" s="761" t="s">
        <v>1414</v>
      </c>
      <c r="I4" s="762" t="s">
        <v>226</v>
      </c>
      <c r="J4" s="763" t="s">
        <v>1409</v>
      </c>
      <c r="K4" s="763" t="s">
        <v>1410</v>
      </c>
      <c r="L4" s="763" t="s">
        <v>1411</v>
      </c>
      <c r="M4" s="760" t="s">
        <v>1412</v>
      </c>
      <c r="N4" s="760" t="s">
        <v>1413</v>
      </c>
      <c r="O4" s="763" t="s">
        <v>1414</v>
      </c>
      <c r="P4" s="764" t="s">
        <v>226</v>
      </c>
    </row>
    <row r="5" spans="1:24" ht="16" thickBot="1">
      <c r="A5" s="756"/>
      <c r="B5" s="765" t="s">
        <v>1415</v>
      </c>
      <c r="C5" s="766">
        <v>3.9901477832512189</v>
      </c>
      <c r="D5" s="766">
        <v>3.4989858012170361</v>
      </c>
      <c r="E5" s="766">
        <v>2.3757201646090742</v>
      </c>
      <c r="F5" s="766">
        <v>11.749539594843462</v>
      </c>
      <c r="G5" s="767">
        <v>3.2925821906492514</v>
      </c>
      <c r="H5" s="766">
        <v>3.7982602526467124</v>
      </c>
      <c r="I5" s="768">
        <v>2.6448362720402852</v>
      </c>
      <c r="J5" s="766">
        <v>211.1</v>
      </c>
      <c r="K5" s="766">
        <v>204.1</v>
      </c>
      <c r="L5" s="766">
        <v>82.924333333333351</v>
      </c>
      <c r="M5" s="766">
        <v>404.5333333333333</v>
      </c>
      <c r="N5" s="766">
        <v>83.36399999999999</v>
      </c>
      <c r="O5" s="766">
        <v>83.098883851846082</v>
      </c>
      <c r="P5" s="768">
        <v>81.5</v>
      </c>
      <c r="R5" s="769"/>
    </row>
    <row r="6" spans="1:24" ht="16" thickBot="1">
      <c r="A6" s="756"/>
      <c r="B6" s="770" t="s">
        <v>1416</v>
      </c>
      <c r="C6" s="766">
        <v>4.3625787687833428</v>
      </c>
      <c r="D6" s="766">
        <v>4.3833333333333169</v>
      </c>
      <c r="E6" s="766">
        <v>3.4197229013855024</v>
      </c>
      <c r="F6" s="766">
        <v>4.1721795889565483</v>
      </c>
      <c r="G6" s="767">
        <v>3.4293759333330787</v>
      </c>
      <c r="H6" s="766">
        <v>3.7908955608053629</v>
      </c>
      <c r="I6" s="768">
        <v>2.2277227722772297</v>
      </c>
      <c r="J6" s="766">
        <v>215.30000000000004</v>
      </c>
      <c r="K6" s="766">
        <v>208.76666666666665</v>
      </c>
      <c r="L6" s="766">
        <v>84.597333333333339</v>
      </c>
      <c r="M6" s="766">
        <v>393.66666666666674</v>
      </c>
      <c r="N6" s="766">
        <v>84.728999999999999</v>
      </c>
      <c r="O6" s="766">
        <v>84.338302123903674</v>
      </c>
      <c r="P6" s="768">
        <v>82.6</v>
      </c>
      <c r="Q6" s="771"/>
      <c r="R6" s="771"/>
      <c r="T6" s="771"/>
      <c r="U6" s="771"/>
      <c r="V6" s="771"/>
      <c r="W6" s="771"/>
      <c r="X6" s="771"/>
    </row>
    <row r="7" spans="1:24" ht="16" thickBot="1">
      <c r="A7" s="756"/>
      <c r="B7" s="770" t="s">
        <v>1417</v>
      </c>
      <c r="C7" s="766">
        <v>4.9573474971833287</v>
      </c>
      <c r="D7" s="766">
        <v>5.3473263368316148</v>
      </c>
      <c r="E7" s="766">
        <v>4.8388412892696575</v>
      </c>
      <c r="F7" s="766">
        <v>-1.6894409937888266</v>
      </c>
      <c r="G7" s="767">
        <v>3.0344883288910385</v>
      </c>
      <c r="H7" s="766">
        <v>4.864374328510257</v>
      </c>
      <c r="I7" s="768">
        <v>3.7082818294190245</v>
      </c>
      <c r="J7" s="766">
        <v>217.36666666666667</v>
      </c>
      <c r="K7" s="766">
        <v>210.80000000000004</v>
      </c>
      <c r="L7" s="766">
        <v>85.653333333333322</v>
      </c>
      <c r="M7" s="766">
        <v>395.7</v>
      </c>
      <c r="N7" s="766">
        <v>85.044666666666672</v>
      </c>
      <c r="O7" s="766">
        <v>85.659082870052146</v>
      </c>
      <c r="P7" s="768">
        <v>83.9</v>
      </c>
      <c r="Q7" s="771"/>
      <c r="R7" s="771"/>
      <c r="T7" s="771"/>
      <c r="U7" s="771"/>
    </row>
    <row r="8" spans="1:24" ht="16" thickBot="1">
      <c r="A8" s="756"/>
      <c r="B8" s="770" t="s">
        <v>1418</v>
      </c>
      <c r="C8" s="766">
        <v>2.7327613600254264</v>
      </c>
      <c r="D8" s="766">
        <v>3.7860082304526532</v>
      </c>
      <c r="E8" s="766">
        <v>3.8240516545601455</v>
      </c>
      <c r="F8" s="766">
        <v>-13.529838125150972</v>
      </c>
      <c r="G8" s="767">
        <v>3.5605923603994505</v>
      </c>
      <c r="H8" s="766">
        <v>3.937638521614395</v>
      </c>
      <c r="I8" s="768">
        <v>4.8267326732673421</v>
      </c>
      <c r="J8" s="766">
        <v>215.53333333333336</v>
      </c>
      <c r="K8" s="766">
        <v>210.16666666666663</v>
      </c>
      <c r="L8" s="766">
        <v>85.75866666666667</v>
      </c>
      <c r="M8" s="766">
        <v>357.90000000000009</v>
      </c>
      <c r="N8" s="766">
        <v>85.898333333333326</v>
      </c>
      <c r="O8" s="766">
        <v>85.089607939632543</v>
      </c>
      <c r="P8" s="768">
        <v>84.7</v>
      </c>
      <c r="Q8" s="771"/>
      <c r="R8" s="771"/>
      <c r="T8" s="771"/>
      <c r="U8" s="771"/>
    </row>
    <row r="9" spans="1:24" ht="16" thickBot="1">
      <c r="A9" s="756"/>
      <c r="B9" s="770" t="s">
        <v>1419</v>
      </c>
      <c r="C9" s="766">
        <v>-7.89515237644145E-2</v>
      </c>
      <c r="D9" s="766">
        <v>2.3844520659807245</v>
      </c>
      <c r="E9" s="766">
        <v>3.0055512455129607</v>
      </c>
      <c r="F9" s="766">
        <v>-38.900791034937377</v>
      </c>
      <c r="G9" s="767">
        <v>2.9169265710218717</v>
      </c>
      <c r="H9" s="766">
        <v>2.6615599359358866</v>
      </c>
      <c r="I9" s="768">
        <v>3.6809815950920255</v>
      </c>
      <c r="J9" s="766">
        <v>210.93333333333331</v>
      </c>
      <c r="K9" s="766">
        <v>208.96666666666664</v>
      </c>
      <c r="L9" s="766">
        <v>85.416666666666671</v>
      </c>
      <c r="M9" s="766">
        <v>247.16666666666663</v>
      </c>
      <c r="N9" s="766">
        <v>85.795666666666662</v>
      </c>
      <c r="O9" s="766">
        <v>85.310610451656714</v>
      </c>
      <c r="P9" s="768">
        <v>84.5</v>
      </c>
      <c r="Q9" s="771"/>
      <c r="R9" s="771"/>
      <c r="T9" s="771"/>
      <c r="U9" s="771"/>
    </row>
    <row r="10" spans="1:24" ht="16" thickBot="1">
      <c r="A10" s="756"/>
      <c r="B10" s="770" t="s">
        <v>1420</v>
      </c>
      <c r="C10" s="766">
        <v>-1.2695463694070375</v>
      </c>
      <c r="D10" s="766">
        <v>1.4370110170844663</v>
      </c>
      <c r="E10" s="766">
        <v>2.0887183205144266</v>
      </c>
      <c r="F10" s="766">
        <v>-45.791701947502126</v>
      </c>
      <c r="G10" s="767">
        <v>1.5846601124368975</v>
      </c>
      <c r="H10" s="766">
        <v>1.3897796347769553</v>
      </c>
      <c r="I10" s="768">
        <v>2.5423728813559476</v>
      </c>
      <c r="J10" s="766">
        <v>212.56666666666669</v>
      </c>
      <c r="K10" s="766">
        <v>211.76666666666665</v>
      </c>
      <c r="L10" s="766">
        <v>86.364333333333335</v>
      </c>
      <c r="M10" s="766">
        <v>213.4</v>
      </c>
      <c r="N10" s="766">
        <v>86.071666666666658</v>
      </c>
      <c r="O10" s="766">
        <v>85.510418671138353</v>
      </c>
      <c r="P10" s="768">
        <v>84.7</v>
      </c>
      <c r="Q10" s="771"/>
      <c r="R10" s="771"/>
      <c r="T10" s="771"/>
      <c r="U10" s="771"/>
    </row>
    <row r="11" spans="1:24" ht="16" thickBot="1">
      <c r="A11" s="756"/>
      <c r="B11" s="770" t="s">
        <v>1421</v>
      </c>
      <c r="C11" s="766">
        <v>-1.3801564177273407</v>
      </c>
      <c r="D11" s="766">
        <v>1.3124604680581742</v>
      </c>
      <c r="E11" s="766">
        <v>1.4897260273972979</v>
      </c>
      <c r="F11" s="766">
        <v>-45.539550164265854</v>
      </c>
      <c r="G11" s="767">
        <v>1.9170318342518033</v>
      </c>
      <c r="H11" s="766">
        <v>-0.14046549768336192</v>
      </c>
      <c r="I11" s="768">
        <v>1.5494636471990342</v>
      </c>
      <c r="J11" s="766">
        <v>214.36666666666667</v>
      </c>
      <c r="K11" s="766">
        <v>213.56666666666669</v>
      </c>
      <c r="L11" s="766">
        <v>86.929333333333346</v>
      </c>
      <c r="M11" s="766">
        <v>215.5</v>
      </c>
      <c r="N11" s="766">
        <v>86.674999999999997</v>
      </c>
      <c r="O11" s="766">
        <v>85.538761412987725</v>
      </c>
      <c r="P11" s="768">
        <v>85.2</v>
      </c>
      <c r="Q11" s="771"/>
      <c r="R11" s="771"/>
      <c r="T11" s="771"/>
      <c r="U11" s="771"/>
    </row>
    <row r="12" spans="1:24" ht="16" thickBot="1">
      <c r="A12" s="756"/>
      <c r="B12" s="770" t="s">
        <v>1422</v>
      </c>
      <c r="C12" s="766">
        <v>0.61862047633776118</v>
      </c>
      <c r="D12" s="766">
        <v>2.7914353687549687</v>
      </c>
      <c r="E12" s="766">
        <v>2.1031887933581128</v>
      </c>
      <c r="F12" s="766">
        <v>-39.051876688087937</v>
      </c>
      <c r="G12" s="767">
        <v>0.99303440113314156</v>
      </c>
      <c r="H12" s="766">
        <v>0.11386103744719378</v>
      </c>
      <c r="I12" s="768">
        <v>-0.23612750885478873</v>
      </c>
      <c r="J12" s="766">
        <v>216.86666666666667</v>
      </c>
      <c r="K12" s="766">
        <v>216.03333333333333</v>
      </c>
      <c r="L12" s="766">
        <v>87.562333333333342</v>
      </c>
      <c r="M12" s="766">
        <v>218.13333333333333</v>
      </c>
      <c r="N12" s="766">
        <v>86.751333333333335</v>
      </c>
      <c r="O12" s="766">
        <v>85.186491849992365</v>
      </c>
      <c r="P12" s="768">
        <v>84.5</v>
      </c>
      <c r="Q12" s="771"/>
      <c r="R12" s="771"/>
      <c r="T12" s="771"/>
      <c r="U12" s="771"/>
    </row>
    <row r="13" spans="1:24" ht="16" thickBot="1">
      <c r="A13" s="756"/>
      <c r="B13" s="770" t="s">
        <v>1423</v>
      </c>
      <c r="C13" s="766">
        <v>3.9506953223767516</v>
      </c>
      <c r="D13" s="766">
        <v>4.5461796139735222</v>
      </c>
      <c r="E13" s="766">
        <v>3.2745365853658281</v>
      </c>
      <c r="F13" s="766">
        <v>-10.923803101820639</v>
      </c>
      <c r="G13" s="767">
        <v>1.132924351268727</v>
      </c>
      <c r="H13" s="766">
        <v>-4.1796096110868763E-2</v>
      </c>
      <c r="I13" s="768">
        <v>1.4201183431952646</v>
      </c>
      <c r="J13" s="766">
        <v>219.26666666666665</v>
      </c>
      <c r="K13" s="766">
        <v>218.46666666666664</v>
      </c>
      <c r="L13" s="766">
        <v>88.213666666666654</v>
      </c>
      <c r="M13" s="766">
        <v>220.16666666666663</v>
      </c>
      <c r="N13" s="766">
        <v>86.76766666666667</v>
      </c>
      <c r="O13" s="766">
        <v>85.274953946919567</v>
      </c>
      <c r="P13" s="768">
        <v>85.7</v>
      </c>
      <c r="Q13" s="771"/>
      <c r="R13" s="771"/>
      <c r="T13" s="771"/>
      <c r="U13" s="771"/>
    </row>
    <row r="14" spans="1:24" ht="16" thickBot="1">
      <c r="A14" s="756"/>
      <c r="B14" s="770" t="s">
        <v>1424</v>
      </c>
      <c r="C14" s="766">
        <v>5.1434843970519006</v>
      </c>
      <c r="D14" s="766">
        <v>5.1629151581929822</v>
      </c>
      <c r="E14" s="766">
        <v>3.4566738584214773</v>
      </c>
      <c r="F14" s="766">
        <v>4.6391752577319645</v>
      </c>
      <c r="G14" s="767">
        <v>1.6443661290010514</v>
      </c>
      <c r="H14" s="766">
        <v>0.6639051809953056</v>
      </c>
      <c r="I14" s="768">
        <v>1.4167650531286879</v>
      </c>
      <c r="J14" s="766">
        <v>223.5</v>
      </c>
      <c r="K14" s="766">
        <v>222.7</v>
      </c>
      <c r="L14" s="766">
        <v>89.34966666666665</v>
      </c>
      <c r="M14" s="766">
        <v>223.3</v>
      </c>
      <c r="N14" s="766">
        <v>87.487000000000009</v>
      </c>
      <c r="O14" s="766">
        <v>86.078126770986813</v>
      </c>
      <c r="P14" s="768">
        <v>85.9</v>
      </c>
      <c r="Q14" s="771"/>
      <c r="R14" s="771"/>
      <c r="T14" s="771"/>
      <c r="U14" s="771"/>
    </row>
    <row r="15" spans="1:24" ht="16" thickBot="1">
      <c r="A15" s="756"/>
      <c r="B15" s="770" t="s">
        <v>1425</v>
      </c>
      <c r="C15" s="766">
        <v>4.7115534131550341</v>
      </c>
      <c r="D15" s="766">
        <v>4.6823786483533469</v>
      </c>
      <c r="E15" s="766">
        <v>3.0852646594168531</v>
      </c>
      <c r="F15" s="766">
        <v>5.2436194895591814</v>
      </c>
      <c r="G15" s="767">
        <v>1.1952696856071698</v>
      </c>
      <c r="H15" s="766">
        <v>1.3727997715774709</v>
      </c>
      <c r="I15" s="768">
        <v>0.8215962441314506</v>
      </c>
      <c r="J15" s="766">
        <v>224.46666666666667</v>
      </c>
      <c r="K15" s="766">
        <v>223.56666666666663</v>
      </c>
      <c r="L15" s="766">
        <v>89.611333333333349</v>
      </c>
      <c r="M15" s="766">
        <v>226.80000000000004</v>
      </c>
      <c r="N15" s="766">
        <v>87.711000000000013</v>
      </c>
      <c r="O15" s="766">
        <v>86.713037334275413</v>
      </c>
      <c r="P15" s="768">
        <v>85.9</v>
      </c>
      <c r="Q15" s="771"/>
      <c r="R15" s="771"/>
      <c r="T15" s="771"/>
      <c r="U15" s="771"/>
    </row>
    <row r="16" spans="1:24" ht="16" thickBot="1">
      <c r="A16" s="756"/>
      <c r="B16" s="770" t="s">
        <v>1426</v>
      </c>
      <c r="C16" s="766">
        <v>4.6726098985551801</v>
      </c>
      <c r="D16" s="766">
        <v>4.659774726122512</v>
      </c>
      <c r="E16" s="766">
        <v>3.3762614822964165</v>
      </c>
      <c r="F16" s="766">
        <v>4.7677261613692012</v>
      </c>
      <c r="G16" s="767">
        <v>1.5177480461395332</v>
      </c>
      <c r="H16" s="766">
        <v>2.6470653173309877</v>
      </c>
      <c r="I16" s="768">
        <v>2.130177514792897</v>
      </c>
      <c r="J16" s="766">
        <v>227</v>
      </c>
      <c r="K16" s="766">
        <v>226.1</v>
      </c>
      <c r="L16" s="766">
        <v>90.518666666666675</v>
      </c>
      <c r="M16" s="766">
        <v>228.53333333333336</v>
      </c>
      <c r="N16" s="766">
        <v>88.067999999999998</v>
      </c>
      <c r="O16" s="766">
        <v>87.441433930804507</v>
      </c>
      <c r="P16" s="768">
        <v>86.3</v>
      </c>
      <c r="Q16" s="771"/>
      <c r="R16" s="771"/>
      <c r="T16" s="771"/>
      <c r="U16" s="771"/>
    </row>
    <row r="17" spans="1:21" ht="16" thickBot="1">
      <c r="A17" s="756"/>
      <c r="B17" s="770" t="s">
        <v>1427</v>
      </c>
      <c r="C17" s="766">
        <v>5.3207661903313941</v>
      </c>
      <c r="D17" s="766">
        <v>5.3402502288678821</v>
      </c>
      <c r="E17" s="766">
        <v>4.1184094679206806</v>
      </c>
      <c r="F17" s="766">
        <v>4.6025738077214662</v>
      </c>
      <c r="G17" s="767">
        <v>1.8666707644552805</v>
      </c>
      <c r="H17" s="766">
        <v>4.3055598481661628</v>
      </c>
      <c r="I17" s="768">
        <v>2.3337222870478458</v>
      </c>
      <c r="J17" s="766">
        <v>230.93333333333331</v>
      </c>
      <c r="K17" s="766">
        <v>230.13333333333333</v>
      </c>
      <c r="L17" s="766">
        <v>91.846666666666636</v>
      </c>
      <c r="M17" s="766">
        <v>230.30000000000004</v>
      </c>
      <c r="N17" s="766">
        <v>88.387333333333345</v>
      </c>
      <c r="O17" s="766">
        <v>88.946518124600317</v>
      </c>
      <c r="P17" s="768">
        <v>87.7</v>
      </c>
      <c r="Q17" s="771"/>
      <c r="R17" s="771"/>
      <c r="T17" s="771"/>
      <c r="U17" s="771"/>
    </row>
    <row r="18" spans="1:21" ht="16" thickBot="1">
      <c r="A18" s="756"/>
      <c r="B18" s="770" t="s">
        <v>1428</v>
      </c>
      <c r="C18" s="766">
        <v>5.1155853840417542</v>
      </c>
      <c r="D18" s="766">
        <v>5.1788654393055022</v>
      </c>
      <c r="E18" s="766">
        <v>4.3771847684565213</v>
      </c>
      <c r="F18" s="766">
        <v>3.9259590983728998</v>
      </c>
      <c r="G18" s="767">
        <v>2.2879589729521754</v>
      </c>
      <c r="H18" s="766">
        <v>3.9099645977522135</v>
      </c>
      <c r="I18" s="768">
        <v>1.5133876600698537</v>
      </c>
      <c r="J18" s="766">
        <v>234.93333333333331</v>
      </c>
      <c r="K18" s="766">
        <v>234.23333333333335</v>
      </c>
      <c r="L18" s="766">
        <v>93.260666666666651</v>
      </c>
      <c r="M18" s="766">
        <v>232.06666666666669</v>
      </c>
      <c r="N18" s="766">
        <v>89.488666666666674</v>
      </c>
      <c r="O18" s="766">
        <v>89.443751054140662</v>
      </c>
      <c r="P18" s="768">
        <v>87.2</v>
      </c>
      <c r="Q18" s="771"/>
      <c r="R18" s="771"/>
      <c r="T18" s="771"/>
      <c r="U18" s="771"/>
    </row>
    <row r="19" spans="1:21" ht="16" thickBot="1">
      <c r="A19" s="756"/>
      <c r="B19" s="770" t="s">
        <v>1429</v>
      </c>
      <c r="C19" s="766">
        <v>5.2420552420552324</v>
      </c>
      <c r="D19" s="766">
        <v>5.3526166691516552</v>
      </c>
      <c r="E19" s="766">
        <v>4.7058779767440218</v>
      </c>
      <c r="F19" s="766">
        <v>2.3956496178718201</v>
      </c>
      <c r="G19" s="767">
        <v>2.988222685866071</v>
      </c>
      <c r="H19" s="766">
        <v>4.0113357083234602</v>
      </c>
      <c r="I19" s="768">
        <v>2.3282887077997749</v>
      </c>
      <c r="J19" s="766">
        <v>236.23333333333332</v>
      </c>
      <c r="K19" s="766">
        <v>235.53333333333336</v>
      </c>
      <c r="L19" s="766">
        <v>93.828333333333347</v>
      </c>
      <c r="M19" s="766">
        <v>232.23333333333335</v>
      </c>
      <c r="N19" s="766">
        <v>90.331999999999994</v>
      </c>
      <c r="O19" s="766">
        <v>90.191388364637064</v>
      </c>
      <c r="P19" s="768">
        <v>87.9</v>
      </c>
      <c r="Q19" s="771"/>
      <c r="R19" s="772"/>
      <c r="T19" s="771"/>
      <c r="U19" s="771"/>
    </row>
    <row r="20" spans="1:21" ht="16" thickBot="1">
      <c r="A20" s="756"/>
      <c r="B20" s="770" t="s">
        <v>1430</v>
      </c>
      <c r="C20" s="766">
        <v>5.1248164464023471</v>
      </c>
      <c r="D20" s="766">
        <v>5.2779006339378043</v>
      </c>
      <c r="E20" s="766">
        <v>4.6458189102800196</v>
      </c>
      <c r="F20" s="766">
        <v>1.3710618436405753</v>
      </c>
      <c r="G20" s="767">
        <v>2.8852704728164591</v>
      </c>
      <c r="H20" s="766">
        <v>3.6418409749094716</v>
      </c>
      <c r="I20" s="768">
        <v>2.3174971031286296</v>
      </c>
      <c r="J20" s="766">
        <v>238.63333333333333</v>
      </c>
      <c r="K20" s="766">
        <v>238.03333333333336</v>
      </c>
      <c r="L20" s="766">
        <v>94.724000000000004</v>
      </c>
      <c r="M20" s="766">
        <v>231.66666666666663</v>
      </c>
      <c r="N20" s="766">
        <v>90.608999999999995</v>
      </c>
      <c r="O20" s="766">
        <v>90.625911900744939</v>
      </c>
      <c r="P20" s="768">
        <v>88.3</v>
      </c>
      <c r="Q20" s="771"/>
      <c r="R20" s="772"/>
      <c r="T20" s="771"/>
      <c r="U20" s="771"/>
    </row>
    <row r="21" spans="1:21" ht="16" thickBot="1">
      <c r="A21" s="756"/>
      <c r="B21" s="770" t="s">
        <v>1431</v>
      </c>
      <c r="C21" s="766">
        <v>3.7384526558891684</v>
      </c>
      <c r="D21" s="766">
        <v>3.8238702201622177</v>
      </c>
      <c r="E21" s="766">
        <v>3.490237352108605</v>
      </c>
      <c r="F21" s="766">
        <v>0.83948473006223434</v>
      </c>
      <c r="G21" s="767">
        <v>2.9868533198572855</v>
      </c>
      <c r="H21" s="766">
        <v>2.0092794349551468</v>
      </c>
      <c r="I21" s="768">
        <v>1.0262257696693089</v>
      </c>
      <c r="J21" s="766">
        <v>239.56666666666669</v>
      </c>
      <c r="K21" s="766">
        <v>238.93333333333331</v>
      </c>
      <c r="L21" s="766">
        <v>95.052333333333323</v>
      </c>
      <c r="M21" s="766">
        <v>232.23333333333335</v>
      </c>
      <c r="N21" s="766">
        <v>91.027333333333331</v>
      </c>
      <c r="O21" s="766">
        <v>90.733702221386565</v>
      </c>
      <c r="P21" s="768">
        <v>88.6</v>
      </c>
      <c r="Q21" s="771"/>
      <c r="R21" s="772"/>
      <c r="T21" s="771"/>
      <c r="U21" s="771"/>
    </row>
    <row r="22" spans="1:21" ht="16" thickBot="1">
      <c r="A22" s="756"/>
      <c r="B22" s="770" t="s">
        <v>1432</v>
      </c>
      <c r="C22" s="766">
        <v>3.1072644721907183</v>
      </c>
      <c r="D22" s="766">
        <v>3.1450120962003503</v>
      </c>
      <c r="E22" s="766">
        <v>2.7553595299197431</v>
      </c>
      <c r="F22" s="766">
        <v>0.96236713588049305</v>
      </c>
      <c r="G22" s="767">
        <v>3.3646718765132144</v>
      </c>
      <c r="H22" s="766">
        <v>2.0925884109076698</v>
      </c>
      <c r="I22" s="768">
        <v>1.9495412844036775</v>
      </c>
      <c r="J22" s="766">
        <v>242.23333333333335</v>
      </c>
      <c r="K22" s="766">
        <v>241.6</v>
      </c>
      <c r="L22" s="766">
        <v>95.830333333333328</v>
      </c>
      <c r="M22" s="766">
        <v>234.3</v>
      </c>
      <c r="N22" s="766">
        <v>92.49966666666667</v>
      </c>
      <c r="O22" s="766">
        <v>91.315440622980717</v>
      </c>
      <c r="P22" s="768">
        <v>88.9</v>
      </c>
      <c r="Q22" s="771"/>
      <c r="R22" s="772"/>
      <c r="T22" s="771"/>
      <c r="U22" s="771"/>
    </row>
    <row r="23" spans="1:21" ht="16" thickBot="1">
      <c r="A23" s="756"/>
      <c r="B23" s="770" t="s">
        <v>1433</v>
      </c>
      <c r="C23" s="766">
        <v>2.9067306335543996</v>
      </c>
      <c r="D23" s="766">
        <v>2.9012170959524353</v>
      </c>
      <c r="E23" s="766">
        <v>2.4125619482387783</v>
      </c>
      <c r="F23" s="766">
        <v>2.784555762882146</v>
      </c>
      <c r="G23" s="767">
        <v>3.3675773812159804</v>
      </c>
      <c r="H23" s="766">
        <v>1.1420265048773359</v>
      </c>
      <c r="I23" s="768">
        <v>1.4789533560864543</v>
      </c>
      <c r="J23" s="766">
        <v>243.1</v>
      </c>
      <c r="K23" s="766">
        <v>242.36666666666667</v>
      </c>
      <c r="L23" s="766">
        <v>96.091999999999999</v>
      </c>
      <c r="M23" s="766">
        <v>238.7</v>
      </c>
      <c r="N23" s="766">
        <v>93.374000000000009</v>
      </c>
      <c r="O23" s="766">
        <v>91.221397924878076</v>
      </c>
      <c r="P23" s="768">
        <v>89.2</v>
      </c>
      <c r="Q23" s="771"/>
      <c r="R23" s="772"/>
      <c r="T23" s="771"/>
      <c r="U23" s="771"/>
    </row>
    <row r="24" spans="1:21" ht="16" thickBot="1">
      <c r="A24" s="756"/>
      <c r="B24" s="770" t="s">
        <v>1434</v>
      </c>
      <c r="C24" s="766">
        <v>3.0870233272803471</v>
      </c>
      <c r="D24" s="766">
        <v>3.0107828035289108</v>
      </c>
      <c r="E24" s="766">
        <v>2.6698619146150904</v>
      </c>
      <c r="F24" s="766">
        <v>4.8057553956834864</v>
      </c>
      <c r="G24" s="767">
        <v>3.6401829104540706</v>
      </c>
      <c r="H24" s="766">
        <v>1.5559305082047947</v>
      </c>
      <c r="I24" s="768">
        <v>1.3590033975084959</v>
      </c>
      <c r="J24" s="766">
        <v>246</v>
      </c>
      <c r="K24" s="766">
        <v>245.2</v>
      </c>
      <c r="L24" s="766">
        <v>97.253</v>
      </c>
      <c r="M24" s="766">
        <v>242.80000000000004</v>
      </c>
      <c r="N24" s="766">
        <v>93.907333333333327</v>
      </c>
      <c r="O24" s="766">
        <v>92.035988112347425</v>
      </c>
      <c r="P24" s="768">
        <v>89.5</v>
      </c>
      <c r="Q24" s="771"/>
      <c r="R24" s="772"/>
      <c r="T24" s="771"/>
      <c r="U24" s="771"/>
    </row>
    <row r="25" spans="1:21" ht="16" thickBot="1">
      <c r="A25" s="756"/>
      <c r="B25" s="770" t="s">
        <v>1435</v>
      </c>
      <c r="C25" s="766">
        <v>3.2558786698204889</v>
      </c>
      <c r="D25" s="766">
        <v>3.2366071428571397</v>
      </c>
      <c r="E25" s="766">
        <v>2.7763653005186795</v>
      </c>
      <c r="F25" s="766">
        <v>4.3777809674178325</v>
      </c>
      <c r="G25" s="767">
        <v>3.2206443485839564</v>
      </c>
      <c r="H25" s="766">
        <v>2.220350748401545</v>
      </c>
      <c r="I25" s="768">
        <v>2.0316027088036259</v>
      </c>
      <c r="J25" s="766">
        <v>247.36666666666665</v>
      </c>
      <c r="K25" s="766">
        <v>246.66666666666663</v>
      </c>
      <c r="L25" s="766">
        <v>97.691333333333347</v>
      </c>
      <c r="M25" s="766">
        <v>242.4</v>
      </c>
      <c r="N25" s="766">
        <v>93.959000000000003</v>
      </c>
      <c r="O25" s="766">
        <v>92.748308657711547</v>
      </c>
      <c r="P25" s="768">
        <v>90.4</v>
      </c>
      <c r="Q25" s="771"/>
      <c r="R25" s="772"/>
      <c r="T25" s="771"/>
      <c r="U25" s="771"/>
    </row>
    <row r="26" spans="1:21" ht="16" thickBot="1">
      <c r="A26" s="756"/>
      <c r="B26" s="770" t="s">
        <v>1436</v>
      </c>
      <c r="C26" s="766">
        <v>3.0961882482454905</v>
      </c>
      <c r="D26" s="766">
        <v>3.06291390728477</v>
      </c>
      <c r="E26" s="766">
        <v>2.6793882243270062</v>
      </c>
      <c r="F26" s="766">
        <v>3.9550433916631045</v>
      </c>
      <c r="G26" s="767">
        <v>2.5030720831426434</v>
      </c>
      <c r="H26" s="766">
        <v>2.1886557146375107</v>
      </c>
      <c r="I26" s="768">
        <v>2.0247469066366763</v>
      </c>
      <c r="J26" s="766">
        <v>249.73333333333335</v>
      </c>
      <c r="K26" s="766">
        <v>249</v>
      </c>
      <c r="L26" s="766">
        <v>98.397999999999982</v>
      </c>
      <c r="M26" s="766">
        <v>243.56666666666669</v>
      </c>
      <c r="N26" s="766">
        <v>94.814999999999998</v>
      </c>
      <c r="O26" s="766">
        <v>93.314021232522009</v>
      </c>
      <c r="P26" s="768">
        <v>90.7</v>
      </c>
      <c r="Q26" s="771"/>
      <c r="R26" s="772"/>
      <c r="T26" s="771"/>
      <c r="U26" s="771"/>
    </row>
    <row r="27" spans="1:21" ht="16" thickBot="1">
      <c r="A27" s="756"/>
      <c r="B27" s="770" t="s">
        <v>1437</v>
      </c>
      <c r="C27" s="766">
        <v>3.1948443713149643</v>
      </c>
      <c r="D27" s="766">
        <v>3.2182643377802078</v>
      </c>
      <c r="E27" s="766">
        <v>2.7088623402572232</v>
      </c>
      <c r="F27" s="766">
        <v>2.457757296466978</v>
      </c>
      <c r="G27" s="767">
        <v>2.2997122682259619</v>
      </c>
      <c r="H27" s="766">
        <v>2.4413934286018346</v>
      </c>
      <c r="I27" s="768">
        <v>2.5784753363228718</v>
      </c>
      <c r="J27" s="766">
        <v>250.86666666666667</v>
      </c>
      <c r="K27" s="766">
        <v>250.16666666666663</v>
      </c>
      <c r="L27" s="766">
        <v>98.694999999999979</v>
      </c>
      <c r="M27" s="766">
        <v>244.56666666666669</v>
      </c>
      <c r="N27" s="766">
        <v>95.521333333333317</v>
      </c>
      <c r="O27" s="766">
        <v>93.448471139294782</v>
      </c>
      <c r="P27" s="768">
        <v>91.5</v>
      </c>
      <c r="Q27" s="771"/>
      <c r="R27" s="772"/>
      <c r="T27" s="771"/>
      <c r="U27" s="771"/>
    </row>
    <row r="28" spans="1:21" ht="16" thickBot="1">
      <c r="A28" s="756"/>
      <c r="B28" s="770" t="s">
        <v>1438</v>
      </c>
      <c r="C28" s="766">
        <v>2.6287262872628725</v>
      </c>
      <c r="D28" s="766">
        <v>2.7052746057640187</v>
      </c>
      <c r="E28" s="766">
        <v>2.1027628967744016</v>
      </c>
      <c r="F28" s="766">
        <v>0.49423393739702615</v>
      </c>
      <c r="G28" s="767">
        <v>1.8841269052470189</v>
      </c>
      <c r="H28" s="766">
        <v>1.6845554287613362</v>
      </c>
      <c r="I28" s="768">
        <v>2.1229050279329753</v>
      </c>
      <c r="J28" s="766">
        <v>252.46666666666664</v>
      </c>
      <c r="K28" s="766">
        <v>251.83333333333337</v>
      </c>
      <c r="L28" s="766">
        <v>99.298000000000002</v>
      </c>
      <c r="M28" s="766">
        <v>244</v>
      </c>
      <c r="N28" s="766">
        <v>95.676666666666662</v>
      </c>
      <c r="O28" s="766">
        <v>93.586385346508109</v>
      </c>
      <c r="P28" s="768">
        <v>91.4</v>
      </c>
      <c r="Q28" s="771"/>
      <c r="R28" s="772"/>
      <c r="T28" s="771"/>
      <c r="U28" s="771"/>
    </row>
    <row r="29" spans="1:21" ht="16" thickBot="1">
      <c r="A29" s="756"/>
      <c r="B29" s="770" t="s">
        <v>1439</v>
      </c>
      <c r="C29" s="766">
        <v>2.6276782104837526</v>
      </c>
      <c r="D29" s="766">
        <v>2.6756756756756817</v>
      </c>
      <c r="E29" s="766">
        <v>1.7391512041327273</v>
      </c>
      <c r="F29" s="766">
        <v>0.37128712871288272</v>
      </c>
      <c r="G29" s="767">
        <v>2.0320920117639973</v>
      </c>
      <c r="H29" s="766">
        <v>1.1848194345148944</v>
      </c>
      <c r="I29" s="768">
        <v>1.6592920353982299</v>
      </c>
      <c r="J29" s="766">
        <v>253.86666666666665</v>
      </c>
      <c r="K29" s="766">
        <v>253.26666666666665</v>
      </c>
      <c r="L29" s="766">
        <v>99.390333333333331</v>
      </c>
      <c r="M29" s="766">
        <v>243.3</v>
      </c>
      <c r="N29" s="766">
        <v>95.868333333333339</v>
      </c>
      <c r="O29" s="766">
        <v>93.847208643871966</v>
      </c>
      <c r="P29" s="768">
        <v>91.9</v>
      </c>
      <c r="Q29" s="771"/>
      <c r="R29" s="772"/>
      <c r="T29" s="771"/>
      <c r="U29" s="771"/>
    </row>
    <row r="30" spans="1:21" ht="16" thickBot="1">
      <c r="A30" s="756"/>
      <c r="B30" s="770" t="s">
        <v>1440</v>
      </c>
      <c r="C30" s="766">
        <v>2.4959957287773671</v>
      </c>
      <c r="D30" s="766">
        <v>2.5970548862115139</v>
      </c>
      <c r="E30" s="766">
        <v>1.7205634260859082</v>
      </c>
      <c r="F30" s="766">
        <v>-0.32845216915288189</v>
      </c>
      <c r="G30" s="767">
        <v>2.2914798994533303</v>
      </c>
      <c r="H30" s="766">
        <v>1.1840349350227708</v>
      </c>
      <c r="I30" s="768">
        <v>0.99228224917309316</v>
      </c>
      <c r="J30" s="766">
        <v>255.96666666666667</v>
      </c>
      <c r="K30" s="766">
        <v>255.46666666666667</v>
      </c>
      <c r="L30" s="766">
        <v>100.09099999999999</v>
      </c>
      <c r="M30" s="766">
        <v>242.76666666666665</v>
      </c>
      <c r="N30" s="766">
        <v>96.987666666666669</v>
      </c>
      <c r="O30" s="766">
        <v>94.418891843189627</v>
      </c>
      <c r="P30" s="768">
        <v>91.6</v>
      </c>
      <c r="Q30" s="771"/>
      <c r="R30" s="772"/>
      <c r="T30" s="771"/>
      <c r="U30" s="771"/>
    </row>
    <row r="31" spans="1:21" ht="16" thickBot="1">
      <c r="A31" s="756"/>
      <c r="B31" s="770" t="s">
        <v>1441</v>
      </c>
      <c r="C31" s="766">
        <v>2.3917087430241901</v>
      </c>
      <c r="D31" s="766">
        <v>2.4783477681545873</v>
      </c>
      <c r="E31" s="766">
        <v>1.456000810578062</v>
      </c>
      <c r="F31" s="766">
        <v>-0.19081368406707044</v>
      </c>
      <c r="G31" s="767">
        <v>2.3513072123504841</v>
      </c>
      <c r="H31" s="766">
        <v>0.92181291715061064</v>
      </c>
      <c r="I31" s="768">
        <v>1.2021857923497192</v>
      </c>
      <c r="J31" s="766">
        <v>256.86666666666667</v>
      </c>
      <c r="K31" s="766">
        <v>256.36666666666667</v>
      </c>
      <c r="L31" s="766">
        <v>100.13200000000001</v>
      </c>
      <c r="M31" s="766">
        <v>244.1</v>
      </c>
      <c r="N31" s="766">
        <v>97.76733333333334</v>
      </c>
      <c r="O31" s="766">
        <v>94.309891217136567</v>
      </c>
      <c r="P31" s="768">
        <v>92.6</v>
      </c>
      <c r="Q31" s="771"/>
      <c r="R31" s="772"/>
      <c r="T31" s="771"/>
      <c r="U31" s="771"/>
    </row>
    <row r="32" spans="1:21" ht="16" thickBot="1">
      <c r="A32" s="756"/>
      <c r="B32" s="770" t="s">
        <v>1442</v>
      </c>
      <c r="C32" s="766">
        <v>1.9672564034856288</v>
      </c>
      <c r="D32" s="766">
        <v>2.0251489080079343</v>
      </c>
      <c r="E32" s="766">
        <v>0.93523199527349998</v>
      </c>
      <c r="F32" s="766">
        <v>-2.7322404371576958E-2</v>
      </c>
      <c r="G32" s="767">
        <v>2.6784656656098527</v>
      </c>
      <c r="H32" s="766">
        <v>0.87619838158665697</v>
      </c>
      <c r="I32" s="768">
        <v>1.3129102844638751</v>
      </c>
      <c r="J32" s="766">
        <v>257.43333333333334</v>
      </c>
      <c r="K32" s="766">
        <v>256.93333333333334</v>
      </c>
      <c r="L32" s="766">
        <v>100.22666666666667</v>
      </c>
      <c r="M32" s="766">
        <v>243.93333333333337</v>
      </c>
      <c r="N32" s="766">
        <v>98.23933333333332</v>
      </c>
      <c r="O32" s="766">
        <v>94.406387740299664</v>
      </c>
      <c r="P32" s="768">
        <v>92.6</v>
      </c>
      <c r="Q32" s="771"/>
      <c r="R32" s="772"/>
      <c r="T32" s="771"/>
      <c r="U32" s="771"/>
    </row>
    <row r="33" spans="1:21" ht="16" thickBot="1">
      <c r="A33" s="756"/>
      <c r="B33" s="770" t="s">
        <v>1443</v>
      </c>
      <c r="C33" s="766">
        <v>0.99789915966388421</v>
      </c>
      <c r="D33" s="766">
        <v>1.0265859436694003</v>
      </c>
      <c r="E33" s="766">
        <v>0.10061340640104</v>
      </c>
      <c r="F33" s="766">
        <v>0.34251267296889765</v>
      </c>
      <c r="G33" s="767">
        <v>2.8062794457676343</v>
      </c>
      <c r="H33" s="766">
        <v>-0.19999163490006522</v>
      </c>
      <c r="I33" s="768">
        <v>0.97932535364526618</v>
      </c>
      <c r="J33" s="766">
        <v>256.40000000000003</v>
      </c>
      <c r="K33" s="766">
        <v>255.86666666666667</v>
      </c>
      <c r="L33" s="766">
        <v>99.490333333333339</v>
      </c>
      <c r="M33" s="766">
        <v>244.13333333333333</v>
      </c>
      <c r="N33" s="766">
        <v>98.558666666666682</v>
      </c>
      <c r="O33" s="766">
        <v>93.659522076997007</v>
      </c>
      <c r="P33" s="768">
        <v>92.8</v>
      </c>
      <c r="Q33" s="771"/>
      <c r="R33" s="772"/>
      <c r="T33" s="771"/>
      <c r="U33" s="771"/>
    </row>
    <row r="34" spans="1:21" ht="16" thickBot="1">
      <c r="A34" s="756"/>
      <c r="B34" s="770" t="s">
        <v>1444</v>
      </c>
      <c r="C34" s="766">
        <v>0.97668967313451205</v>
      </c>
      <c r="D34" s="766">
        <v>1.0046972860125347</v>
      </c>
      <c r="E34" s="766">
        <v>-1.6651513789101013E-2</v>
      </c>
      <c r="F34" s="766">
        <v>0.23342029383497387</v>
      </c>
      <c r="G34" s="767">
        <v>2.7666748005760189</v>
      </c>
      <c r="H34" s="766">
        <v>-0.58161227308820562</v>
      </c>
      <c r="I34" s="768">
        <v>0.8733624454148492</v>
      </c>
      <c r="J34" s="766">
        <v>258.46666666666664</v>
      </c>
      <c r="K34" s="766">
        <v>258.03333333333336</v>
      </c>
      <c r="L34" s="766">
        <v>100.07433333333334</v>
      </c>
      <c r="M34" s="766">
        <v>243.33333333333337</v>
      </c>
      <c r="N34" s="766">
        <v>99.671000000000006</v>
      </c>
      <c r="O34" s="766">
        <v>93.869739980115753</v>
      </c>
      <c r="P34" s="768">
        <v>92.4</v>
      </c>
      <c r="Q34" s="771"/>
      <c r="R34" s="772"/>
      <c r="T34" s="771"/>
      <c r="U34" s="771"/>
    </row>
    <row r="35" spans="1:21" ht="16" thickBot="1">
      <c r="A35" s="756"/>
      <c r="B35" s="770" t="s">
        <v>1445</v>
      </c>
      <c r="C35" s="766">
        <v>0.96029068258500772</v>
      </c>
      <c r="D35" s="766">
        <v>1.0271746196853337</v>
      </c>
      <c r="E35" s="766">
        <v>9.6539234876180657E-3</v>
      </c>
      <c r="F35" s="766">
        <v>-0.91492557694933252</v>
      </c>
      <c r="G35" s="767">
        <v>2.8867856339199971</v>
      </c>
      <c r="H35" s="766">
        <v>-0.41660813413127995</v>
      </c>
      <c r="I35" s="768">
        <v>0.21598272138230179</v>
      </c>
      <c r="J35" s="766">
        <v>259.33333333333337</v>
      </c>
      <c r="K35" s="766">
        <v>259</v>
      </c>
      <c r="L35" s="766">
        <v>100.14166666666664</v>
      </c>
      <c r="M35" s="766">
        <v>241.86666666666667</v>
      </c>
      <c r="N35" s="766">
        <v>100.58966666666667</v>
      </c>
      <c r="O35" s="766">
        <v>93.916988539035614</v>
      </c>
      <c r="P35" s="768">
        <v>92.8</v>
      </c>
      <c r="Q35" s="771"/>
      <c r="R35" s="772"/>
      <c r="T35" s="771"/>
      <c r="U35" s="771"/>
    </row>
    <row r="36" spans="1:21" ht="16" thickBot="1">
      <c r="A36" s="756"/>
      <c r="B36" s="770" t="s">
        <v>1446</v>
      </c>
      <c r="C36" s="766">
        <v>0.98407354654925783</v>
      </c>
      <c r="D36" s="766">
        <v>1.0508562532433485</v>
      </c>
      <c r="E36" s="766">
        <v>6.7181056272436201E-2</v>
      </c>
      <c r="F36" s="766">
        <v>-1.3528286417053947</v>
      </c>
      <c r="G36" s="767">
        <v>2.9940485481036117</v>
      </c>
      <c r="H36" s="766">
        <v>-0.12037720603431667</v>
      </c>
      <c r="I36" s="768">
        <v>0.75593952483801186</v>
      </c>
      <c r="J36" s="766">
        <v>259.96666666666664</v>
      </c>
      <c r="K36" s="766">
        <v>259.63333333333327</v>
      </c>
      <c r="L36" s="766">
        <v>100.294</v>
      </c>
      <c r="M36" s="766">
        <v>240.63333333333333</v>
      </c>
      <c r="N36" s="766">
        <v>101.18066666666665</v>
      </c>
      <c r="O36" s="766">
        <v>94.29274396841997</v>
      </c>
      <c r="P36" s="768">
        <v>93.3</v>
      </c>
      <c r="Q36" s="771"/>
      <c r="R36" s="772"/>
      <c r="T36" s="771"/>
      <c r="U36" s="771"/>
    </row>
    <row r="37" spans="1:21" ht="16" thickBot="1">
      <c r="A37" s="756"/>
      <c r="B37" s="770" t="s">
        <v>1447</v>
      </c>
      <c r="C37" s="766">
        <v>1.3910556422256581</v>
      </c>
      <c r="D37" s="766">
        <v>1.4721208963001331</v>
      </c>
      <c r="E37" s="766">
        <v>0.34676735763272681</v>
      </c>
      <c r="F37" s="766">
        <v>-1.7067176406335371</v>
      </c>
      <c r="G37" s="767">
        <v>2.9312490699278992</v>
      </c>
      <c r="H37" s="766">
        <v>0.58146750529750602</v>
      </c>
      <c r="I37" s="768">
        <v>1.18534482758621</v>
      </c>
      <c r="J37" s="766">
        <v>259.96666666666664</v>
      </c>
      <c r="K37" s="766">
        <v>259.63333333333327</v>
      </c>
      <c r="L37" s="766">
        <v>99.835333333333324</v>
      </c>
      <c r="M37" s="766">
        <v>239.96666666666664</v>
      </c>
      <c r="N37" s="766">
        <v>101.44766666666668</v>
      </c>
      <c r="O37" s="766">
        <v>94.204121763491685</v>
      </c>
      <c r="P37" s="768">
        <v>93.9</v>
      </c>
      <c r="Q37" s="771"/>
      <c r="R37" s="772"/>
      <c r="T37" s="771"/>
      <c r="U37" s="771"/>
    </row>
    <row r="38" spans="1:21" ht="16" thickBot="1">
      <c r="A38" s="756"/>
      <c r="B38" s="770" t="s">
        <v>1448</v>
      </c>
      <c r="C38" s="766">
        <v>1.4444157854010875</v>
      </c>
      <c r="D38" s="766">
        <v>1.5243508590621069</v>
      </c>
      <c r="E38" s="766">
        <v>0.35140545527823086</v>
      </c>
      <c r="F38" s="766">
        <v>-1.7945205479452331</v>
      </c>
      <c r="G38" s="767">
        <v>1.8420603786457379</v>
      </c>
      <c r="H38" s="766">
        <v>0.82648791815294054</v>
      </c>
      <c r="I38" s="768">
        <v>1.7316017316017174</v>
      </c>
      <c r="J38" s="766">
        <v>262.2</v>
      </c>
      <c r="K38" s="766">
        <v>261.96666666666664</v>
      </c>
      <c r="L38" s="766">
        <v>100.426</v>
      </c>
      <c r="M38" s="766">
        <v>238.96666666666664</v>
      </c>
      <c r="N38" s="766">
        <v>101.50700000000001</v>
      </c>
      <c r="O38" s="766">
        <v>94.64556203985299</v>
      </c>
      <c r="P38" s="768">
        <v>94</v>
      </c>
      <c r="Q38" s="771"/>
      <c r="R38" s="772"/>
      <c r="T38" s="771"/>
      <c r="U38" s="771"/>
    </row>
    <row r="39" spans="1:21" ht="16" thickBot="1">
      <c r="A39" s="756"/>
      <c r="B39" s="770" t="s">
        <v>1449</v>
      </c>
      <c r="C39" s="766">
        <v>1.8894601542416067</v>
      </c>
      <c r="D39" s="766">
        <v>2.0077220077220126</v>
      </c>
      <c r="E39" s="766">
        <v>0.72630440209706659</v>
      </c>
      <c r="F39" s="766">
        <v>-3.1835722160970414</v>
      </c>
      <c r="G39" s="767">
        <v>1.2771358224336948</v>
      </c>
      <c r="H39" s="766">
        <v>1.577761678812184</v>
      </c>
      <c r="I39" s="768">
        <v>2.155172413793105</v>
      </c>
      <c r="J39" s="766">
        <v>264.23333333333329</v>
      </c>
      <c r="K39" s="766">
        <v>264.2</v>
      </c>
      <c r="L39" s="766">
        <v>100.869</v>
      </c>
      <c r="M39" s="766">
        <v>234.16666666666663</v>
      </c>
      <c r="N39" s="766">
        <v>101.87433333333333</v>
      </c>
      <c r="O39" s="766">
        <v>95.398774794098941</v>
      </c>
      <c r="P39" s="768">
        <v>94.8</v>
      </c>
      <c r="Q39" s="771"/>
      <c r="R39" s="772"/>
      <c r="T39" s="771"/>
      <c r="U39" s="771"/>
    </row>
    <row r="40" spans="1:21" ht="16" thickBot="1">
      <c r="A40" s="756"/>
      <c r="B40" s="770" t="s">
        <v>1450</v>
      </c>
      <c r="C40" s="766">
        <v>2.2438774201820832</v>
      </c>
      <c r="D40" s="766">
        <v>2.4778533829760141</v>
      </c>
      <c r="E40" s="766">
        <v>1.2111060149826436</v>
      </c>
      <c r="F40" s="766">
        <v>-5.7210139908574487</v>
      </c>
      <c r="G40" s="767">
        <v>1.0031560706591058</v>
      </c>
      <c r="H40" s="766">
        <v>1.9209565155866137</v>
      </c>
      <c r="I40" s="768">
        <v>2.2508038585209</v>
      </c>
      <c r="J40" s="766">
        <v>265.8</v>
      </c>
      <c r="K40" s="766">
        <v>266.06666666666666</v>
      </c>
      <c r="L40" s="766">
        <v>101.50866666666668</v>
      </c>
      <c r="M40" s="766">
        <v>226.86666666666667</v>
      </c>
      <c r="N40" s="766">
        <v>102.19566666666667</v>
      </c>
      <c r="O40" s="766">
        <v>96.104066577406726</v>
      </c>
      <c r="P40" s="768">
        <v>95.4</v>
      </c>
      <c r="Q40" s="771"/>
      <c r="R40" s="772"/>
      <c r="T40" s="771"/>
      <c r="U40" s="771"/>
    </row>
    <row r="41" spans="1:21" ht="16" thickBot="1">
      <c r="A41" s="756"/>
      <c r="B41" s="770" t="s">
        <v>1451</v>
      </c>
      <c r="C41" s="766">
        <v>2.9875623797922968</v>
      </c>
      <c r="D41" s="766">
        <v>3.2610091154192</v>
      </c>
      <c r="E41" s="766">
        <v>2.1435296788712144</v>
      </c>
      <c r="F41" s="766">
        <v>-6.2369773579663779</v>
      </c>
      <c r="G41" s="767">
        <v>1.209819184275629</v>
      </c>
      <c r="H41" s="766">
        <v>1.8512918584250304</v>
      </c>
      <c r="I41" s="768">
        <v>2.0234291799786863</v>
      </c>
      <c r="J41" s="766">
        <v>267.73333300000002</v>
      </c>
      <c r="K41" s="766">
        <v>268.09999999999997</v>
      </c>
      <c r="L41" s="766">
        <v>101.97533333333332</v>
      </c>
      <c r="M41" s="766">
        <v>225</v>
      </c>
      <c r="N41" s="766">
        <v>102.675</v>
      </c>
      <c r="O41" s="766">
        <v>95.948115000000001</v>
      </c>
      <c r="P41" s="768">
        <v>95.8</v>
      </c>
      <c r="Q41" s="771"/>
      <c r="R41" s="772"/>
      <c r="T41" s="771"/>
      <c r="U41" s="771"/>
    </row>
    <row r="42" spans="1:21" ht="16" thickBot="1">
      <c r="A42" s="756"/>
      <c r="B42" s="770" t="s">
        <v>1452</v>
      </c>
      <c r="C42" s="766">
        <v>3.5596235697940681</v>
      </c>
      <c r="D42" s="766">
        <v>3.8300038172795592</v>
      </c>
      <c r="E42" s="766">
        <v>2.7429815651988987</v>
      </c>
      <c r="F42" s="766">
        <v>-6.1096385827869915</v>
      </c>
      <c r="G42" s="767">
        <v>1.0826839528308208</v>
      </c>
      <c r="H42" s="766">
        <v>1.9911980229495141</v>
      </c>
      <c r="I42" s="768">
        <v>2.1276595744680771</v>
      </c>
      <c r="J42" s="766">
        <v>271.53333300000003</v>
      </c>
      <c r="K42" s="766">
        <v>272</v>
      </c>
      <c r="L42" s="766">
        <v>103.18066666666664</v>
      </c>
      <c r="M42" s="766">
        <v>224.36666700000001</v>
      </c>
      <c r="N42" s="766">
        <v>102.60599999999999</v>
      </c>
      <c r="O42" s="766">
        <v>96.530142600000005</v>
      </c>
      <c r="P42" s="768">
        <v>96</v>
      </c>
      <c r="Q42" s="771"/>
      <c r="R42" s="772"/>
      <c r="T42" s="771"/>
      <c r="U42" s="771"/>
    </row>
    <row r="43" spans="1:21" ht="16" thickBot="1">
      <c r="A43" s="756"/>
      <c r="B43" s="770" t="s">
        <v>1453</v>
      </c>
      <c r="C43" s="766">
        <v>3.7845337454270433</v>
      </c>
      <c r="D43" s="766">
        <v>4.0247287408528898</v>
      </c>
      <c r="E43" s="766">
        <v>2.816854864560292</v>
      </c>
      <c r="F43" s="766">
        <v>-4.6832740213523021</v>
      </c>
      <c r="G43" s="767">
        <v>0.89620218373616112</v>
      </c>
      <c r="H43" s="766">
        <v>1.561103493326188</v>
      </c>
      <c r="I43" s="768">
        <v>1.476793248945163</v>
      </c>
      <c r="J43" s="766">
        <v>274.23333300000002</v>
      </c>
      <c r="K43" s="766">
        <v>274.83333333333331</v>
      </c>
      <c r="L43" s="766">
        <v>103.71033333333332</v>
      </c>
      <c r="M43" s="766">
        <v>223.2</v>
      </c>
      <c r="N43" s="766">
        <v>102.78733333333332</v>
      </c>
      <c r="O43" s="766">
        <v>96.888048400000002</v>
      </c>
      <c r="P43" s="768">
        <v>96.2</v>
      </c>
      <c r="Q43" s="771"/>
      <c r="R43" s="772"/>
      <c r="T43" s="771"/>
      <c r="U43" s="771"/>
    </row>
    <row r="44" spans="1:21" ht="16" thickBot="1">
      <c r="A44" s="756"/>
      <c r="B44" s="770" t="s">
        <v>1454</v>
      </c>
      <c r="C44" s="766">
        <v>3.9879608728367044</v>
      </c>
      <c r="D44" s="766">
        <v>4.0967176146329054</v>
      </c>
      <c r="E44" s="766">
        <v>3.0217452696978064</v>
      </c>
      <c r="F44" s="766">
        <v>-0.26447237731412887</v>
      </c>
      <c r="G44" s="767">
        <v>0.61744300965143051</v>
      </c>
      <c r="H44" s="766">
        <v>1.3528717034529292</v>
      </c>
      <c r="I44" s="768">
        <v>1.6771488469601525</v>
      </c>
      <c r="J44" s="766">
        <v>276.39999999999998</v>
      </c>
      <c r="K44" s="766">
        <v>276.96666666666664</v>
      </c>
      <c r="L44" s="766">
        <v>104.57599999999999</v>
      </c>
      <c r="M44" s="766">
        <v>226.26666700000001</v>
      </c>
      <c r="N44" s="766">
        <v>102.82666666666667</v>
      </c>
      <c r="O44" s="766">
        <v>97.404231300000021</v>
      </c>
      <c r="P44" s="768">
        <v>97</v>
      </c>
      <c r="Q44" s="771"/>
      <c r="R44" s="772"/>
      <c r="T44" s="771"/>
      <c r="U44" s="771"/>
    </row>
    <row r="45" spans="1:21" ht="16" thickBot="1">
      <c r="A45" s="756"/>
      <c r="B45" s="770" t="s">
        <v>1455</v>
      </c>
      <c r="C45" s="766">
        <v>3.6354584208608598</v>
      </c>
      <c r="D45" s="766">
        <v>3.6802188238219902</v>
      </c>
      <c r="E45" s="766">
        <v>2.7176506736923622</v>
      </c>
      <c r="F45" s="766">
        <v>2.2222222222222143</v>
      </c>
      <c r="G45" s="767">
        <v>0.31393555717882382</v>
      </c>
      <c r="H45" s="766">
        <v>2.0101227627035811</v>
      </c>
      <c r="I45" s="768">
        <v>1.4613778705636848</v>
      </c>
      <c r="J45" s="766">
        <v>277.46666699999997</v>
      </c>
      <c r="K45" s="766">
        <v>277.9666666666667</v>
      </c>
      <c r="L45" s="766">
        <v>104.74666666666668</v>
      </c>
      <c r="M45" s="766">
        <v>230</v>
      </c>
      <c r="N45" s="766">
        <v>102.99733333333334</v>
      </c>
      <c r="O45" s="766">
        <v>97.876789900000006</v>
      </c>
      <c r="P45" s="768">
        <v>97.2</v>
      </c>
      <c r="Q45" s="771"/>
      <c r="R45" s="772"/>
      <c r="T45" s="771"/>
      <c r="U45" s="771"/>
    </row>
    <row r="46" spans="1:21" ht="16" thickBot="1">
      <c r="A46" s="756"/>
      <c r="B46" s="770" t="s">
        <v>1456</v>
      </c>
      <c r="C46" s="766">
        <v>3.3513380841533547</v>
      </c>
      <c r="D46" s="766">
        <v>3.3823529411764586</v>
      </c>
      <c r="E46" s="766">
        <v>2.4164733703342822</v>
      </c>
      <c r="F46" s="766">
        <v>2.2284950197169806</v>
      </c>
      <c r="G46" s="767">
        <v>0.35670428629903661</v>
      </c>
      <c r="H46" s="766">
        <v>1.7419035699217877</v>
      </c>
      <c r="I46" s="768">
        <v>1.7708333333333437</v>
      </c>
      <c r="J46" s="766">
        <v>280.63333299999999</v>
      </c>
      <c r="K46" s="766">
        <v>281.2</v>
      </c>
      <c r="L46" s="766">
        <v>105.67400000000002</v>
      </c>
      <c r="M46" s="766">
        <v>229.36666700000001</v>
      </c>
      <c r="N46" s="766">
        <v>102.97199999999999</v>
      </c>
      <c r="O46" s="766">
        <v>98.211604600000001</v>
      </c>
      <c r="P46" s="768">
        <v>97.7</v>
      </c>
      <c r="Q46" s="771"/>
      <c r="R46" s="772"/>
      <c r="T46" s="771"/>
      <c r="U46" s="771"/>
    </row>
    <row r="47" spans="1:21" ht="16" thickBot="1">
      <c r="A47" s="756"/>
      <c r="B47" s="770" t="s">
        <v>1457</v>
      </c>
      <c r="C47" s="766">
        <v>3.3183420485211279</v>
      </c>
      <c r="D47" s="766">
        <v>3.2989690721649811</v>
      </c>
      <c r="E47" s="766">
        <v>2.5153391979584327</v>
      </c>
      <c r="F47" s="766">
        <v>4.3309439964157814</v>
      </c>
      <c r="G47" s="767">
        <v>0.4945486149395828</v>
      </c>
      <c r="H47" s="766">
        <v>1.5713247662030527</v>
      </c>
      <c r="I47" s="768">
        <v>1.8711018711018657</v>
      </c>
      <c r="J47" s="766">
        <v>283.33333299999998</v>
      </c>
      <c r="K47" s="766">
        <v>283.90000000000009</v>
      </c>
      <c r="L47" s="766">
        <v>106.319</v>
      </c>
      <c r="M47" s="766">
        <v>232.86666700000001</v>
      </c>
      <c r="N47" s="766">
        <v>103.29566666666666</v>
      </c>
      <c r="O47" s="766">
        <v>98.410474300000004</v>
      </c>
      <c r="P47" s="768">
        <v>98</v>
      </c>
      <c r="Q47" s="771"/>
      <c r="R47" s="772"/>
      <c r="T47" s="771"/>
      <c r="U47" s="771"/>
    </row>
    <row r="48" spans="1:21" ht="16" thickBot="1">
      <c r="A48" s="756"/>
      <c r="B48" s="770" t="s">
        <v>1458</v>
      </c>
      <c r="C48" s="766">
        <v>3.0752532561505008</v>
      </c>
      <c r="D48" s="766">
        <v>3.0087856541100244</v>
      </c>
      <c r="E48" s="766">
        <v>2.2682068543451672</v>
      </c>
      <c r="F48" s="766">
        <v>5.5981140165024756</v>
      </c>
      <c r="G48" s="767">
        <v>0.6483402489626533</v>
      </c>
      <c r="H48" s="766">
        <v>1.5582134161352235</v>
      </c>
      <c r="I48" s="768">
        <v>1.8556701030927769</v>
      </c>
      <c r="J48" s="766">
        <v>284.89999999999998</v>
      </c>
      <c r="K48" s="766">
        <v>285.3</v>
      </c>
      <c r="L48" s="766">
        <v>106.94799999999999</v>
      </c>
      <c r="M48" s="766">
        <v>238.933333</v>
      </c>
      <c r="N48" s="766">
        <v>103.49333333333334</v>
      </c>
      <c r="O48" s="766">
        <v>98.921997099999999</v>
      </c>
      <c r="P48" s="768">
        <v>98.8</v>
      </c>
      <c r="Q48" s="771"/>
      <c r="R48" s="772"/>
      <c r="T48" s="771"/>
      <c r="U48" s="771"/>
    </row>
    <row r="49" spans="1:21" ht="16" thickBot="1">
      <c r="A49" s="756"/>
      <c r="B49" s="770" t="s">
        <v>1459</v>
      </c>
      <c r="C49" s="766">
        <v>2.4867851964358811</v>
      </c>
      <c r="D49" s="766">
        <v>2.4463364911859742</v>
      </c>
      <c r="E49" s="766">
        <v>1.8750000000000044</v>
      </c>
      <c r="F49" s="766">
        <v>4.2173913043478173</v>
      </c>
      <c r="G49" s="767">
        <v>0.6747747514498581</v>
      </c>
      <c r="H49" s="766">
        <v>1.3454645389836095</v>
      </c>
      <c r="I49" s="768">
        <v>1.7489711934156382</v>
      </c>
      <c r="J49" s="766">
        <v>284.36666700000001</v>
      </c>
      <c r="K49" s="766">
        <v>284.76666666666665</v>
      </c>
      <c r="L49" s="766">
        <v>106.71066666666668</v>
      </c>
      <c r="M49" s="766">
        <v>239.7</v>
      </c>
      <c r="N49" s="766">
        <v>103.69233333333334</v>
      </c>
      <c r="O49" s="766">
        <v>99.193687400000002</v>
      </c>
      <c r="P49" s="768">
        <v>98.9</v>
      </c>
      <c r="Q49" s="771"/>
      <c r="R49" s="772"/>
      <c r="T49" s="771"/>
      <c r="U49" s="771"/>
    </row>
    <row r="50" spans="1:21" ht="16" thickBot="1">
      <c r="A50" s="756"/>
      <c r="B50" s="770" t="s">
        <v>1460</v>
      </c>
      <c r="C50" s="766">
        <v>2.9813518267981287</v>
      </c>
      <c r="D50" s="766">
        <v>2.9397818871502945</v>
      </c>
      <c r="E50" s="766">
        <v>2.0478074076877739</v>
      </c>
      <c r="F50" s="766">
        <v>4.3888966656170592</v>
      </c>
      <c r="G50" s="767">
        <v>0.82838053062970207</v>
      </c>
      <c r="H50" s="766">
        <v>1.6095941069676822</v>
      </c>
      <c r="I50" s="768">
        <v>2.0470829068577334</v>
      </c>
      <c r="J50" s="766">
        <v>289</v>
      </c>
      <c r="K50" s="766">
        <v>289.46666666666664</v>
      </c>
      <c r="L50" s="766">
        <v>107.83799999999999</v>
      </c>
      <c r="M50" s="766">
        <v>239.433333</v>
      </c>
      <c r="N50" s="766">
        <v>103.825</v>
      </c>
      <c r="O50" s="766">
        <v>99.792412799999994</v>
      </c>
      <c r="P50" s="768">
        <v>99.7</v>
      </c>
      <c r="Q50" s="771"/>
      <c r="R50" s="772"/>
      <c r="T50" s="771"/>
      <c r="U50" s="771"/>
    </row>
    <row r="51" spans="1:21" ht="16" thickBot="1">
      <c r="A51" s="756"/>
      <c r="B51" s="770" t="s">
        <v>1461</v>
      </c>
      <c r="C51" s="766">
        <v>2.6117647089550333</v>
      </c>
      <c r="D51" s="766">
        <v>2.583069155806017</v>
      </c>
      <c r="E51" s="766">
        <v>1.8328489420204042</v>
      </c>
      <c r="F51" s="766">
        <v>3.2350413638204456</v>
      </c>
      <c r="G51" s="767">
        <v>0.69057430611803028</v>
      </c>
      <c r="H51" s="766">
        <v>1.9434899725912613</v>
      </c>
      <c r="I51" s="768">
        <v>2.3469387755101989</v>
      </c>
      <c r="J51" s="766">
        <v>290.73333300000002</v>
      </c>
      <c r="K51" s="766">
        <v>291.23333333333335</v>
      </c>
      <c r="L51" s="766">
        <v>108.26766666666668</v>
      </c>
      <c r="M51" s="766">
        <v>240.4</v>
      </c>
      <c r="N51" s="766">
        <v>104.009</v>
      </c>
      <c r="O51" s="766">
        <v>100.323072</v>
      </c>
      <c r="P51" s="768">
        <v>100.3</v>
      </c>
      <c r="Q51" s="771"/>
      <c r="R51" s="772"/>
      <c r="T51" s="771"/>
      <c r="U51" s="771"/>
    </row>
    <row r="52" spans="1:21" ht="16" thickBot="1">
      <c r="A52" s="756"/>
      <c r="B52" s="770" t="s">
        <v>1462</v>
      </c>
      <c r="C52" s="766">
        <v>2.1762021762022021</v>
      </c>
      <c r="D52" s="766">
        <v>2.2198855006425822</v>
      </c>
      <c r="E52" s="766">
        <v>1.4134595005672601</v>
      </c>
      <c r="F52" s="766">
        <v>0.68359402997153484</v>
      </c>
      <c r="G52" s="767">
        <v>0.74304303014687267</v>
      </c>
      <c r="H52" s="766">
        <v>1.7901780715262161</v>
      </c>
      <c r="I52" s="768">
        <v>2.3279352226720729</v>
      </c>
      <c r="J52" s="766">
        <v>291.10000000000002</v>
      </c>
      <c r="K52" s="766">
        <v>291.63333333333333</v>
      </c>
      <c r="L52" s="766">
        <v>108.45966666666668</v>
      </c>
      <c r="M52" s="766">
        <v>240.566667</v>
      </c>
      <c r="N52" s="766">
        <v>104.26233333333334</v>
      </c>
      <c r="O52" s="766">
        <v>100.692877</v>
      </c>
      <c r="P52" s="768">
        <v>101.1</v>
      </c>
      <c r="Q52" s="771"/>
      <c r="R52" s="772"/>
      <c r="T52" s="771"/>
      <c r="U52" s="771"/>
    </row>
    <row r="53" spans="1:21" ht="16" thickBot="1">
      <c r="A53" s="756"/>
      <c r="B53" s="770" t="s">
        <v>1463</v>
      </c>
      <c r="C53" s="766">
        <v>2.5905518666152316</v>
      </c>
      <c r="D53" s="766">
        <v>2.6688516914432858</v>
      </c>
      <c r="E53" s="766">
        <v>1.6671248110154524</v>
      </c>
      <c r="F53" s="766">
        <v>-0.79265748852731521</v>
      </c>
      <c r="G53" s="767">
        <v>0.75897607344803664</v>
      </c>
      <c r="H53" s="766">
        <v>1.3862017191227149</v>
      </c>
      <c r="I53" s="768">
        <v>3.6400404448938328</v>
      </c>
      <c r="J53" s="766">
        <v>291.73333300000002</v>
      </c>
      <c r="K53" s="766">
        <v>292.36666666666662</v>
      </c>
      <c r="L53" s="766">
        <v>108.48966666666668</v>
      </c>
      <c r="M53" s="766">
        <v>237.8</v>
      </c>
      <c r="N53" s="766">
        <v>104.47933333333333</v>
      </c>
      <c r="O53" s="766">
        <v>100.568712</v>
      </c>
      <c r="P53" s="768">
        <v>102.5</v>
      </c>
      <c r="Q53" s="771"/>
      <c r="R53" s="772"/>
      <c r="T53" s="771"/>
      <c r="U53" s="771"/>
    </row>
    <row r="54" spans="1:21" ht="16" thickBot="1">
      <c r="A54" s="756"/>
      <c r="B54" s="770" t="s">
        <v>1464</v>
      </c>
      <c r="C54" s="766">
        <v>1.211072664359869</v>
      </c>
      <c r="D54" s="766">
        <v>1.381851681252888</v>
      </c>
      <c r="E54" s="766">
        <v>0.61666573934977542</v>
      </c>
      <c r="F54" s="766">
        <v>-5.2206598986783481</v>
      </c>
      <c r="G54" s="767">
        <v>1.3281964844690686</v>
      </c>
      <c r="H54" s="766">
        <v>1.3509866754118693</v>
      </c>
      <c r="I54" s="768">
        <v>10.531594784353061</v>
      </c>
      <c r="J54" s="766">
        <v>292.5</v>
      </c>
      <c r="K54" s="766">
        <v>293.46666666666664</v>
      </c>
      <c r="L54" s="766">
        <v>108.503</v>
      </c>
      <c r="M54" s="766">
        <v>226.933333</v>
      </c>
      <c r="N54" s="766">
        <v>105.20400000000001</v>
      </c>
      <c r="O54" s="766">
        <v>101.140595</v>
      </c>
      <c r="P54" s="768">
        <v>110.2</v>
      </c>
      <c r="Q54" s="771"/>
      <c r="R54" s="772"/>
      <c r="T54" s="771"/>
      <c r="U54" s="771"/>
    </row>
    <row r="55" spans="1:21" ht="16" thickBot="1">
      <c r="A55" s="756"/>
      <c r="B55" s="770" t="s">
        <v>1465</v>
      </c>
      <c r="C55" s="766">
        <v>1.1006649863571027</v>
      </c>
      <c r="D55" s="766">
        <v>1.3391324253176018</v>
      </c>
      <c r="E55" s="766">
        <v>0.59666936573858909</v>
      </c>
      <c r="F55" s="766">
        <v>-8.0282861896838646</v>
      </c>
      <c r="G55" s="767">
        <v>1.7748464075224346</v>
      </c>
      <c r="H55" s="766">
        <v>0.85289952046125883</v>
      </c>
      <c r="I55" s="768">
        <v>5.7826520438683859</v>
      </c>
      <c r="J55" s="766">
        <v>293.933333</v>
      </c>
      <c r="K55" s="766">
        <v>295.13333333333333</v>
      </c>
      <c r="L55" s="766">
        <v>108.91366666666666</v>
      </c>
      <c r="M55" s="766">
        <v>221.1</v>
      </c>
      <c r="N55" s="766">
        <v>105.855</v>
      </c>
      <c r="O55" s="766">
        <v>101.17872699999999</v>
      </c>
      <c r="P55" s="768">
        <v>106.1</v>
      </c>
      <c r="Q55" s="771"/>
      <c r="R55" s="772"/>
      <c r="T55" s="771"/>
      <c r="U55" s="771"/>
    </row>
    <row r="56" spans="1:21" ht="16" thickBot="1">
      <c r="A56" s="756"/>
      <c r="B56" s="770" t="s">
        <v>1466</v>
      </c>
      <c r="C56" s="766">
        <v>1.1336310546203876</v>
      </c>
      <c r="D56" s="766">
        <v>1.3601554463367416</v>
      </c>
      <c r="E56" s="766">
        <v>0.53353166614931169</v>
      </c>
      <c r="F56" s="766">
        <v>-8.2582791904416304</v>
      </c>
      <c r="G56" s="767">
        <v>1.7631806948498419</v>
      </c>
      <c r="H56" s="766">
        <v>0.48525279499165297</v>
      </c>
      <c r="I56" s="768">
        <v>4.7477744807121747</v>
      </c>
      <c r="J56" s="766">
        <v>294.39999999999998</v>
      </c>
      <c r="K56" s="766">
        <v>295.60000000000002</v>
      </c>
      <c r="L56" s="766">
        <v>109.03833333333334</v>
      </c>
      <c r="M56" s="766">
        <v>220.7</v>
      </c>
      <c r="N56" s="766">
        <v>106.10066666666667</v>
      </c>
      <c r="O56" s="766">
        <v>101.18149200000001</v>
      </c>
      <c r="P56" s="768">
        <v>105.9</v>
      </c>
      <c r="Q56" s="771"/>
      <c r="R56" s="772"/>
      <c r="T56" s="771"/>
      <c r="U56" s="771"/>
    </row>
    <row r="57" spans="1:21" ht="16" thickBot="1">
      <c r="A57" s="756"/>
      <c r="B57" s="770" t="s">
        <v>1467</v>
      </c>
      <c r="C57" s="766">
        <v>1.4053930546222393</v>
      </c>
      <c r="D57" s="766">
        <v>1.5961691939345934</v>
      </c>
      <c r="E57" s="766">
        <v>0.60958186493951239</v>
      </c>
      <c r="F57" s="766">
        <v>-7.1768994953742782</v>
      </c>
      <c r="G57" s="767">
        <v>1.8188605082982923</v>
      </c>
      <c r="H57" s="766">
        <v>1.6407021301018565</v>
      </c>
      <c r="I57" s="768">
        <v>4.0975609756097597</v>
      </c>
      <c r="J57" s="766">
        <v>295.83333299999998</v>
      </c>
      <c r="K57" s="766">
        <v>297.03333333333336</v>
      </c>
      <c r="L57" s="766">
        <v>109.151</v>
      </c>
      <c r="M57" s="766">
        <v>220.73333299999999</v>
      </c>
      <c r="N57" s="766">
        <v>106.37966666666667</v>
      </c>
      <c r="O57" s="766">
        <v>102.218745</v>
      </c>
      <c r="P57" s="768">
        <v>106.7</v>
      </c>
      <c r="Q57" s="771"/>
      <c r="R57" s="772"/>
      <c r="T57" s="771"/>
      <c r="U57" s="771"/>
    </row>
    <row r="58" spans="1:21" ht="16" thickBot="1">
      <c r="A58" s="756"/>
      <c r="B58" s="770" t="s">
        <v>1468</v>
      </c>
      <c r="C58" s="766">
        <v>3.3618232478632493</v>
      </c>
      <c r="D58" s="766">
        <v>3.5097682871422231</v>
      </c>
      <c r="E58" s="766">
        <v>2.0518633893379157</v>
      </c>
      <c r="F58" s="766">
        <v>-2.4823735347860976</v>
      </c>
      <c r="G58" s="767">
        <v>1.5591929330950549</v>
      </c>
      <c r="H58" s="766">
        <v>1.3602273152535815</v>
      </c>
      <c r="I58" s="768">
        <v>-4.9909255898366585</v>
      </c>
      <c r="J58" s="766">
        <v>302.33333299999998</v>
      </c>
      <c r="K58" s="766">
        <v>303.76666666666665</v>
      </c>
      <c r="L58" s="766">
        <v>110.72933333333332</v>
      </c>
      <c r="M58" s="766">
        <v>221.3</v>
      </c>
      <c r="N58" s="766">
        <v>106.84433333333334</v>
      </c>
      <c r="O58" s="766">
        <v>102.51633699999999</v>
      </c>
      <c r="P58" s="768">
        <v>104.7</v>
      </c>
      <c r="Q58" s="771"/>
      <c r="R58" s="772"/>
      <c r="T58" s="771"/>
      <c r="U58" s="771"/>
    </row>
    <row r="59" spans="1:21" ht="16" thickBot="1">
      <c r="A59" s="756"/>
      <c r="B59" s="770" t="s">
        <v>1469</v>
      </c>
      <c r="C59" s="766">
        <v>4.5021549155161766</v>
      </c>
      <c r="D59" s="766">
        <v>4.596792410210071</v>
      </c>
      <c r="E59" s="766">
        <v>2.7716142143165756</v>
      </c>
      <c r="F59" s="766">
        <v>0.31659882406152029</v>
      </c>
      <c r="G59" s="767">
        <v>1.4466329727772065</v>
      </c>
      <c r="H59" s="766">
        <v>2.6111892077867349</v>
      </c>
      <c r="I59" s="768">
        <v>-0.47125353440150564</v>
      </c>
      <c r="J59" s="766">
        <v>307.16666700000002</v>
      </c>
      <c r="K59" s="766">
        <v>308.7</v>
      </c>
      <c r="L59" s="766">
        <v>111.93233333333336</v>
      </c>
      <c r="M59" s="766">
        <v>221.8</v>
      </c>
      <c r="N59" s="766">
        <v>107.38633333333333</v>
      </c>
      <c r="O59" s="766">
        <v>103.820695</v>
      </c>
      <c r="P59" s="768">
        <v>105.6</v>
      </c>
      <c r="Q59" s="771"/>
      <c r="R59" s="772"/>
      <c r="T59" s="771"/>
      <c r="U59" s="771"/>
    </row>
    <row r="60" spans="1:21" ht="16" thickBot="1">
      <c r="A60" s="756"/>
      <c r="B60" s="770" t="s">
        <v>1470</v>
      </c>
      <c r="C60" s="766">
        <v>6.884058084239153</v>
      </c>
      <c r="D60" s="766">
        <v>7.0252593594948065</v>
      </c>
      <c r="E60" s="766">
        <v>4.9074484508506266</v>
      </c>
      <c r="F60" s="766">
        <v>0.69475894879926781</v>
      </c>
      <c r="G60" s="767">
        <v>1.9117064925762373</v>
      </c>
      <c r="H60" s="766">
        <v>4.1982658251372706</v>
      </c>
      <c r="I60" s="768">
        <v>0.84985835694049161</v>
      </c>
      <c r="J60" s="766">
        <v>314.66666700000002</v>
      </c>
      <c r="K60" s="766">
        <v>316.36666666666667</v>
      </c>
      <c r="L60" s="766">
        <v>114.38933333333334</v>
      </c>
      <c r="M60" s="766">
        <v>222.23333299999999</v>
      </c>
      <c r="N60" s="766">
        <v>108.129</v>
      </c>
      <c r="O60" s="766">
        <v>105.42936</v>
      </c>
      <c r="P60" s="768">
        <v>106.8</v>
      </c>
      <c r="Q60" s="771"/>
      <c r="R60" s="772"/>
      <c r="T60" s="771"/>
      <c r="U60" s="771"/>
    </row>
    <row r="61" spans="1:21" ht="16" thickBot="1">
      <c r="A61" s="756"/>
      <c r="B61" s="770" t="s">
        <v>1471</v>
      </c>
      <c r="C61" s="766">
        <v>8.3267607981146519</v>
      </c>
      <c r="D61" s="766">
        <v>8.4838963079340033</v>
      </c>
      <c r="E61" s="766">
        <v>6.2195185263228314</v>
      </c>
      <c r="F61" s="766">
        <v>2.6276049571543503</v>
      </c>
      <c r="G61" s="767">
        <v>2.3497598225225014</v>
      </c>
      <c r="H61" s="766">
        <v>5.0695144026665639</v>
      </c>
      <c r="I61" s="768">
        <v>1.7806935332708385</v>
      </c>
      <c r="J61" s="766">
        <v>320.46666699999997</v>
      </c>
      <c r="K61" s="766">
        <v>322.23333333333335</v>
      </c>
      <c r="L61" s="766">
        <v>115.93966666666664</v>
      </c>
      <c r="M61" s="766">
        <v>226.533333</v>
      </c>
      <c r="N61" s="766">
        <v>108.87933333333335</v>
      </c>
      <c r="O61" s="766">
        <v>107.400739</v>
      </c>
      <c r="P61" s="768">
        <v>108.6</v>
      </c>
      <c r="Q61" s="771"/>
      <c r="R61" s="772"/>
      <c r="T61" s="771"/>
      <c r="U61" s="771"/>
    </row>
    <row r="62" spans="1:21" ht="16" thickBot="1">
      <c r="A62" s="756"/>
      <c r="B62" s="770" t="s">
        <v>1472</v>
      </c>
      <c r="C62" s="766">
        <v>11.543550178107576</v>
      </c>
      <c r="D62" s="766">
        <v>11.631734884231303</v>
      </c>
      <c r="E62" s="766">
        <v>9.169205389719103</v>
      </c>
      <c r="F62" s="766">
        <v>7.3806294622684065</v>
      </c>
      <c r="G62" s="767">
        <v>3.0034349037384667</v>
      </c>
      <c r="H62" s="766">
        <v>8.057685478949562</v>
      </c>
      <c r="I62" s="768">
        <v>5.5396370582617038</v>
      </c>
      <c r="J62" s="766">
        <v>337.23333300000002</v>
      </c>
      <c r="K62" s="766">
        <v>339.09999999999991</v>
      </c>
      <c r="L62" s="766">
        <v>120.88233333333334</v>
      </c>
      <c r="M62" s="766">
        <v>237.63333299999999</v>
      </c>
      <c r="N62" s="766">
        <v>110.05333333333334</v>
      </c>
      <c r="O62" s="766">
        <v>110.776781</v>
      </c>
      <c r="P62" s="768">
        <v>110.5</v>
      </c>
      <c r="Q62" s="435"/>
      <c r="R62" s="772"/>
      <c r="T62" s="771"/>
      <c r="U62" s="771"/>
    </row>
    <row r="63" spans="1:21" ht="16" thickBot="1">
      <c r="A63" s="756"/>
      <c r="B63" s="770" t="s">
        <v>1473</v>
      </c>
      <c r="C63" s="766">
        <v>12.425393149836772</v>
      </c>
      <c r="D63" s="766">
        <v>12.320483749055189</v>
      </c>
      <c r="E63" s="766">
        <v>10.022126463309643</v>
      </c>
      <c r="F63" s="766">
        <v>16.381123985572586</v>
      </c>
      <c r="G63" s="767">
        <v>4.0197542207419223</v>
      </c>
      <c r="H63" s="766">
        <v>9.1466975827892547</v>
      </c>
      <c r="I63" s="768">
        <v>6.4393939393939448</v>
      </c>
      <c r="J63" s="766">
        <v>345.33333299999998</v>
      </c>
      <c r="K63" s="766">
        <v>346.73333333333335</v>
      </c>
      <c r="L63" s="766">
        <v>123.15033333333334</v>
      </c>
      <c r="M63" s="766">
        <v>258.13333299999999</v>
      </c>
      <c r="N63" s="766">
        <v>111.70299999999999</v>
      </c>
      <c r="O63" s="766">
        <v>113.31686000000001</v>
      </c>
      <c r="P63" s="768">
        <v>112.4</v>
      </c>
      <c r="Q63" s="435"/>
      <c r="R63" s="772"/>
      <c r="T63" s="771"/>
      <c r="U63" s="771"/>
    </row>
    <row r="64" spans="1:21" ht="16" thickBot="1">
      <c r="A64" s="756"/>
      <c r="B64" s="770" t="s">
        <v>1474</v>
      </c>
      <c r="C64" s="766">
        <v>13.866525303107501</v>
      </c>
      <c r="D64" s="766">
        <v>13.423243072384361</v>
      </c>
      <c r="E64" s="766">
        <v>10.749545412159645</v>
      </c>
      <c r="F64" s="766">
        <v>31.993400377971206</v>
      </c>
      <c r="G64" s="767">
        <v>4.4863080209749384</v>
      </c>
      <c r="H64" s="766">
        <v>8.751503376289115</v>
      </c>
      <c r="I64" s="768">
        <v>6.6479400749063666</v>
      </c>
      <c r="J64" s="766">
        <v>358.3</v>
      </c>
      <c r="K64" s="766">
        <v>358.83333333333331</v>
      </c>
      <c r="L64" s="766">
        <v>126.68566666666668</v>
      </c>
      <c r="M64" s="766">
        <v>293.33333299999998</v>
      </c>
      <c r="N64" s="766">
        <v>112.97999999999999</v>
      </c>
      <c r="O64" s="766">
        <v>114.656014</v>
      </c>
      <c r="P64" s="768">
        <v>113.9</v>
      </c>
      <c r="Q64" s="435"/>
      <c r="R64" s="772"/>
      <c r="T64" s="771"/>
      <c r="U64" s="771"/>
    </row>
    <row r="65" spans="1:21" ht="16" thickBot="1">
      <c r="A65" s="756"/>
      <c r="B65" s="770" t="s">
        <v>1475</v>
      </c>
      <c r="C65" s="766">
        <v>12.914559691164396</v>
      </c>
      <c r="D65" s="766">
        <v>12.014449092181835</v>
      </c>
      <c r="E65" s="766">
        <v>9.6512748997710229</v>
      </c>
      <c r="F65" s="766">
        <v>49.022788624224248</v>
      </c>
      <c r="G65" s="767">
        <v>4.9084921001894877</v>
      </c>
      <c r="H65" s="766">
        <v>7.9317238217513575</v>
      </c>
      <c r="I65" s="768">
        <v>4.138697902874533</v>
      </c>
      <c r="J65" s="766">
        <v>361.85352599999999</v>
      </c>
      <c r="K65" s="766">
        <v>360.94789312470726</v>
      </c>
      <c r="L65" s="766">
        <v>127.12932261454483</v>
      </c>
      <c r="M65" s="766">
        <v>337.58629000000002</v>
      </c>
      <c r="N65" s="766">
        <v>114.223666808739</v>
      </c>
      <c r="O65" s="766">
        <v>115.91946900000001</v>
      </c>
      <c r="P65" s="768">
        <v>113.09462592252174</v>
      </c>
      <c r="Q65" s="435"/>
      <c r="R65" s="772"/>
      <c r="T65" s="771"/>
      <c r="U65" s="771"/>
    </row>
    <row r="66" spans="1:21" ht="16" thickBot="1">
      <c r="A66" s="756"/>
      <c r="B66" s="770" t="s">
        <v>1476</v>
      </c>
      <c r="C66" s="766">
        <v>10.104642591780788</v>
      </c>
      <c r="D66" s="766">
        <v>8.9150530312499079</v>
      </c>
      <c r="E66" s="766">
        <v>6.8901284101487104</v>
      </c>
      <c r="F66" s="766">
        <v>58.296419635708261</v>
      </c>
      <c r="G66" s="767">
        <v>6.0411563638194554</v>
      </c>
      <c r="H66" s="766">
        <v>5.6941463211501064</v>
      </c>
      <c r="I66" s="768">
        <v>3.5537067634930697</v>
      </c>
      <c r="J66" s="766">
        <v>371.30955599999999</v>
      </c>
      <c r="K66" s="766">
        <v>369.33094482896831</v>
      </c>
      <c r="L66" s="766">
        <v>129.21128132518399</v>
      </c>
      <c r="M66" s="766">
        <v>376.16505799999999</v>
      </c>
      <c r="N66" s="766">
        <v>116.70182728359545</v>
      </c>
      <c r="O66" s="766">
        <v>117.08457300000001</v>
      </c>
      <c r="P66" s="768">
        <v>114.42684597365984</v>
      </c>
      <c r="Q66" s="435"/>
      <c r="R66" s="772"/>
      <c r="T66" s="771"/>
      <c r="U66" s="771"/>
    </row>
    <row r="67" spans="1:21" ht="16" thickBot="1">
      <c r="A67" s="756"/>
      <c r="B67" s="770" t="s">
        <v>1477</v>
      </c>
      <c r="C67" s="766">
        <v>8.1033350464317913</v>
      </c>
      <c r="D67" s="766">
        <v>6.7087326342420317</v>
      </c>
      <c r="E67" s="766">
        <v>5.412091288458365</v>
      </c>
      <c r="F67" s="766">
        <v>61.154961339301337</v>
      </c>
      <c r="G67" s="767">
        <v>4.6757604673234976</v>
      </c>
      <c r="H67" s="766">
        <v>3.7838764681619175</v>
      </c>
      <c r="I67" s="768">
        <v>2.3847295163877291</v>
      </c>
      <c r="J67" s="766">
        <v>373.31684999999999</v>
      </c>
      <c r="K67" s="766">
        <v>369.99474562046191</v>
      </c>
      <c r="L67" s="766">
        <v>129.81534179537411</v>
      </c>
      <c r="M67" s="766">
        <v>415.99467299999998</v>
      </c>
      <c r="N67" s="766">
        <v>116.92596471481436</v>
      </c>
      <c r="O67" s="766">
        <v>117.60463</v>
      </c>
      <c r="P67" s="768">
        <v>115.08043597641982</v>
      </c>
      <c r="Q67" s="435"/>
      <c r="R67" s="772"/>
      <c r="T67" s="771"/>
      <c r="U67" s="771"/>
    </row>
    <row r="68" spans="1:21" ht="16" thickBot="1">
      <c r="A68" s="756"/>
      <c r="B68" s="770" t="s">
        <v>1478</v>
      </c>
      <c r="C68" s="766">
        <v>4.8849455763326777</v>
      </c>
      <c r="D68" s="766">
        <v>3.5179243533018267</v>
      </c>
      <c r="E68" s="766">
        <v>2.8821489488085827</v>
      </c>
      <c r="F68" s="766">
        <v>52.444969832323849</v>
      </c>
      <c r="G68" s="767">
        <v>3.645503487990287</v>
      </c>
      <c r="H68" s="766">
        <v>2.6985440118300286</v>
      </c>
      <c r="I68" s="768">
        <v>1.5417097387838918</v>
      </c>
      <c r="J68" s="766">
        <v>375.80275999999998</v>
      </c>
      <c r="K68" s="766">
        <v>371.45681855443138</v>
      </c>
      <c r="L68" s="766">
        <v>130.33693627679116</v>
      </c>
      <c r="M68" s="766">
        <v>447.17191100000002</v>
      </c>
      <c r="N68" s="766">
        <v>117.09868984073141</v>
      </c>
      <c r="O68" s="766">
        <v>117.750057</v>
      </c>
      <c r="P68" s="768">
        <v>115.65600739247486</v>
      </c>
      <c r="Q68" s="435"/>
      <c r="R68" s="772"/>
      <c r="T68" s="771"/>
      <c r="U68" s="771"/>
    </row>
    <row r="69" spans="1:21" ht="16" thickBot="1">
      <c r="A69" s="756"/>
      <c r="B69" s="770" t="s">
        <v>1479</v>
      </c>
      <c r="C69" s="766">
        <v>2.6777351341879641</v>
      </c>
      <c r="D69" s="766">
        <v>1.4865165782346423</v>
      </c>
      <c r="E69" s="766">
        <v>1.5310894064057168</v>
      </c>
      <c r="F69" s="766">
        <v>38.796595679285417</v>
      </c>
      <c r="G69" s="767">
        <v>3.85653034256348</v>
      </c>
      <c r="H69" s="766">
        <v>1.6635281515997802</v>
      </c>
      <c r="I69" s="768">
        <v>2.6481843628047397</v>
      </c>
      <c r="J69" s="766">
        <v>371.54300499999999</v>
      </c>
      <c r="K69" s="766">
        <v>366.31344339479472</v>
      </c>
      <c r="L69" s="766">
        <v>129.07578620553147</v>
      </c>
      <c r="M69" s="766">
        <v>468.55827799999997</v>
      </c>
      <c r="N69" s="766">
        <v>118.62873717760662</v>
      </c>
      <c r="O69" s="766">
        <v>117.84782199999999</v>
      </c>
      <c r="P69" s="768">
        <v>116.08958012137448</v>
      </c>
      <c r="Q69" s="435"/>
      <c r="R69" s="772"/>
      <c r="S69" s="771"/>
      <c r="T69" s="771"/>
      <c r="U69" s="771"/>
    </row>
    <row r="70" spans="1:21" ht="16" thickBot="1">
      <c r="A70" s="756"/>
      <c r="B70" s="770" t="s">
        <v>1480</v>
      </c>
      <c r="C70" s="766">
        <v>1.5873685190046727</v>
      </c>
      <c r="D70" s="766">
        <v>0.67873034374767993</v>
      </c>
      <c r="E70" s="766">
        <v>0.79756623499340762</v>
      </c>
      <c r="F70" s="766">
        <v>26.886814404755267</v>
      </c>
      <c r="G70" s="767">
        <v>3.1338098299821926</v>
      </c>
      <c r="H70" s="766">
        <v>1.0153626302245478</v>
      </c>
      <c r="I70" s="768">
        <v>1.9296632074110365</v>
      </c>
      <c r="J70" s="766">
        <v>377.20360699999998</v>
      </c>
      <c r="K70" s="766">
        <v>371.83770602037254</v>
      </c>
      <c r="L70" s="766">
        <v>130.241826876836</v>
      </c>
      <c r="M70" s="766">
        <v>477.30385899999999</v>
      </c>
      <c r="N70" s="766">
        <v>120.3590406187776</v>
      </c>
      <c r="O70" s="766">
        <v>118.27340599999999</v>
      </c>
      <c r="P70" s="768">
        <v>116.63489871981444</v>
      </c>
      <c r="Q70" s="435"/>
      <c r="R70" s="772"/>
      <c r="S70" s="771"/>
      <c r="T70" s="771"/>
      <c r="U70" s="771"/>
    </row>
    <row r="71" spans="1:21" ht="16" thickBot="1">
      <c r="A71" s="756"/>
      <c r="B71" s="770" t="s">
        <v>1481</v>
      </c>
      <c r="C71" s="766">
        <v>1.1888051664423971</v>
      </c>
      <c r="D71" s="766">
        <v>0.59333830715662117</v>
      </c>
      <c r="E71" s="766">
        <v>0.56851495083050096</v>
      </c>
      <c r="F71" s="766">
        <v>16.208055625750784</v>
      </c>
      <c r="G71" s="767">
        <v>3.152683381969279</v>
      </c>
      <c r="H71" s="766">
        <v>0.7702137237283857</v>
      </c>
      <c r="I71" s="768">
        <v>1.6847997598394837</v>
      </c>
      <c r="J71" s="766">
        <v>377.75486000000001</v>
      </c>
      <c r="K71" s="766">
        <v>372.19006618069483</v>
      </c>
      <c r="L71" s="766">
        <v>130.55336142195253</v>
      </c>
      <c r="M71" s="766">
        <v>483.41932100000002</v>
      </c>
      <c r="N71" s="766">
        <v>120.61227017358557</v>
      </c>
      <c r="O71" s="766">
        <v>118.510437</v>
      </c>
      <c r="P71" s="768">
        <v>117.01931088537278</v>
      </c>
      <c r="Q71" s="435"/>
      <c r="R71" s="772"/>
      <c r="S71" s="771"/>
      <c r="T71" s="771"/>
      <c r="U71" s="771"/>
    </row>
    <row r="72" spans="1:21" ht="16" thickBot="1">
      <c r="A72" s="756"/>
      <c r="B72" s="770" t="s">
        <v>1482</v>
      </c>
      <c r="C72" s="766">
        <v>1.070778192262356</v>
      </c>
      <c r="D72" s="766">
        <v>0.75052178815371295</v>
      </c>
      <c r="E72" s="766">
        <v>0.54474907448365251</v>
      </c>
      <c r="F72" s="766">
        <v>8.6150015357292951</v>
      </c>
      <c r="G72" s="767">
        <v>3.2183320406319993</v>
      </c>
      <c r="H72" s="766">
        <v>0.74803615594003503</v>
      </c>
      <c r="I72" s="768">
        <v>1.3927564901791367</v>
      </c>
      <c r="J72" s="766">
        <v>379.826774</v>
      </c>
      <c r="K72" s="766">
        <v>374.24468291126499</v>
      </c>
      <c r="L72" s="766">
        <v>131.04694553086932</v>
      </c>
      <c r="M72" s="766">
        <v>485.69577800000002</v>
      </c>
      <c r="N72" s="766">
        <v>120.86731449503596</v>
      </c>
      <c r="O72" s="766">
        <v>118.63087</v>
      </c>
      <c r="P72" s="768">
        <v>117.26681394171563</v>
      </c>
      <c r="Q72" s="435"/>
      <c r="R72" s="772"/>
      <c r="S72" s="771"/>
      <c r="T72" s="771"/>
      <c r="U72" s="771"/>
    </row>
    <row r="73" spans="1:21" ht="16" thickBot="1">
      <c r="A73" s="756"/>
      <c r="B73" s="770" t="s">
        <v>1483</v>
      </c>
      <c r="C73" s="766">
        <v>1.0913188905279148</v>
      </c>
      <c r="D73" s="766">
        <v>0.94682116139079842</v>
      </c>
      <c r="E73" s="766">
        <v>0.52646694248803527</v>
      </c>
      <c r="F73" s="766">
        <v>4.2948800490512307</v>
      </c>
      <c r="G73" s="767">
        <v>3.2624307685600096</v>
      </c>
      <c r="H73" s="766">
        <v>0.77758925404662893</v>
      </c>
      <c r="I73" s="768">
        <v>1.2763132173643887</v>
      </c>
      <c r="J73" s="766">
        <v>375.59772400000003</v>
      </c>
      <c r="K73" s="766">
        <v>369.78177659387592</v>
      </c>
      <c r="L73" s="766">
        <v>129.75532755066013</v>
      </c>
      <c r="M73" s="766">
        <v>488.68229400000001</v>
      </c>
      <c r="N73" s="766">
        <v>122.49891759964305</v>
      </c>
      <c r="O73" s="766">
        <v>118.764194</v>
      </c>
      <c r="P73" s="768">
        <v>117.5712467764464</v>
      </c>
      <c r="Q73" s="435"/>
      <c r="R73" s="772"/>
      <c r="S73" s="771"/>
      <c r="T73" s="771"/>
      <c r="U73" s="771"/>
    </row>
    <row r="74" spans="1:21" ht="16" thickBot="1">
      <c r="A74" s="756"/>
      <c r="B74" s="770" t="s">
        <v>1484</v>
      </c>
      <c r="C74" s="766">
        <v>0.75385997037933361</v>
      </c>
      <c r="D74" s="766">
        <v>0.61428006579347105</v>
      </c>
      <c r="E74" s="766">
        <v>5.1620719964562412E-3</v>
      </c>
      <c r="F74" s="766">
        <v>3.8375051143259231</v>
      </c>
      <c r="G74" s="767">
        <v>2.3943367022577045</v>
      </c>
      <c r="H74" s="766">
        <v>0.35099944614769285</v>
      </c>
      <c r="I74" s="768">
        <v>1.0150539166997596</v>
      </c>
      <c r="J74" s="766">
        <v>380.04719399999999</v>
      </c>
      <c r="K74" s="766">
        <v>374.12183092555938</v>
      </c>
      <c r="L74" s="766">
        <v>130.2485500537089</v>
      </c>
      <c r="M74" s="766">
        <v>495.62041900000003</v>
      </c>
      <c r="N74" s="766">
        <v>123.24084130279824</v>
      </c>
      <c r="O74" s="766">
        <v>118.688545</v>
      </c>
      <c r="P74" s="768">
        <v>117.81880582750873</v>
      </c>
      <c r="Q74" s="435"/>
      <c r="R74" s="772"/>
      <c r="S74" s="771"/>
      <c r="T74" s="771"/>
      <c r="U74" s="771"/>
    </row>
    <row r="75" spans="1:21" ht="16" thickBot="1">
      <c r="A75" s="756"/>
      <c r="B75" s="770" t="s">
        <v>1485</v>
      </c>
      <c r="C75" s="766">
        <v>0.96784300802905676</v>
      </c>
      <c r="D75" s="766">
        <v>0.80549739910491525</v>
      </c>
      <c r="E75" s="766">
        <v>1.7006719811463178E-2</v>
      </c>
      <c r="F75" s="766">
        <v>4.5124228702476676</v>
      </c>
      <c r="G75" s="767">
        <v>2.4184347787109539</v>
      </c>
      <c r="H75" s="766">
        <v>0.29375809322178537</v>
      </c>
      <c r="I75" s="768">
        <v>1.0112230833611235</v>
      </c>
      <c r="J75" s="766">
        <v>381.410934</v>
      </c>
      <c r="K75" s="766">
        <v>375.18804748350721</v>
      </c>
      <c r="L75" s="766">
        <v>130.575564266334</v>
      </c>
      <c r="M75" s="766">
        <v>505.23324500000001</v>
      </c>
      <c r="N75" s="766">
        <v>123.52919926285638</v>
      </c>
      <c r="O75" s="766">
        <v>118.858571</v>
      </c>
      <c r="P75" s="768">
        <v>118.20263716903578</v>
      </c>
      <c r="Q75" s="435"/>
      <c r="R75" s="772"/>
      <c r="S75" s="771"/>
      <c r="T75" s="771"/>
      <c r="U75" s="771"/>
    </row>
    <row r="76" spans="1:21" ht="16" thickBot="1">
      <c r="A76" s="756"/>
      <c r="B76" s="770" t="s">
        <v>1486</v>
      </c>
      <c r="C76" s="766">
        <v>1.0781359504688393</v>
      </c>
      <c r="D76" s="766">
        <v>0.84233359820036213</v>
      </c>
      <c r="E76" s="766">
        <v>-8.1174175702458662E-2</v>
      </c>
      <c r="F76" s="766">
        <v>6.2306819146366932</v>
      </c>
      <c r="G76" s="767">
        <v>2.4240129211547945</v>
      </c>
      <c r="H76" s="766">
        <v>0.23478037377622218</v>
      </c>
      <c r="I76" s="768">
        <v>0.96047934856462458</v>
      </c>
      <c r="J76" s="766">
        <v>383.92182300000002</v>
      </c>
      <c r="K76" s="766">
        <v>377.39707161490497</v>
      </c>
      <c r="L76" s="766">
        <v>130.94056925305139</v>
      </c>
      <c r="M76" s="766">
        <v>515.95793700000002</v>
      </c>
      <c r="N76" s="766">
        <v>123.79715381584843</v>
      </c>
      <c r="O76" s="766">
        <v>118.909392</v>
      </c>
      <c r="P76" s="768">
        <v>118.39313747234551</v>
      </c>
      <c r="Q76" s="435"/>
      <c r="R76" s="772"/>
      <c r="S76" s="771"/>
      <c r="T76" s="771"/>
      <c r="U76" s="771"/>
    </row>
    <row r="77" spans="1:21" ht="16" thickBot="1">
      <c r="A77" s="756"/>
      <c r="B77" s="770" t="s">
        <v>1487</v>
      </c>
      <c r="C77" s="766">
        <v>1.1909534361289165</v>
      </c>
      <c r="D77" s="766">
        <v>0.97428405801156526</v>
      </c>
      <c r="E77" s="766">
        <v>-2.9637196992748915E-2</v>
      </c>
      <c r="F77" s="766">
        <v>5.840378166023763</v>
      </c>
      <c r="G77" s="767">
        <v>0.88807802671670988</v>
      </c>
      <c r="H77" s="766">
        <v>0.28438621829067756</v>
      </c>
      <c r="I77" s="768">
        <v>0.86853100780515113</v>
      </c>
      <c r="J77" s="766">
        <v>380.07091800000001</v>
      </c>
      <c r="K77" s="766">
        <v>373.38450149266203</v>
      </c>
      <c r="L77" s="766">
        <v>129.71687170862535</v>
      </c>
      <c r="M77" s="766">
        <v>517.22318800000005</v>
      </c>
      <c r="N77" s="766">
        <v>123.58680356981129</v>
      </c>
      <c r="O77" s="766">
        <v>119.10194300000001</v>
      </c>
      <c r="P77" s="768">
        <v>118.59238951096296</v>
      </c>
      <c r="Q77" s="435"/>
      <c r="R77" s="772"/>
      <c r="S77" s="771"/>
      <c r="T77" s="771"/>
      <c r="U77" s="771"/>
    </row>
    <row r="78" spans="1:21" ht="16" thickBot="1">
      <c r="A78" s="756"/>
      <c r="B78" s="770" t="s">
        <v>1488</v>
      </c>
      <c r="C78" s="766">
        <v>1.5454049109490331</v>
      </c>
      <c r="D78" s="766">
        <v>1.3606363671013089</v>
      </c>
      <c r="E78" s="766">
        <v>0.30346243815986274</v>
      </c>
      <c r="F78" s="766">
        <v>5.5006617877057185</v>
      </c>
      <c r="G78" s="767">
        <v>0.8418012519241902</v>
      </c>
      <c r="H78" s="766">
        <v>0.59931225881992845</v>
      </c>
      <c r="I78" s="768">
        <v>0.97545364546351987</v>
      </c>
      <c r="J78" s="766">
        <v>385.92046199999999</v>
      </c>
      <c r="K78" s="766">
        <v>379.21226861439783</v>
      </c>
      <c r="L78" s="766">
        <v>130.64380547936975</v>
      </c>
      <c r="M78" s="766">
        <v>522.88282200000003</v>
      </c>
      <c r="N78" s="766">
        <v>124.2782842477671</v>
      </c>
      <c r="O78" s="766">
        <v>119.39986</v>
      </c>
      <c r="P78" s="768">
        <v>118.96807366399476</v>
      </c>
      <c r="Q78" s="435"/>
      <c r="R78" s="772"/>
      <c r="S78" s="771"/>
      <c r="T78" s="771"/>
      <c r="U78" s="771"/>
    </row>
    <row r="79" spans="1:21" ht="16" thickBot="1">
      <c r="A79" s="756"/>
      <c r="B79" s="770" t="s">
        <v>1489</v>
      </c>
      <c r="C79" s="766">
        <v>1.8827960500995999</v>
      </c>
      <c r="D79" s="766">
        <v>1.7454772290108833</v>
      </c>
      <c r="E79" s="766">
        <v>0.65973473087446166</v>
      </c>
      <c r="F79" s="766">
        <v>4.7746026689118537</v>
      </c>
      <c r="G79" s="767">
        <v>0.88165546294793895</v>
      </c>
      <c r="H79" s="766">
        <v>0.85214468883358929</v>
      </c>
      <c r="I79" s="768">
        <v>1.0546398797896872</v>
      </c>
      <c r="J79" s="766">
        <v>388.59212400000001</v>
      </c>
      <c r="K79" s="766">
        <v>381.73686941830238</v>
      </c>
      <c r="L79" s="766">
        <v>131.43701661383432</v>
      </c>
      <c r="M79" s="766">
        <v>529.35612500000002</v>
      </c>
      <c r="N79" s="766">
        <v>124.61830119649319</v>
      </c>
      <c r="O79" s="766">
        <v>119.87141800000001</v>
      </c>
      <c r="P79" s="768">
        <v>119.44924931958354</v>
      </c>
      <c r="Q79" s="435"/>
      <c r="R79" s="772"/>
      <c r="S79" s="771"/>
      <c r="T79" s="771"/>
      <c r="U79" s="771"/>
    </row>
    <row r="80" spans="1:21" ht="16" thickBot="1">
      <c r="A80" s="756"/>
      <c r="B80" s="770" t="s">
        <v>1490</v>
      </c>
      <c r="C80" s="766">
        <v>2.2827616131630979</v>
      </c>
      <c r="D80" s="766">
        <v>2.1701161398003377</v>
      </c>
      <c r="E80" s="766">
        <v>1.0597656440502812</v>
      </c>
      <c r="F80" s="766">
        <v>4.6193451618518289</v>
      </c>
      <c r="G80" s="767">
        <v>0.92826240514365388</v>
      </c>
      <c r="H80" s="766">
        <v>1.2154523504753989</v>
      </c>
      <c r="I80" s="768">
        <v>1.2588198081470603</v>
      </c>
      <c r="J80" s="766">
        <v>392.68584299999998</v>
      </c>
      <c r="K80" s="766">
        <v>385.58702637715385</v>
      </c>
      <c r="L80" s="766">
        <v>132.32823242011909</v>
      </c>
      <c r="M80" s="766">
        <v>539.79181500000004</v>
      </c>
      <c r="N80" s="766">
        <v>124.94631625335882</v>
      </c>
      <c r="O80" s="766">
        <v>120.354679</v>
      </c>
      <c r="P80" s="768">
        <v>119.88349373833418</v>
      </c>
      <c r="Q80" s="435"/>
      <c r="R80" s="772"/>
      <c r="S80" s="771"/>
      <c r="T80" s="771"/>
      <c r="U80" s="771"/>
    </row>
    <row r="81" spans="1:21" ht="16" thickBot="1">
      <c r="A81" s="756"/>
      <c r="B81" s="770" t="s">
        <v>1491</v>
      </c>
      <c r="C81" s="766">
        <v>2.5918357689235227</v>
      </c>
      <c r="D81" s="766">
        <v>2.4577851880974944</v>
      </c>
      <c r="E81" s="766">
        <v>1.3377192078441569</v>
      </c>
      <c r="F81" s="766">
        <v>5.3361277375676863</v>
      </c>
      <c r="G81" s="767">
        <v>0.87628224641438379</v>
      </c>
      <c r="H81" s="766">
        <v>1.4446414194938972</v>
      </c>
      <c r="I81" s="768">
        <v>1.498396274481717</v>
      </c>
      <c r="J81" s="766">
        <v>389.92173200000002</v>
      </c>
      <c r="K81" s="766">
        <v>382.5614904650003</v>
      </c>
      <c r="L81" s="766">
        <v>131.4521192172862</v>
      </c>
      <c r="M81" s="766">
        <v>544.82287799999995</v>
      </c>
      <c r="N81" s="766">
        <v>124.66977278840457</v>
      </c>
      <c r="O81" s="766">
        <v>120.82253900000001</v>
      </c>
      <c r="P81" s="768">
        <v>120.36937345721407</v>
      </c>
      <c r="Q81" s="435"/>
      <c r="R81" s="772"/>
      <c r="S81" s="771"/>
      <c r="T81" s="771"/>
      <c r="U81" s="771"/>
    </row>
    <row r="82" spans="1:21" ht="16" thickBot="1">
      <c r="A82" s="756"/>
      <c r="B82" s="770" t="s">
        <v>1492</v>
      </c>
      <c r="C82" s="766">
        <v>2.7227035191515814</v>
      </c>
      <c r="D82" s="766">
        <v>2.5824645653261147</v>
      </c>
      <c r="E82" s="766">
        <v>1.4557028679833328</v>
      </c>
      <c r="F82" s="766">
        <v>5.6069317572647215</v>
      </c>
      <c r="G82" s="767">
        <v>1.0940345633073001</v>
      </c>
      <c r="H82" s="766">
        <v>1.5674649869773738</v>
      </c>
      <c r="I82" s="768">
        <v>1.5734141044164041</v>
      </c>
      <c r="J82" s="766">
        <v>396.427932</v>
      </c>
      <c r="K82" s="766">
        <v>389.00529107873393</v>
      </c>
      <c r="L82" s="766">
        <v>132.54559110257549</v>
      </c>
      <c r="M82" s="766">
        <v>552.20050500000002</v>
      </c>
      <c r="N82" s="766">
        <v>125.63793163212297</v>
      </c>
      <c r="O82" s="766">
        <v>121.271411</v>
      </c>
      <c r="P82" s="768">
        <v>120.83993411477654</v>
      </c>
      <c r="Q82" s="435"/>
      <c r="R82" s="772"/>
      <c r="S82" s="771"/>
      <c r="T82" s="771"/>
      <c r="U82" s="771"/>
    </row>
    <row r="83" spans="1:21" ht="16" thickBot="1">
      <c r="A83" s="756"/>
      <c r="B83" s="770" t="s">
        <v>1493</v>
      </c>
      <c r="C83" s="766">
        <v>2.9087854081159881</v>
      </c>
      <c r="D83" s="766">
        <v>2.7942622248376958</v>
      </c>
      <c r="E83" s="766">
        <v>1.6615027387518078</v>
      </c>
      <c r="F83" s="766">
        <v>5.2508191909558022</v>
      </c>
      <c r="G83" s="767">
        <v>1.1334980189291022</v>
      </c>
      <c r="H83" s="766">
        <v>1.7203700718715131</v>
      </c>
      <c r="I83" s="768">
        <v>1.6544459977295034</v>
      </c>
      <c r="J83" s="766">
        <v>399.89543500000002</v>
      </c>
      <c r="K83" s="766">
        <v>392.40359855873601</v>
      </c>
      <c r="L83" s="766">
        <v>133.62084624460684</v>
      </c>
      <c r="M83" s="766">
        <v>557.151658</v>
      </c>
      <c r="N83" s="766">
        <v>126.03084717177855</v>
      </c>
      <c r="O83" s="766">
        <v>121.93365</v>
      </c>
      <c r="P83" s="768">
        <v>121.42547264426932</v>
      </c>
      <c r="Q83" s="435"/>
      <c r="R83" s="772"/>
      <c r="S83" s="771"/>
      <c r="T83" s="771"/>
      <c r="U83" s="771"/>
    </row>
    <row r="84" spans="1:21" ht="16" thickBot="1">
      <c r="A84" s="756"/>
      <c r="B84" s="770" t="s">
        <v>1494</v>
      </c>
      <c r="C84" s="766">
        <v>2.9777432032353834</v>
      </c>
      <c r="D84" s="766">
        <v>2.9629332530066055</v>
      </c>
      <c r="E84" s="766">
        <v>1.8302635432181136</v>
      </c>
      <c r="F84" s="766">
        <v>3.2777521830337442</v>
      </c>
      <c r="G84" s="767">
        <v>1.1710423998583241</v>
      </c>
      <c r="H84" s="766">
        <v>1.867764526213378</v>
      </c>
      <c r="I84" s="768">
        <v>1.7109784995504862</v>
      </c>
      <c r="J84" s="766">
        <v>404.37901900000003</v>
      </c>
      <c r="K84" s="766">
        <v>397.01171260096186</v>
      </c>
      <c r="L84" s="766">
        <v>134.75018781548945</v>
      </c>
      <c r="M84" s="766">
        <v>557.48485300000004</v>
      </c>
      <c r="N84" s="766">
        <v>126.40949059374672</v>
      </c>
      <c r="O84" s="766">
        <v>122.602621</v>
      </c>
      <c r="P84" s="768">
        <v>121.93467454070704</v>
      </c>
      <c r="Q84" s="435"/>
      <c r="R84" s="772"/>
      <c r="S84" s="771"/>
      <c r="T84" s="771"/>
      <c r="U84" s="771"/>
    </row>
    <row r="85" spans="1:21">
      <c r="A85" s="756"/>
      <c r="B85" s="773" t="s">
        <v>1495</v>
      </c>
      <c r="C85" s="774">
        <v>3.0879825390188742</v>
      </c>
      <c r="D85" s="774">
        <v>3.1337104559177043</v>
      </c>
      <c r="E85" s="774">
        <v>1.9962305973249217</v>
      </c>
      <c r="F85" s="774">
        <v>2.177417373431223</v>
      </c>
      <c r="G85" s="775">
        <v>1.5004474342996899</v>
      </c>
      <c r="H85" s="774">
        <v>2.0100901868979948</v>
      </c>
      <c r="I85" s="776">
        <v>1.669496303488871</v>
      </c>
      <c r="J85" s="774">
        <v>401.962447</v>
      </c>
      <c r="K85" s="774">
        <v>394.54985989201663</v>
      </c>
      <c r="L85" s="774">
        <v>134.07620664193371</v>
      </c>
      <c r="M85" s="774">
        <v>556.68594599999994</v>
      </c>
      <c r="N85" s="774">
        <v>126.54037719555544</v>
      </c>
      <c r="O85" s="774">
        <v>123.251181</v>
      </c>
      <c r="P85" s="776">
        <v>122.37893569761498</v>
      </c>
      <c r="Q85" s="435"/>
      <c r="R85" s="772"/>
      <c r="S85" s="771"/>
      <c r="T85" s="771"/>
      <c r="U85" s="771"/>
    </row>
    <row r="86" spans="1:21">
      <c r="A86" s="756"/>
      <c r="B86" s="770">
        <v>2008</v>
      </c>
      <c r="C86" s="777">
        <v>4.0062938755749178</v>
      </c>
      <c r="D86" s="777">
        <v>4.2552304742852431</v>
      </c>
      <c r="E86" s="777">
        <v>3.6177519616834797</v>
      </c>
      <c r="F86" s="777">
        <v>-0.28914733663175651</v>
      </c>
      <c r="G86" s="778">
        <v>3.3295609010762632</v>
      </c>
      <c r="H86" s="777">
        <v>4.0996078418888082</v>
      </c>
      <c r="I86" s="174">
        <v>3.3550792171481936</v>
      </c>
      <c r="J86" s="777">
        <v>214.82499999999999</v>
      </c>
      <c r="K86" s="777">
        <v>208.45833333333334</v>
      </c>
      <c r="L86" s="777">
        <v>84.73341666666667</v>
      </c>
      <c r="M86" s="777">
        <v>387.95000000000005</v>
      </c>
      <c r="N86" s="434">
        <v>84.759</v>
      </c>
      <c r="O86" s="777">
        <v>84.546469196358601</v>
      </c>
      <c r="P86" s="174">
        <v>83.174999999999997</v>
      </c>
      <c r="Q86" s="435"/>
      <c r="R86" s="771"/>
      <c r="S86" s="779"/>
      <c r="T86" s="769"/>
      <c r="U86" s="771"/>
    </row>
    <row r="87" spans="1:21">
      <c r="A87" s="756"/>
      <c r="B87" s="770">
        <v>2009</v>
      </c>
      <c r="C87" s="777">
        <v>-0.5314403196400086</v>
      </c>
      <c r="D87" s="777">
        <v>1.9788127123725685</v>
      </c>
      <c r="E87" s="777">
        <v>2.1653204511010493</v>
      </c>
      <c r="F87" s="777">
        <v>-42.376594922026044</v>
      </c>
      <c r="G87" s="778">
        <v>1.8457233646770987</v>
      </c>
      <c r="H87" s="777">
        <v>0.99365639756530122</v>
      </c>
      <c r="I87" s="174">
        <v>1.8635407273820181</v>
      </c>
      <c r="J87" s="777">
        <v>213.68333333333334</v>
      </c>
      <c r="K87" s="777">
        <v>212.58333333333331</v>
      </c>
      <c r="L87" s="777">
        <v>86.56816666666667</v>
      </c>
      <c r="M87" s="777">
        <v>223.54999999999998</v>
      </c>
      <c r="N87" s="434">
        <v>86.32341666666666</v>
      </c>
      <c r="O87" s="777">
        <v>85.386570596443789</v>
      </c>
      <c r="P87" s="174">
        <v>84.724999999999994</v>
      </c>
      <c r="Q87" s="435"/>
      <c r="R87" s="771"/>
      <c r="S87" s="779"/>
    </row>
    <row r="88" spans="1:21">
      <c r="A88" s="756"/>
      <c r="B88" s="770">
        <v>2010</v>
      </c>
      <c r="C88" s="777">
        <v>4.6213243896731981</v>
      </c>
      <c r="D88" s="777">
        <v>4.7628381027048139</v>
      </c>
      <c r="E88" s="777">
        <v>3.2981715757716801</v>
      </c>
      <c r="F88" s="777">
        <v>0.51442630284053159</v>
      </c>
      <c r="G88" s="778">
        <v>1.3727445527044466</v>
      </c>
      <c r="H88" s="777">
        <v>1.159804630148753</v>
      </c>
      <c r="I88" s="174">
        <v>1.4458542342874026</v>
      </c>
      <c r="J88" s="777">
        <v>223.55833333333334</v>
      </c>
      <c r="K88" s="777">
        <v>222.70833333333331</v>
      </c>
      <c r="L88" s="777">
        <v>89.423333333333332</v>
      </c>
      <c r="M88" s="777">
        <v>224.7</v>
      </c>
      <c r="N88" s="434">
        <v>87.508416666666676</v>
      </c>
      <c r="O88" s="777">
        <v>86.376887995746571</v>
      </c>
      <c r="P88" s="174">
        <v>85.95</v>
      </c>
      <c r="Q88" s="435"/>
      <c r="S88" s="779"/>
    </row>
    <row r="89" spans="1:21">
      <c r="A89" s="756"/>
      <c r="B89" s="770">
        <v>2011</v>
      </c>
      <c r="C89" s="777">
        <v>5.1999850896484734</v>
      </c>
      <c r="D89" s="777">
        <v>5.2871842843779326</v>
      </c>
      <c r="E89" s="777">
        <v>4.463693294069393</v>
      </c>
      <c r="F89" s="777">
        <v>3.0559264204124137</v>
      </c>
      <c r="G89" s="778">
        <v>2.5092824404509599</v>
      </c>
      <c r="H89" s="777">
        <v>3.9651861102623087</v>
      </c>
      <c r="I89" s="174">
        <v>2.1233275159976861</v>
      </c>
      <c r="J89" s="777">
        <v>235.18333333333331</v>
      </c>
      <c r="K89" s="777">
        <v>234.48333333333335</v>
      </c>
      <c r="L89" s="777">
        <v>93.414916666666656</v>
      </c>
      <c r="M89" s="777">
        <v>231.56666666666669</v>
      </c>
      <c r="N89" s="434">
        <v>89.704250000000002</v>
      </c>
      <c r="O89" s="777">
        <v>89.801892361030752</v>
      </c>
      <c r="P89" s="174">
        <v>87.775000000000006</v>
      </c>
      <c r="Q89" s="435"/>
    </row>
    <row r="90" spans="1:21">
      <c r="A90" s="756"/>
      <c r="B90" s="770">
        <v>2012</v>
      </c>
      <c r="C90" s="777">
        <v>3.2067181631351582</v>
      </c>
      <c r="D90" s="777">
        <v>3.216291136541316</v>
      </c>
      <c r="E90" s="777">
        <v>2.8282420990937363</v>
      </c>
      <c r="F90" s="777">
        <v>2.3499352238376181</v>
      </c>
      <c r="G90" s="778">
        <v>3.3419078063005259</v>
      </c>
      <c r="H90" s="777">
        <v>1.6978927941045274</v>
      </c>
      <c r="I90" s="174">
        <v>1.4525776132155999</v>
      </c>
      <c r="J90" s="777">
        <v>242.72500000000002</v>
      </c>
      <c r="K90" s="777">
        <v>242.02499999999998</v>
      </c>
      <c r="L90" s="777">
        <v>96.056916666666652</v>
      </c>
      <c r="M90" s="777">
        <v>237.00833333333335</v>
      </c>
      <c r="N90" s="434">
        <v>92.702083333333334</v>
      </c>
      <c r="O90" s="777">
        <v>91.326632220398196</v>
      </c>
      <c r="P90" s="174">
        <v>89.05</v>
      </c>
      <c r="Q90" s="435"/>
    </row>
    <row r="91" spans="1:21">
      <c r="A91" s="756"/>
      <c r="B91" s="770">
        <v>2013</v>
      </c>
      <c r="C91" s="777">
        <v>3.0418512033508316</v>
      </c>
      <c r="D91" s="777">
        <v>3.0540922081052191</v>
      </c>
      <c r="E91" s="777">
        <v>2.5647988215320439</v>
      </c>
      <c r="F91" s="777">
        <v>2.7952603635596596</v>
      </c>
      <c r="G91" s="778">
        <v>2.4712677259141032</v>
      </c>
      <c r="H91" s="777">
        <v>2.132635712341413</v>
      </c>
      <c r="I91" s="174">
        <v>2.1897810218978186</v>
      </c>
      <c r="J91" s="777">
        <v>250.10833333333335</v>
      </c>
      <c r="K91" s="777">
        <v>249.41666666666666</v>
      </c>
      <c r="L91" s="777">
        <v>98.520583333333335</v>
      </c>
      <c r="M91" s="777">
        <v>243.63333333333335</v>
      </c>
      <c r="N91" s="434">
        <v>94.992999999999995</v>
      </c>
      <c r="O91" s="777">
        <v>93.274296594009115</v>
      </c>
      <c r="P91" s="174">
        <v>91</v>
      </c>
      <c r="Q91" s="435"/>
    </row>
    <row r="92" spans="1:21">
      <c r="B92" s="770">
        <v>2014</v>
      </c>
      <c r="C92" s="777">
        <v>2.3689734448405719</v>
      </c>
      <c r="D92" s="777">
        <v>2.4423655195455973</v>
      </c>
      <c r="E92" s="777">
        <v>1.4610314088342014</v>
      </c>
      <c r="F92" s="777">
        <v>-4.4465727185671877E-2</v>
      </c>
      <c r="G92" s="778">
        <v>2.3398215307092869</v>
      </c>
      <c r="H92" s="777">
        <v>1.0413353974064954</v>
      </c>
      <c r="I92" s="174">
        <v>1.2912087912088088</v>
      </c>
      <c r="J92" s="777">
        <v>256.03333333333336</v>
      </c>
      <c r="K92" s="777">
        <v>255.50833333333333</v>
      </c>
      <c r="L92" s="777">
        <v>99.960000000000008</v>
      </c>
      <c r="M92" s="777">
        <v>243.52500000000001</v>
      </c>
      <c r="N92" s="434">
        <v>97.215666666666664</v>
      </c>
      <c r="O92" s="777">
        <v>94.245594861124459</v>
      </c>
      <c r="P92" s="174">
        <v>92.175000000000011</v>
      </c>
      <c r="Q92" s="435"/>
    </row>
    <row r="93" spans="1:21">
      <c r="B93" s="770">
        <v>2015</v>
      </c>
      <c r="C93" s="777">
        <v>0.97969014451242398</v>
      </c>
      <c r="D93" s="777">
        <v>1.0273637519976564</v>
      </c>
      <c r="E93" s="777">
        <v>4.0099373082536083E-2</v>
      </c>
      <c r="F93" s="777">
        <v>-0.42432330698422005</v>
      </c>
      <c r="G93" s="778">
        <v>2.8640788350300141</v>
      </c>
      <c r="H93" s="777">
        <v>-0.32982572866181448</v>
      </c>
      <c r="I93" s="174">
        <v>0.70518036343909518</v>
      </c>
      <c r="J93" s="777">
        <v>258.54166666666669</v>
      </c>
      <c r="K93" s="777">
        <v>258.13333333333333</v>
      </c>
      <c r="L93" s="777">
        <v>100.00008333333332</v>
      </c>
      <c r="M93" s="777">
        <v>242.49166666666667</v>
      </c>
      <c r="N93" s="434">
        <v>100</v>
      </c>
      <c r="O93" s="777">
        <v>93.934748641142093</v>
      </c>
      <c r="P93" s="174">
        <v>92.825000000000003</v>
      </c>
      <c r="Q93" s="435"/>
    </row>
    <row r="94" spans="1:21">
      <c r="B94" s="770">
        <v>2016</v>
      </c>
      <c r="C94" s="777">
        <v>1.7437550362610521</v>
      </c>
      <c r="D94" s="777">
        <v>1.8724173553718915</v>
      </c>
      <c r="E94" s="777">
        <v>0.6596661169449014</v>
      </c>
      <c r="F94" s="777">
        <v>-3.0928897900271646</v>
      </c>
      <c r="G94" s="778">
        <v>1.7561666666666724</v>
      </c>
      <c r="H94" s="777">
        <v>1.2278551539822047</v>
      </c>
      <c r="I94" s="174">
        <v>1.8314031780231721</v>
      </c>
      <c r="J94" s="777">
        <v>263.04999999999995</v>
      </c>
      <c r="K94" s="777">
        <v>262.96666666666664</v>
      </c>
      <c r="L94" s="777">
        <v>100.65974999999999</v>
      </c>
      <c r="M94" s="777">
        <v>234.99166666666665</v>
      </c>
      <c r="N94" s="434">
        <v>101.75616666666667</v>
      </c>
      <c r="O94" s="777">
        <v>95.088131293712593</v>
      </c>
      <c r="P94" s="174">
        <v>94.525000000000006</v>
      </c>
      <c r="Q94" s="435"/>
    </row>
    <row r="95" spans="1:21">
      <c r="B95" s="770">
        <v>2017</v>
      </c>
      <c r="C95" s="777">
        <v>3.582968922258134</v>
      </c>
      <c r="D95" s="777">
        <v>3.8059323108125209</v>
      </c>
      <c r="E95" s="777">
        <v>2.6831313740927509</v>
      </c>
      <c r="F95" s="777">
        <v>-4.3760416326819929</v>
      </c>
      <c r="G95" s="778">
        <v>0.95088422159508923</v>
      </c>
      <c r="H95" s="777">
        <v>1.6873851756864955</v>
      </c>
      <c r="I95" s="174">
        <v>1.8249140439037248</v>
      </c>
      <c r="J95" s="777">
        <v>272.47499974999999</v>
      </c>
      <c r="K95" s="777">
        <v>272.97499999999997</v>
      </c>
      <c r="L95" s="777">
        <v>103.36058333333332</v>
      </c>
      <c r="M95" s="777">
        <v>224.70833350000001</v>
      </c>
      <c r="N95" s="434">
        <v>102.72375</v>
      </c>
      <c r="O95" s="777">
        <v>96.692634325</v>
      </c>
      <c r="P95" s="174">
        <v>96.25</v>
      </c>
      <c r="Q95" s="435"/>
    </row>
    <row r="96" spans="1:21">
      <c r="B96" s="770">
        <v>2018</v>
      </c>
      <c r="C96" s="777">
        <v>3.3428143897080709</v>
      </c>
      <c r="D96" s="777">
        <v>3.3397441768171943</v>
      </c>
      <c r="E96" s="777">
        <v>2.4780561900208831</v>
      </c>
      <c r="F96" s="777">
        <v>3.5972556620825102</v>
      </c>
      <c r="G96" s="778">
        <v>0.45348162750417487</v>
      </c>
      <c r="H96" s="777">
        <v>1.7194506713011704</v>
      </c>
      <c r="I96" s="174">
        <v>1.7402597402597308</v>
      </c>
      <c r="J96" s="777">
        <v>281.58333325000001</v>
      </c>
      <c r="K96" s="777">
        <v>282.0916666666667</v>
      </c>
      <c r="L96" s="777">
        <v>105.92191666666668</v>
      </c>
      <c r="M96" s="777">
        <v>232.79166674999999</v>
      </c>
      <c r="N96" s="434">
        <v>103.18958333333333</v>
      </c>
      <c r="O96" s="777">
        <v>98.355216474999992</v>
      </c>
      <c r="P96" s="174">
        <v>97.924999999999997</v>
      </c>
      <c r="Q96" s="435"/>
    </row>
    <row r="97" spans="2:18">
      <c r="B97" s="770">
        <v>2019</v>
      </c>
      <c r="C97" s="777">
        <v>2.5628884588821732</v>
      </c>
      <c r="D97" s="777">
        <v>2.5464535759652351</v>
      </c>
      <c r="E97" s="777">
        <v>1.7910205867057716</v>
      </c>
      <c r="F97" s="777">
        <v>3.1072131365286415</v>
      </c>
      <c r="G97" s="778">
        <v>0.73416648159738429</v>
      </c>
      <c r="H97" s="777">
        <v>1.6728099270852725</v>
      </c>
      <c r="I97" s="174">
        <v>2.1189685984171591</v>
      </c>
      <c r="J97" s="777">
        <v>288.8</v>
      </c>
      <c r="K97" s="777">
        <v>289.27499999999998</v>
      </c>
      <c r="L97" s="777">
        <v>107.81900000000002</v>
      </c>
      <c r="M97" s="777">
        <v>240.02499999999998</v>
      </c>
      <c r="N97" s="434">
        <v>103.94716666666667</v>
      </c>
      <c r="O97" s="777">
        <v>100.00051230000001</v>
      </c>
      <c r="P97" s="174">
        <v>100</v>
      </c>
      <c r="Q97" s="435"/>
    </row>
    <row r="98" spans="2:18">
      <c r="B98" s="770">
        <v>2020</v>
      </c>
      <c r="C98" s="777">
        <v>1.5033471260387898</v>
      </c>
      <c r="D98" s="777">
        <v>1.6823668366318101</v>
      </c>
      <c r="E98" s="777">
        <v>0.85065402820156955</v>
      </c>
      <c r="F98" s="777">
        <v>-5.5792799708363479</v>
      </c>
      <c r="G98" s="778">
        <v>1.4070449250660886</v>
      </c>
      <c r="H98" s="777">
        <v>1.0168639906057653</v>
      </c>
      <c r="I98" s="174">
        <v>6.174999999999975</v>
      </c>
      <c r="J98" s="777">
        <v>293.14166650000004</v>
      </c>
      <c r="K98" s="777">
        <v>294.14166666666665</v>
      </c>
      <c r="L98" s="777">
        <v>108.73616666666668</v>
      </c>
      <c r="M98" s="777">
        <v>226.63333325000002</v>
      </c>
      <c r="N98" s="434">
        <v>105.40975</v>
      </c>
      <c r="O98" s="777">
        <v>101.0173815</v>
      </c>
      <c r="P98" s="174">
        <v>106.17499999999998</v>
      </c>
      <c r="Q98" s="435"/>
    </row>
    <row r="99" spans="2:18">
      <c r="B99" s="770">
        <v>2021</v>
      </c>
      <c r="C99" s="777">
        <v>4.0452569031158125</v>
      </c>
      <c r="D99" s="777">
        <v>4.1901578037793819</v>
      </c>
      <c r="E99" s="777">
        <v>2.5882219500718229</v>
      </c>
      <c r="F99" s="777">
        <v>-2.2576849912699259</v>
      </c>
      <c r="G99" s="778">
        <v>1.6839840084368944</v>
      </c>
      <c r="H99" s="777">
        <v>2.4539368504617132</v>
      </c>
      <c r="I99" s="174">
        <v>-0.21191429244170612</v>
      </c>
      <c r="J99" s="777">
        <v>305</v>
      </c>
      <c r="K99" s="777">
        <v>306.4666666666667</v>
      </c>
      <c r="L99" s="777">
        <v>111.55050000000001</v>
      </c>
      <c r="M99" s="777">
        <v>221.51666650000001</v>
      </c>
      <c r="N99" s="434">
        <v>107.18483333333333</v>
      </c>
      <c r="O99" s="777">
        <v>103.49628425</v>
      </c>
      <c r="P99" s="174">
        <v>105.95</v>
      </c>
      <c r="Q99" s="435"/>
    </row>
    <row r="100" spans="2:18">
      <c r="B100" s="770">
        <v>2022</v>
      </c>
      <c r="C100" s="777">
        <v>11.584699426229506</v>
      </c>
      <c r="D100" s="777">
        <v>11.504785729823785</v>
      </c>
      <c r="E100" s="777">
        <v>9.0667455547039033</v>
      </c>
      <c r="F100" s="777">
        <v>14.622676935236356</v>
      </c>
      <c r="G100" s="778">
        <v>3.4697850597643622</v>
      </c>
      <c r="H100" s="777">
        <v>7.7696646872614572</v>
      </c>
      <c r="I100" s="174">
        <v>5.0967437470504917</v>
      </c>
      <c r="J100" s="777">
        <v>340.33333325000001</v>
      </c>
      <c r="K100" s="777">
        <v>341.72499999999997</v>
      </c>
      <c r="L100" s="777">
        <v>121.6645</v>
      </c>
      <c r="M100" s="777">
        <v>253.90833299999997</v>
      </c>
      <c r="N100" s="434">
        <v>110.90391666666667</v>
      </c>
      <c r="O100" s="777">
        <v>111.5375985</v>
      </c>
      <c r="P100" s="174">
        <v>111.35</v>
      </c>
      <c r="Q100" s="435"/>
    </row>
    <row r="101" spans="2:18">
      <c r="B101" s="770">
        <v>2023</v>
      </c>
      <c r="C101" s="777">
        <v>8.8846248062890876</v>
      </c>
      <c r="D101" s="777">
        <v>7.6692078519693174</v>
      </c>
      <c r="E101" s="777">
        <v>6.1305643823576617</v>
      </c>
      <c r="F101" s="777">
        <v>55.264491851080756</v>
      </c>
      <c r="G101" s="778">
        <v>4.8092264507971549</v>
      </c>
      <c r="H101" s="777">
        <v>4.9777687745357069</v>
      </c>
      <c r="I101" s="174">
        <v>2.8868242624778384</v>
      </c>
      <c r="J101" s="777">
        <v>370.570673</v>
      </c>
      <c r="K101" s="777">
        <v>367.93260053214215</v>
      </c>
      <c r="L101" s="777">
        <v>129.12322050297354</v>
      </c>
      <c r="M101" s="777">
        <v>394.22948299999996</v>
      </c>
      <c r="N101" s="434">
        <v>116.23753716197005</v>
      </c>
      <c r="O101" s="777">
        <v>117.08968225000001</v>
      </c>
      <c r="P101" s="174">
        <v>114.56447881626907</v>
      </c>
      <c r="Q101" s="435"/>
    </row>
    <row r="102" spans="2:18">
      <c r="B102" s="770">
        <v>2024</v>
      </c>
      <c r="C102" s="777">
        <v>1.6221975828076385</v>
      </c>
      <c r="D102" s="777">
        <v>0.87349533311031902</v>
      </c>
      <c r="E102" s="777">
        <v>0.85674714548986675</v>
      </c>
      <c r="F102" s="777">
        <v>21.437977027202713</v>
      </c>
      <c r="G102" s="778">
        <v>3.3373930220801356</v>
      </c>
      <c r="H102" s="777">
        <v>1.0470192389645749</v>
      </c>
      <c r="I102" s="174">
        <v>1.909991756091789</v>
      </c>
      <c r="J102" s="777">
        <v>376.58206150000001</v>
      </c>
      <c r="K102" s="777">
        <v>371.14647462678181</v>
      </c>
      <c r="L102" s="777">
        <v>130.22948000879734</v>
      </c>
      <c r="M102" s="777">
        <v>478.74430899999999</v>
      </c>
      <c r="N102" s="434">
        <v>120.11684061625144</v>
      </c>
      <c r="O102" s="777">
        <v>118.31563375</v>
      </c>
      <c r="P102" s="174">
        <v>116.75265091706933</v>
      </c>
      <c r="Q102" s="780"/>
    </row>
    <row r="103" spans="2:18">
      <c r="B103" s="770">
        <v>2025</v>
      </c>
      <c r="C103" s="777">
        <v>0.97252567884198449</v>
      </c>
      <c r="D103" s="777">
        <v>0.80176082250880132</v>
      </c>
      <c r="E103" s="777">
        <v>0.11558271762361905</v>
      </c>
      <c r="F103" s="777">
        <v>4.7267746737852168</v>
      </c>
      <c r="G103" s="778">
        <v>2.6221863336363356</v>
      </c>
      <c r="H103" s="777">
        <v>0.4137591411075725</v>
      </c>
      <c r="I103" s="174">
        <v>1.0653341782776993</v>
      </c>
      <c r="J103" s="777">
        <v>380.24441875000002</v>
      </c>
      <c r="K103" s="777">
        <v>374.12218165446188</v>
      </c>
      <c r="L103" s="777">
        <v>130.38000278093861</v>
      </c>
      <c r="M103" s="777">
        <v>501.37347375000002</v>
      </c>
      <c r="N103" s="434">
        <v>123.26652799528652</v>
      </c>
      <c r="O103" s="777">
        <v>118.80517549999999</v>
      </c>
      <c r="P103" s="174">
        <v>117.99645681133411</v>
      </c>
      <c r="Q103" s="435"/>
    </row>
    <row r="104" spans="2:18">
      <c r="B104" s="770">
        <v>2026</v>
      </c>
      <c r="C104" s="777">
        <v>1.7286034129330607</v>
      </c>
      <c r="D104" s="777">
        <v>1.5657945741847534</v>
      </c>
      <c r="E104" s="777">
        <v>0.49967691413774773</v>
      </c>
      <c r="F104" s="777">
        <v>5.173790618794194</v>
      </c>
      <c r="G104" s="778">
        <v>0.8849915214719033</v>
      </c>
      <c r="H104" s="777">
        <v>0.73801456570383728</v>
      </c>
      <c r="I104" s="174">
        <v>1.0397301580388651</v>
      </c>
      <c r="J104" s="777">
        <v>386.81733674999998</v>
      </c>
      <c r="K104" s="777">
        <v>379.98016647562906</v>
      </c>
      <c r="L104" s="777">
        <v>131.03148155548712</v>
      </c>
      <c r="M104" s="777">
        <v>527.31348750000006</v>
      </c>
      <c r="N104" s="434">
        <v>124.3574263168576</v>
      </c>
      <c r="O104" s="777">
        <v>119.68197499999999</v>
      </c>
      <c r="P104" s="174">
        <v>119.22330155821885</v>
      </c>
      <c r="Q104" s="435"/>
    </row>
    <row r="105" spans="2:18">
      <c r="B105" s="773">
        <v>2027</v>
      </c>
      <c r="C105" s="781">
        <v>2.802018348263724</v>
      </c>
      <c r="D105" s="781">
        <v>2.7015506612994011</v>
      </c>
      <c r="E105" s="781">
        <v>1.5726789585521983</v>
      </c>
      <c r="F105" s="781">
        <v>4.855078924944034</v>
      </c>
      <c r="G105" s="782">
        <v>1.0691635144232379</v>
      </c>
      <c r="H105" s="781">
        <v>1.6506915515055676</v>
      </c>
      <c r="I105" s="783">
        <v>1.6096367957783686</v>
      </c>
      <c r="J105" s="781">
        <v>397.65602950000005</v>
      </c>
      <c r="K105" s="781">
        <v>390.24552317585801</v>
      </c>
      <c r="L105" s="781">
        <v>133.09218609498947</v>
      </c>
      <c r="M105" s="781">
        <v>552.91497349999997</v>
      </c>
      <c r="N105" s="784">
        <v>125.68701054651321</v>
      </c>
      <c r="O105" s="781">
        <v>121.65755525</v>
      </c>
      <c r="P105" s="783">
        <v>121.14236368924175</v>
      </c>
      <c r="Q105" s="435"/>
    </row>
    <row r="106" spans="2:18">
      <c r="B106" s="770" t="s">
        <v>324</v>
      </c>
      <c r="C106" s="434">
        <v>2.9765472052419195</v>
      </c>
      <c r="D106" s="777">
        <v>3.9667782323044465</v>
      </c>
      <c r="E106" s="777">
        <v>3.769224768583479</v>
      </c>
      <c r="F106" s="777">
        <v>-12.78432190138642</v>
      </c>
      <c r="G106" s="778">
        <v>3.2345869116985995</v>
      </c>
      <c r="H106" s="777">
        <v>3.8087495677349814</v>
      </c>
      <c r="I106" s="174">
        <v>3.6111111111110983</v>
      </c>
      <c r="J106" s="777">
        <v>214.78333333333333</v>
      </c>
      <c r="K106" s="777">
        <v>209.67500000000001</v>
      </c>
      <c r="L106" s="777">
        <v>85.356499999999997</v>
      </c>
      <c r="M106" s="777">
        <v>348.60833333333335</v>
      </c>
      <c r="N106" s="434">
        <v>85.366916666666654</v>
      </c>
      <c r="O106" s="777">
        <v>85.099400846311269</v>
      </c>
      <c r="P106" s="793">
        <v>83.924999999999997</v>
      </c>
      <c r="Q106" s="435"/>
      <c r="R106" s="771"/>
    </row>
    <row r="107" spans="2:18">
      <c r="B107" s="770" t="s">
        <v>325</v>
      </c>
      <c r="C107" s="434">
        <v>0.45782571583767862</v>
      </c>
      <c r="D107" s="777">
        <v>2.5197726640435514</v>
      </c>
      <c r="E107" s="777">
        <v>2.2387476837343101</v>
      </c>
      <c r="F107" s="777">
        <v>-37.809863026797032</v>
      </c>
      <c r="G107" s="778">
        <v>1.405111074450204</v>
      </c>
      <c r="H107" s="777">
        <v>0.32697718336553994</v>
      </c>
      <c r="I107" s="174">
        <v>1.3106940720881921</v>
      </c>
      <c r="J107" s="777">
        <v>215.76666666666668</v>
      </c>
      <c r="K107" s="777">
        <v>214.95833333333331</v>
      </c>
      <c r="L107" s="777">
        <v>87.267416666666676</v>
      </c>
      <c r="M107" s="777">
        <v>216.79999999999998</v>
      </c>
      <c r="N107" s="434">
        <v>86.566416666666669</v>
      </c>
      <c r="O107" s="777">
        <v>85.377656470259495</v>
      </c>
      <c r="P107" s="793">
        <v>85.025000000000006</v>
      </c>
      <c r="Q107" s="435"/>
      <c r="R107" s="771"/>
    </row>
    <row r="108" spans="2:18">
      <c r="B108" s="770" t="s">
        <v>188</v>
      </c>
      <c r="C108" s="434">
        <v>4.9629229105515149</v>
      </c>
      <c r="D108" s="777">
        <v>4.9622019771273562</v>
      </c>
      <c r="E108" s="777">
        <v>3.5112379668241767</v>
      </c>
      <c r="F108" s="777">
        <v>4.8124231242312687</v>
      </c>
      <c r="G108" s="778">
        <v>1.5559344125945813</v>
      </c>
      <c r="H108" s="777">
        <v>2.2454616923984982</v>
      </c>
      <c r="I108" s="174">
        <v>1.6759776536312776</v>
      </c>
      <c r="J108" s="777">
        <v>226.47499999999999</v>
      </c>
      <c r="K108" s="777">
        <v>225.625</v>
      </c>
      <c r="L108" s="777">
        <v>90.331583333333327</v>
      </c>
      <c r="M108" s="777">
        <v>227.23333333333338</v>
      </c>
      <c r="N108" s="434">
        <v>87.913333333333341</v>
      </c>
      <c r="O108" s="777">
        <v>87.294779040166759</v>
      </c>
      <c r="P108" s="793">
        <v>86.45</v>
      </c>
    </row>
    <row r="109" spans="2:18">
      <c r="B109" s="770" t="s">
        <v>189</v>
      </c>
      <c r="C109" s="434">
        <v>4.7981749273282581</v>
      </c>
      <c r="D109" s="777">
        <v>4.9012003693444051</v>
      </c>
      <c r="E109" s="777">
        <v>4.3005445677453125</v>
      </c>
      <c r="F109" s="777">
        <v>2.1197007481296604</v>
      </c>
      <c r="G109" s="778">
        <v>2.7878782133919628</v>
      </c>
      <c r="H109" s="777">
        <v>3.3838327761862796</v>
      </c>
      <c r="I109" s="174">
        <v>1.7929438982070556</v>
      </c>
      <c r="J109" s="777">
        <v>237.34166666666667</v>
      </c>
      <c r="K109" s="777">
        <v>236.68333333333334</v>
      </c>
      <c r="L109" s="777">
        <v>94.216333333333324</v>
      </c>
      <c r="M109" s="777">
        <v>232.05</v>
      </c>
      <c r="N109" s="434">
        <v>90.364249999999998</v>
      </c>
      <c r="O109" s="777">
        <v>90.248688385227311</v>
      </c>
      <c r="P109" s="793">
        <v>88</v>
      </c>
    </row>
    <row r="110" spans="2:18">
      <c r="B110" s="770" t="s">
        <v>190</v>
      </c>
      <c r="C110" s="434">
        <v>3.0897791510129613</v>
      </c>
      <c r="D110" s="777">
        <v>3.0737272023096951</v>
      </c>
      <c r="E110" s="777">
        <v>2.6538215242226437</v>
      </c>
      <c r="F110" s="777">
        <v>3.2320620555914781</v>
      </c>
      <c r="G110" s="778">
        <v>3.398191209466134</v>
      </c>
      <c r="H110" s="777">
        <v>1.7524857951409567</v>
      </c>
      <c r="I110" s="174">
        <v>1.7045454545454586</v>
      </c>
      <c r="J110" s="777">
        <v>244.67500000000001</v>
      </c>
      <c r="K110" s="777">
        <v>243.95833333333334</v>
      </c>
      <c r="L110" s="777">
        <v>96.716666666666669</v>
      </c>
      <c r="M110" s="777">
        <v>239.55</v>
      </c>
      <c r="N110" s="434">
        <v>93.435000000000002</v>
      </c>
      <c r="O110" s="777">
        <v>91.830283829479441</v>
      </c>
      <c r="P110" s="793">
        <v>89.5</v>
      </c>
    </row>
    <row r="111" spans="2:18">
      <c r="B111" s="770" t="s">
        <v>191</v>
      </c>
      <c r="C111" s="434">
        <v>2.8847791287762492</v>
      </c>
      <c r="D111" s="777">
        <v>2.9137489325362864</v>
      </c>
      <c r="E111" s="777">
        <v>2.3043253489574145</v>
      </c>
      <c r="F111" s="777">
        <v>1.7985110971961316</v>
      </c>
      <c r="G111" s="778">
        <v>2.1783414494925211</v>
      </c>
      <c r="H111" s="777">
        <v>1.8716459204910274</v>
      </c>
      <c r="I111" s="174">
        <v>2.0949720670391025</v>
      </c>
      <c r="J111" s="777">
        <v>251.73333333333332</v>
      </c>
      <c r="K111" s="777">
        <v>251.06666666666666</v>
      </c>
      <c r="L111" s="777">
        <v>98.945333333333323</v>
      </c>
      <c r="M111" s="777">
        <v>243.85833333333335</v>
      </c>
      <c r="N111" s="434">
        <v>95.470333333333329</v>
      </c>
      <c r="O111" s="777">
        <v>93.549021590549216</v>
      </c>
      <c r="P111" s="793">
        <v>91.375</v>
      </c>
    </row>
    <row r="112" spans="2:18">
      <c r="B112" s="770" t="s">
        <v>192</v>
      </c>
      <c r="C112" s="434">
        <v>1.9597457627118731</v>
      </c>
      <c r="D112" s="777">
        <v>2.0280138077535703</v>
      </c>
      <c r="E112" s="777">
        <v>1.0507485614952516</v>
      </c>
      <c r="F112" s="777">
        <v>-5.1259269384551498E-2</v>
      </c>
      <c r="G112" s="778">
        <v>2.5326366654911965</v>
      </c>
      <c r="H112" s="777">
        <v>0.69445047934324489</v>
      </c>
      <c r="I112" s="174">
        <v>1.1217510259917907</v>
      </c>
      <c r="J112" s="777">
        <v>256.66666666666669</v>
      </c>
      <c r="K112" s="777">
        <v>256.1583333333333</v>
      </c>
      <c r="L112" s="777">
        <v>99.985000000000014</v>
      </c>
      <c r="M112" s="777">
        <v>243.73333333333335</v>
      </c>
      <c r="N112" s="434">
        <v>97.888249999999999</v>
      </c>
      <c r="O112" s="777">
        <v>94.198673219405705</v>
      </c>
      <c r="P112" s="793">
        <v>92.399999999999991</v>
      </c>
    </row>
    <row r="113" spans="2:38">
      <c r="B113" s="770" t="s">
        <v>193</v>
      </c>
      <c r="C113" s="434">
        <v>1.0779220779220777</v>
      </c>
      <c r="D113" s="777">
        <v>1.1386186928657338</v>
      </c>
      <c r="E113" s="777">
        <v>0.10134853561365453</v>
      </c>
      <c r="F113" s="777">
        <v>-0.93681619256018589</v>
      </c>
      <c r="G113" s="778">
        <v>2.8951380783699818</v>
      </c>
      <c r="H113" s="777">
        <v>-0.13564379653451253</v>
      </c>
      <c r="I113" s="174">
        <v>0.7575757575757569</v>
      </c>
      <c r="J113" s="777">
        <v>259.43333333333334</v>
      </c>
      <c r="K113" s="777">
        <v>259.07499999999993</v>
      </c>
      <c r="L113" s="777">
        <v>100.08633333333333</v>
      </c>
      <c r="M113" s="777">
        <v>241.45</v>
      </c>
      <c r="N113" s="434">
        <v>100.72225</v>
      </c>
      <c r="O113" s="777">
        <v>94.070898562765763</v>
      </c>
      <c r="P113" s="793">
        <v>93.1</v>
      </c>
    </row>
    <row r="114" spans="2:38">
      <c r="B114" s="770" t="s">
        <v>165</v>
      </c>
      <c r="C114" s="434">
        <v>2.1424900102787969</v>
      </c>
      <c r="D114" s="777">
        <v>2.3191482517932682</v>
      </c>
      <c r="E114" s="777">
        <v>1.1074605590506881</v>
      </c>
      <c r="F114" s="777">
        <v>-4.2244771174156153</v>
      </c>
      <c r="G114" s="778">
        <v>1.33113587117046</v>
      </c>
      <c r="H114" s="777">
        <v>1.5448252990847067</v>
      </c>
      <c r="I114" s="174">
        <v>2.0408163265306367</v>
      </c>
      <c r="J114" s="777">
        <v>264.99166658333331</v>
      </c>
      <c r="K114" s="777">
        <v>265.08333333333331</v>
      </c>
      <c r="L114" s="777">
        <v>101.19475</v>
      </c>
      <c r="M114" s="777">
        <v>231.25</v>
      </c>
      <c r="N114" s="434">
        <v>102.063</v>
      </c>
      <c r="O114" s="777">
        <v>95.524129602839679</v>
      </c>
      <c r="P114" s="793">
        <v>95.000000000000014</v>
      </c>
    </row>
    <row r="115" spans="2:38">
      <c r="B115" s="770" t="s">
        <v>167</v>
      </c>
      <c r="C115" s="434">
        <v>3.7422560469644539</v>
      </c>
      <c r="D115" s="777">
        <v>3.9075762338887099</v>
      </c>
      <c r="E115" s="777">
        <v>2.824915982960241</v>
      </c>
      <c r="F115" s="777">
        <v>-2.2882882162162166</v>
      </c>
      <c r="G115" s="778">
        <v>0.72634875844657643</v>
      </c>
      <c r="H115" s="777">
        <v>1.7280172601659149</v>
      </c>
      <c r="I115" s="174">
        <v>1.6842105263157769</v>
      </c>
      <c r="J115" s="777">
        <v>274.90833325</v>
      </c>
      <c r="K115" s="777">
        <v>275.44166666666666</v>
      </c>
      <c r="L115" s="777">
        <v>104.05341666666666</v>
      </c>
      <c r="M115" s="777">
        <v>225.95833350000001</v>
      </c>
      <c r="N115" s="434">
        <v>102.80433333333333</v>
      </c>
      <c r="O115" s="777">
        <v>97.174803050000008</v>
      </c>
      <c r="P115" s="793">
        <v>96.6</v>
      </c>
    </row>
    <row r="116" spans="2:38">
      <c r="B116" s="770" t="s">
        <v>168</v>
      </c>
      <c r="C116" s="434">
        <v>3.0555639767970044</v>
      </c>
      <c r="D116" s="777">
        <v>3.0314948718724644</v>
      </c>
      <c r="E116" s="777">
        <v>2.2675853187585693</v>
      </c>
      <c r="F116" s="777">
        <v>4.0973630432621366</v>
      </c>
      <c r="G116" s="778">
        <v>0.54375139828735541</v>
      </c>
      <c r="H116" s="777">
        <v>1.5535280264197926</v>
      </c>
      <c r="I116" s="174">
        <v>1.8115942028985588</v>
      </c>
      <c r="J116" s="777">
        <v>283.30833325000003</v>
      </c>
      <c r="K116" s="777">
        <v>283.79166666666669</v>
      </c>
      <c r="L116" s="777">
        <v>106.41291666666667</v>
      </c>
      <c r="M116" s="777">
        <v>235.21666675</v>
      </c>
      <c r="N116" s="434">
        <v>103.36333333333333</v>
      </c>
      <c r="O116" s="777">
        <v>98.684440850000001</v>
      </c>
      <c r="P116" s="793">
        <v>98.35</v>
      </c>
      <c r="S116" s="754">
        <v>83.924999999999997</v>
      </c>
      <c r="T116" s="754">
        <v>85.025000000000006</v>
      </c>
      <c r="U116" s="754">
        <v>86.45</v>
      </c>
      <c r="V116" s="754">
        <v>88</v>
      </c>
      <c r="W116" s="754">
        <v>89.5</v>
      </c>
      <c r="X116" s="754">
        <v>91.375</v>
      </c>
      <c r="Y116" s="754">
        <v>92.399999999999991</v>
      </c>
      <c r="Z116" s="754">
        <v>93.1</v>
      </c>
      <c r="AA116" s="754">
        <v>95.000000000000014</v>
      </c>
      <c r="AB116" s="754">
        <v>96.6</v>
      </c>
      <c r="AC116" s="754">
        <v>98.35</v>
      </c>
      <c r="AD116" s="754">
        <v>100.9</v>
      </c>
      <c r="AE116" s="754">
        <v>107.22500000000001</v>
      </c>
      <c r="AF116" s="754">
        <v>106.42500000000001</v>
      </c>
      <c r="AG116" s="754">
        <v>112.47365648063044</v>
      </c>
      <c r="AH116" s="754">
        <v>115.31321736598225</v>
      </c>
      <c r="AI116" s="754">
        <v>117.12306758083731</v>
      </c>
      <c r="AJ116" s="754">
        <v>118.25174249496325</v>
      </c>
      <c r="AK116" s="754">
        <v>119.66754754478164</v>
      </c>
      <c r="AL116" s="754">
        <v>121.64475424934196</v>
      </c>
    </row>
    <row r="117" spans="2:38">
      <c r="B117" s="770" t="s">
        <v>169</v>
      </c>
      <c r="C117" s="434">
        <v>2.5884636593194843</v>
      </c>
      <c r="D117" s="777">
        <v>2.6016737630303988</v>
      </c>
      <c r="E117" s="777">
        <v>1.7392938670509173</v>
      </c>
      <c r="F117" s="777">
        <v>1.8422730454749958</v>
      </c>
      <c r="G117" s="778">
        <v>0.75518397884486888</v>
      </c>
      <c r="H117" s="777">
        <v>1.681954709074085</v>
      </c>
      <c r="I117" s="174">
        <v>2.5927808845958467</v>
      </c>
      <c r="J117" s="777">
        <v>290.64166650000004</v>
      </c>
      <c r="K117" s="777">
        <v>291.17500000000001</v>
      </c>
      <c r="L117" s="777">
        <v>108.26375</v>
      </c>
      <c r="M117" s="777">
        <v>239.55</v>
      </c>
      <c r="N117" s="434">
        <v>104.14391666666667</v>
      </c>
      <c r="O117" s="777">
        <v>100.34426845</v>
      </c>
      <c r="P117" s="793">
        <v>100.9</v>
      </c>
    </row>
    <row r="118" spans="2:38">
      <c r="B118" s="770" t="s">
        <v>170</v>
      </c>
      <c r="C118" s="434">
        <v>1.2128336733163936</v>
      </c>
      <c r="D118" s="777">
        <v>1.4195357889012827</v>
      </c>
      <c r="E118" s="777">
        <v>0.5890706723164385</v>
      </c>
      <c r="F118" s="777">
        <v>-7.1731719891463319</v>
      </c>
      <c r="G118" s="778">
        <v>1.671645087287061</v>
      </c>
      <c r="H118" s="777">
        <v>1.0818966710998135</v>
      </c>
      <c r="I118" s="174">
        <v>6.268582755203167</v>
      </c>
      <c r="J118" s="777">
        <v>294.16666649999996</v>
      </c>
      <c r="K118" s="777">
        <v>295.30833333333334</v>
      </c>
      <c r="L118" s="777">
        <v>108.9015</v>
      </c>
      <c r="M118" s="777">
        <v>222.36666649999998</v>
      </c>
      <c r="N118" s="434">
        <v>105.88483333333333</v>
      </c>
      <c r="O118" s="777">
        <v>101.42988975</v>
      </c>
      <c r="P118" s="793">
        <v>107.22500000000001</v>
      </c>
    </row>
    <row r="119" spans="2:38">
      <c r="B119" s="770" t="s">
        <v>171</v>
      </c>
      <c r="C119" s="434">
        <v>5.7762040825927619</v>
      </c>
      <c r="D119" s="777">
        <v>5.9118999915342751</v>
      </c>
      <c r="E119" s="777">
        <v>3.9909153378664852</v>
      </c>
      <c r="F119" s="777">
        <v>0.26982461420315129</v>
      </c>
      <c r="G119" s="778">
        <v>1.817934265058426</v>
      </c>
      <c r="H119" s="777">
        <v>3.314499314044661</v>
      </c>
      <c r="I119" s="174">
        <v>-0.74609466076007713</v>
      </c>
      <c r="J119" s="777">
        <v>311.15833349999997</v>
      </c>
      <c r="K119" s="777">
        <v>312.76666666666665</v>
      </c>
      <c r="L119" s="777">
        <v>113.24766666666667</v>
      </c>
      <c r="M119" s="777">
        <v>222.9666665</v>
      </c>
      <c r="N119" s="434">
        <v>107.80975000000001</v>
      </c>
      <c r="O119" s="777">
        <v>104.79178275</v>
      </c>
      <c r="P119" s="793">
        <v>106.42500000000001</v>
      </c>
      <c r="S119" s="754">
        <v>85.356499999999997</v>
      </c>
      <c r="T119" s="754">
        <v>87.267416666666676</v>
      </c>
      <c r="U119" s="754">
        <v>90.331583333333327</v>
      </c>
      <c r="V119" s="754">
        <v>94.216333333333324</v>
      </c>
      <c r="W119" s="754">
        <v>96.716666666666669</v>
      </c>
      <c r="X119" s="754">
        <v>98.945333333333323</v>
      </c>
      <c r="Y119" s="754">
        <v>99.985000000000014</v>
      </c>
      <c r="Z119" s="754">
        <v>100.08633333333333</v>
      </c>
      <c r="AA119" s="754">
        <v>101.19475</v>
      </c>
      <c r="AB119" s="754">
        <v>104.05341666666666</v>
      </c>
      <c r="AC119" s="754">
        <v>106.41291666666667</v>
      </c>
      <c r="AD119" s="754">
        <v>108.26375</v>
      </c>
      <c r="AE119" s="754">
        <v>108.9015</v>
      </c>
      <c r="AF119" s="754">
        <v>113.24766666666667</v>
      </c>
      <c r="AG119" s="754">
        <v>124.46191398696955</v>
      </c>
      <c r="AH119" s="754">
        <v>129.60983640072018</v>
      </c>
      <c r="AI119" s="754">
        <v>130.3993653450795</v>
      </c>
      <c r="AJ119" s="754">
        <v>130.37038882042992</v>
      </c>
      <c r="AK119" s="754">
        <v>131.46529343265235</v>
      </c>
      <c r="AL119" s="754">
        <v>133.74820795115136</v>
      </c>
    </row>
    <row r="120" spans="2:38">
      <c r="B120" s="770" t="s">
        <v>172</v>
      </c>
      <c r="C120" s="434">
        <v>12.701480322075319</v>
      </c>
      <c r="D120" s="777">
        <v>12.353289975863824</v>
      </c>
      <c r="E120" s="777">
        <v>9.9024091624871247</v>
      </c>
      <c r="F120" s="777">
        <v>26.329005439026009</v>
      </c>
      <c r="G120" s="778">
        <v>4.1093222417434987</v>
      </c>
      <c r="H120" s="777">
        <v>8.4696509755675322</v>
      </c>
      <c r="I120" s="174">
        <v>5.683492112408195</v>
      </c>
      <c r="J120" s="777">
        <v>350.68004799999994</v>
      </c>
      <c r="K120" s="777">
        <v>351.40363994784343</v>
      </c>
      <c r="L120" s="777">
        <v>124.46191398696955</v>
      </c>
      <c r="M120" s="777">
        <v>281.67157225</v>
      </c>
      <c r="N120" s="434">
        <v>112.24000003551807</v>
      </c>
      <c r="O120" s="777">
        <v>113.66728099999999</v>
      </c>
      <c r="P120" s="793">
        <v>112.47365648063044</v>
      </c>
    </row>
    <row r="121" spans="2:38">
      <c r="B121" s="770" t="s">
        <v>173</v>
      </c>
      <c r="C121" s="434">
        <v>6.362778514847256</v>
      </c>
      <c r="D121" s="777">
        <v>5.0854191932880877</v>
      </c>
      <c r="E121" s="777">
        <v>4.1361427354311697</v>
      </c>
      <c r="F121" s="777">
        <v>51.58522267239556</v>
      </c>
      <c r="G121" s="778">
        <v>4.5427697051455738</v>
      </c>
      <c r="H121" s="777">
        <v>3.4350161855283723</v>
      </c>
      <c r="I121" s="174">
        <v>2.5246453029121874</v>
      </c>
      <c r="J121" s="777">
        <v>372.99304274999997</v>
      </c>
      <c r="K121" s="777">
        <v>369.27398809966405</v>
      </c>
      <c r="L121" s="777">
        <v>129.60983640072018</v>
      </c>
      <c r="M121" s="777">
        <v>426.97248000000002</v>
      </c>
      <c r="N121" s="434">
        <v>117.33880475418697</v>
      </c>
      <c r="O121" s="777">
        <v>117.5717705</v>
      </c>
      <c r="P121" s="793">
        <v>115.31321736598225</v>
      </c>
    </row>
    <row r="122" spans="2:38">
      <c r="B122" s="770" t="s">
        <v>174</v>
      </c>
      <c r="C122" s="434">
        <v>1.233990442841848</v>
      </c>
      <c r="D122" s="777">
        <v>0.74187999024417639</v>
      </c>
      <c r="E122" s="777">
        <v>0.60915819839344465</v>
      </c>
      <c r="F122" s="777">
        <v>13.303628608569795</v>
      </c>
      <c r="G122" s="778">
        <v>3.1921076539173754</v>
      </c>
      <c r="H122" s="777">
        <v>0.82754239887881109</v>
      </c>
      <c r="I122" s="174">
        <v>1.5695080374966475</v>
      </c>
      <c r="J122" s="777">
        <v>377.59574125</v>
      </c>
      <c r="K122" s="777">
        <v>372.0135579265521</v>
      </c>
      <c r="L122" s="777">
        <v>130.3993653450795</v>
      </c>
      <c r="M122" s="777">
        <v>483.77531299999998</v>
      </c>
      <c r="N122" s="434">
        <v>121.08438572176054</v>
      </c>
      <c r="O122" s="777">
        <v>118.54472675</v>
      </c>
      <c r="P122" s="793">
        <v>117.12306758083731</v>
      </c>
      <c r="S122" s="754">
        <v>85.099400846311269</v>
      </c>
      <c r="T122" s="754">
        <v>85.377656470259495</v>
      </c>
      <c r="U122" s="754">
        <v>87.294779040166759</v>
      </c>
      <c r="V122" s="754">
        <v>90.248688385227311</v>
      </c>
      <c r="W122" s="754">
        <v>91.830283829479441</v>
      </c>
      <c r="X122" s="754">
        <v>93.549021590549216</v>
      </c>
      <c r="Y122" s="754">
        <v>94.198673219405705</v>
      </c>
      <c r="Z122" s="754">
        <v>94.070898562765763</v>
      </c>
      <c r="AA122" s="754">
        <v>95.524129602839679</v>
      </c>
      <c r="AB122" s="754">
        <v>97.174803050000008</v>
      </c>
      <c r="AC122" s="754">
        <v>98.684440850000001</v>
      </c>
      <c r="AD122" s="754">
        <v>100.34426845</v>
      </c>
      <c r="AE122" s="754">
        <v>101.42988975</v>
      </c>
      <c r="AF122" s="754">
        <v>104.79178275</v>
      </c>
      <c r="AG122" s="754">
        <v>113.66728099999999</v>
      </c>
      <c r="AH122" s="754">
        <v>117.5717705</v>
      </c>
      <c r="AI122" s="754">
        <v>118.54472675</v>
      </c>
      <c r="AJ122" s="754">
        <v>118.88961275</v>
      </c>
      <c r="AK122" s="754">
        <v>120.11212399999999</v>
      </c>
      <c r="AL122" s="754">
        <v>122.26471574999999</v>
      </c>
    </row>
    <row r="123" spans="2:38">
      <c r="B123" s="770" t="s">
        <v>139</v>
      </c>
      <c r="C123" s="434">
        <v>0.99762142113406505</v>
      </c>
      <c r="D123" s="777">
        <v>0.80892346219285649</v>
      </c>
      <c r="E123" s="777">
        <v>-2.2221369385422296E-2</v>
      </c>
      <c r="F123" s="777">
        <v>5.1125767655696652</v>
      </c>
      <c r="G123" s="778">
        <v>2.0267797135357739</v>
      </c>
      <c r="H123" s="777">
        <v>0.29093322786708509</v>
      </c>
      <c r="I123" s="174">
        <v>0.96366577262581021</v>
      </c>
      <c r="J123" s="777">
        <v>381.36271724999995</v>
      </c>
      <c r="K123" s="777">
        <v>375.02286287915842</v>
      </c>
      <c r="L123" s="777">
        <v>130.37038882042992</v>
      </c>
      <c r="M123" s="777">
        <v>508.50869724999995</v>
      </c>
      <c r="N123" s="434">
        <v>123.53849948782859</v>
      </c>
      <c r="O123" s="777">
        <v>118.88961275</v>
      </c>
      <c r="P123" s="793">
        <v>118.25174249496325</v>
      </c>
    </row>
    <row r="124" spans="2:38">
      <c r="B124" s="770" t="s">
        <v>328</v>
      </c>
      <c r="C124" s="434">
        <v>2.0760610940397495</v>
      </c>
      <c r="D124" s="777">
        <v>1.9336290016781721</v>
      </c>
      <c r="E124" s="777">
        <v>0.8398414871114035</v>
      </c>
      <c r="F124" s="777">
        <v>5.0549209657593686</v>
      </c>
      <c r="G124" s="778">
        <v>0.88204821832459857</v>
      </c>
      <c r="H124" s="777">
        <v>1.0282742299537073</v>
      </c>
      <c r="I124" s="174">
        <v>1.1972804966309036</v>
      </c>
      <c r="J124" s="777">
        <v>389.28004025000001</v>
      </c>
      <c r="K124" s="777">
        <v>382.27441371871356</v>
      </c>
      <c r="L124" s="777">
        <v>131.46529343265235</v>
      </c>
      <c r="M124" s="777">
        <v>534.21341000000007</v>
      </c>
      <c r="N124" s="434">
        <v>124.62816862150592</v>
      </c>
      <c r="O124" s="777">
        <v>120.11212399999999</v>
      </c>
      <c r="P124" s="793">
        <v>119.66754754478164</v>
      </c>
    </row>
    <row r="125" spans="2:38" ht="16" thickBot="1">
      <c r="B125" s="785" t="s">
        <v>330</v>
      </c>
      <c r="C125" s="786">
        <v>2.9249298249886202</v>
      </c>
      <c r="D125" s="787">
        <v>2.8691959022842717</v>
      </c>
      <c r="E125" s="787">
        <v>1.7365149834534188</v>
      </c>
      <c r="F125" s="787">
        <v>4.0559315985721822</v>
      </c>
      <c r="G125" s="788">
        <v>1.2248378867147949</v>
      </c>
      <c r="H125" s="787">
        <v>1.7921519313071066</v>
      </c>
      <c r="I125" s="789">
        <v>1.6522497077333442</v>
      </c>
      <c r="J125" s="787">
        <v>400.66620824999995</v>
      </c>
      <c r="K125" s="787">
        <v>393.24261553261209</v>
      </c>
      <c r="L125" s="787">
        <v>133.74820795115136</v>
      </c>
      <c r="M125" s="787">
        <v>555.8807405</v>
      </c>
      <c r="N125" s="786">
        <v>126.15466164830092</v>
      </c>
      <c r="O125" s="787">
        <v>122.26471574999999</v>
      </c>
      <c r="P125" s="794">
        <v>121.64475424934196</v>
      </c>
    </row>
    <row r="126" spans="2:38" ht="15.75" customHeight="1">
      <c r="B126" s="1823" t="s">
        <v>1500</v>
      </c>
      <c r="C126" s="1824"/>
      <c r="D126" s="1824"/>
      <c r="E126" s="1824"/>
      <c r="F126" s="1824"/>
      <c r="G126" s="1824"/>
      <c r="H126" s="1824"/>
      <c r="I126" s="1824"/>
      <c r="J126" s="1824"/>
      <c r="K126" s="1824"/>
      <c r="L126" s="1824"/>
      <c r="M126" s="1824"/>
      <c r="N126" s="1824"/>
      <c r="O126" s="1824"/>
      <c r="P126" s="1825"/>
    </row>
    <row r="127" spans="2:38" ht="16.5" customHeight="1">
      <c r="B127" s="1826" t="s">
        <v>1501</v>
      </c>
      <c r="C127" s="1827"/>
      <c r="D127" s="1827"/>
      <c r="E127" s="1827"/>
      <c r="F127" s="1827"/>
      <c r="G127" s="1827"/>
      <c r="H127" s="1827"/>
      <c r="I127" s="1827"/>
      <c r="J127" s="1827"/>
      <c r="K127" s="1827"/>
      <c r="L127" s="1827"/>
      <c r="M127" s="1827"/>
      <c r="N127" s="1827"/>
      <c r="O127" s="1827"/>
      <c r="P127" s="1828"/>
    </row>
    <row r="128" spans="2:38" ht="16.5" customHeight="1">
      <c r="B128" s="1829" t="s">
        <v>1502</v>
      </c>
      <c r="C128" s="1827"/>
      <c r="D128" s="1827"/>
      <c r="E128" s="1827"/>
      <c r="F128" s="1827"/>
      <c r="G128" s="1827"/>
      <c r="H128" s="1827"/>
      <c r="I128" s="1827"/>
      <c r="J128" s="1827"/>
      <c r="K128" s="1827"/>
      <c r="L128" s="1827"/>
      <c r="M128" s="1827"/>
      <c r="N128" s="1827"/>
      <c r="O128" s="1827"/>
      <c r="P128" s="1828"/>
    </row>
    <row r="129" spans="2:16" ht="15.75" customHeight="1">
      <c r="B129" s="1823" t="s">
        <v>1503</v>
      </c>
      <c r="C129" s="1824"/>
      <c r="D129" s="1824"/>
      <c r="E129" s="1824"/>
      <c r="F129" s="1824"/>
      <c r="G129" s="1824"/>
      <c r="H129" s="1824"/>
      <c r="I129" s="1824"/>
      <c r="J129" s="1824"/>
      <c r="K129" s="1824"/>
      <c r="L129" s="1824"/>
      <c r="M129" s="1824"/>
      <c r="N129" s="1824"/>
      <c r="O129" s="1824"/>
      <c r="P129" s="1825"/>
    </row>
    <row r="130" spans="2:16" ht="25.5" customHeight="1">
      <c r="B130" s="1809" t="s">
        <v>1504</v>
      </c>
      <c r="C130" s="1810"/>
      <c r="D130" s="1810"/>
      <c r="E130" s="1810"/>
      <c r="F130" s="1810"/>
      <c r="G130" s="1810"/>
      <c r="H130" s="1810"/>
      <c r="I130" s="1810"/>
      <c r="J130" s="1810"/>
      <c r="K130" s="1810"/>
      <c r="L130" s="1810"/>
      <c r="M130" s="1810"/>
      <c r="N130" s="1810"/>
      <c r="O130" s="1810"/>
      <c r="P130" s="1811"/>
    </row>
    <row r="131" spans="2:16" ht="16.5" customHeight="1">
      <c r="B131" s="1809" t="s">
        <v>1505</v>
      </c>
      <c r="C131" s="1810"/>
      <c r="D131" s="1810"/>
      <c r="E131" s="1810"/>
      <c r="F131" s="1810"/>
      <c r="G131" s="1810"/>
      <c r="H131" s="1810"/>
      <c r="I131" s="1810"/>
      <c r="J131" s="1810"/>
      <c r="K131" s="1810"/>
      <c r="L131" s="1810"/>
      <c r="M131" s="1810"/>
      <c r="N131" s="1810"/>
      <c r="O131" s="1810"/>
      <c r="P131" s="1811"/>
    </row>
    <row r="132" spans="2:16" ht="15.75" customHeight="1">
      <c r="B132" s="1812" t="s">
        <v>1506</v>
      </c>
      <c r="C132" s="1813"/>
      <c r="D132" s="1813"/>
      <c r="E132" s="1813"/>
      <c r="F132" s="1813"/>
      <c r="G132" s="1813"/>
      <c r="H132" s="1813"/>
      <c r="I132" s="1813"/>
      <c r="J132" s="1813"/>
      <c r="K132" s="1813"/>
      <c r="L132" s="1813"/>
      <c r="M132" s="1813"/>
      <c r="N132" s="1813"/>
      <c r="O132" s="1813"/>
      <c r="P132" s="1814"/>
    </row>
    <row r="133" spans="2:16" ht="16.5" customHeight="1" thickBot="1">
      <c r="B133" s="1815" t="s">
        <v>1507</v>
      </c>
      <c r="C133" s="1816"/>
      <c r="D133" s="1816"/>
      <c r="E133" s="1816"/>
      <c r="F133" s="1816"/>
      <c r="G133" s="1816"/>
      <c r="H133" s="1816"/>
      <c r="I133" s="1816"/>
      <c r="J133" s="1816"/>
      <c r="K133" s="1816"/>
      <c r="L133" s="1816"/>
      <c r="M133" s="1816"/>
      <c r="N133" s="1816"/>
      <c r="O133" s="1816"/>
      <c r="P133" s="1817"/>
    </row>
    <row r="134" spans="2:16" ht="18.5">
      <c r="B134" s="790"/>
      <c r="C134" s="754"/>
      <c r="D134" s="754"/>
      <c r="E134" s="754"/>
      <c r="F134" s="754"/>
      <c r="G134" s="754"/>
      <c r="H134" s="754"/>
      <c r="J134" s="791"/>
      <c r="K134" s="791"/>
      <c r="L134" s="791"/>
      <c r="M134" s="791"/>
      <c r="N134" s="791"/>
      <c r="O134" s="791"/>
    </row>
    <row r="135" spans="2:16">
      <c r="J135" s="792"/>
      <c r="K135" s="792"/>
      <c r="L135" s="792"/>
      <c r="M135" s="792"/>
      <c r="N135" s="792"/>
      <c r="O135" s="792"/>
    </row>
    <row r="136" spans="2:16">
      <c r="J136" s="791"/>
      <c r="K136" s="791"/>
      <c r="L136" s="791"/>
      <c r="M136" s="791"/>
      <c r="N136" s="791"/>
      <c r="O136" s="791"/>
    </row>
  </sheetData>
  <mergeCells count="10">
    <mergeCell ref="B130:P130"/>
    <mergeCell ref="B131:P131"/>
    <mergeCell ref="B132:P132"/>
    <mergeCell ref="B133:P133"/>
    <mergeCell ref="B2:P2"/>
    <mergeCell ref="C3:I3"/>
    <mergeCell ref="B126:P126"/>
    <mergeCell ref="B127:P127"/>
    <mergeCell ref="B128:P128"/>
    <mergeCell ref="B129:P129"/>
  </mergeCells>
  <hyperlinks>
    <hyperlink ref="A1" location="Contents!A1" display="Back to contents" xr:uid="{187ECF07-7C15-4B2D-83CB-8DA37B17E54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C6181-BBB6-404D-A16C-B8A038196862}">
  <dimension ref="A1:S61"/>
  <sheetViews>
    <sheetView topLeftCell="J1" zoomScale="55" zoomScaleNormal="55" workbookViewId="0">
      <selection activeCell="AB84" sqref="AB84"/>
    </sheetView>
  </sheetViews>
  <sheetFormatPr defaultRowHeight="14.5"/>
  <cols>
    <col min="1" max="1" width="18.54296875" customWidth="1"/>
    <col min="2" max="12" width="20.1796875" customWidth="1"/>
    <col min="13" max="13" width="12" bestFit="1" customWidth="1"/>
    <col min="14" max="14" width="15.1796875" customWidth="1"/>
    <col min="15" max="15" width="10.453125" customWidth="1"/>
    <col min="17" max="17" width="20.54296875" bestFit="1" customWidth="1"/>
    <col min="18" max="18" width="15" bestFit="1" customWidth="1"/>
    <col min="19" max="19" width="13.453125" bestFit="1" customWidth="1"/>
  </cols>
  <sheetData>
    <row r="1" spans="1:15">
      <c r="A1" s="159" t="s">
        <v>17</v>
      </c>
    </row>
    <row r="2" spans="1:15">
      <c r="A2" s="127" t="s">
        <v>1741</v>
      </c>
    </row>
    <row r="3" spans="1:15">
      <c r="A3" s="159" t="s">
        <v>1742</v>
      </c>
    </row>
    <row r="4" spans="1:15">
      <c r="A4" s="159" t="s">
        <v>1743</v>
      </c>
    </row>
    <row r="5" spans="1:15" ht="15" thickBot="1"/>
    <row r="6" spans="1:15" ht="14.5" customHeight="1">
      <c r="A6" s="1068" t="s">
        <v>1744</v>
      </c>
      <c r="B6" s="1069"/>
      <c r="C6" s="1069"/>
      <c r="D6" s="1069"/>
      <c r="E6" s="1069"/>
      <c r="F6" s="1069"/>
      <c r="G6" s="1069"/>
      <c r="H6" s="1069"/>
      <c r="I6" s="1069"/>
      <c r="J6" s="1069"/>
      <c r="K6" s="1069"/>
      <c r="L6" s="1070"/>
      <c r="N6" s="1833" t="s">
        <v>1745</v>
      </c>
      <c r="O6" s="1834"/>
    </row>
    <row r="7" spans="1:15">
      <c r="A7" s="390" t="s">
        <v>1511</v>
      </c>
      <c r="B7" s="159" t="s">
        <v>1746</v>
      </c>
      <c r="D7" s="159" t="s">
        <v>1747</v>
      </c>
      <c r="E7" s="159"/>
      <c r="F7" s="159" t="s">
        <v>1748</v>
      </c>
      <c r="G7" s="159"/>
      <c r="H7" s="159" t="s">
        <v>1749</v>
      </c>
      <c r="I7" s="159"/>
      <c r="J7" s="159" t="s">
        <v>1750</v>
      </c>
      <c r="L7" s="391" t="s">
        <v>403</v>
      </c>
      <c r="N7" s="1835"/>
      <c r="O7" s="1836"/>
    </row>
    <row r="8" spans="1:15">
      <c r="A8" s="390" t="s">
        <v>1010</v>
      </c>
      <c r="B8" s="392">
        <v>363038772</v>
      </c>
      <c r="C8" s="125"/>
      <c r="D8" s="392">
        <v>288845140</v>
      </c>
      <c r="E8" s="211">
        <f t="shared" ref="E8:E19" si="0">D8/$L8</f>
        <v>7.521187319184805E-2</v>
      </c>
      <c r="F8" s="392">
        <v>945898116</v>
      </c>
      <c r="G8" s="211">
        <f t="shared" ref="G8:G19" si="1">F8/$L8</f>
        <v>0.24630073108725314</v>
      </c>
      <c r="H8" s="392">
        <v>1415390064</v>
      </c>
      <c r="I8" s="211">
        <f t="shared" ref="I8:I19" si="2">H8/$L8</f>
        <v>0.36855090589569794</v>
      </c>
      <c r="J8" s="392">
        <v>1190286121</v>
      </c>
      <c r="L8" s="393">
        <v>3840419441</v>
      </c>
      <c r="N8" s="444">
        <f>'OBR econ'!P108</f>
        <v>86.45</v>
      </c>
      <c r="O8" s="444">
        <f>'OBR econ'!Q108</f>
        <v>0</v>
      </c>
    </row>
    <row r="9" spans="1:15">
      <c r="A9" s="390" t="s">
        <v>1013</v>
      </c>
      <c r="B9" s="392">
        <v>343983955</v>
      </c>
      <c r="C9" s="211">
        <f>B9/B8-1</f>
        <v>-5.248700268300821E-2</v>
      </c>
      <c r="D9" s="392">
        <v>281670516</v>
      </c>
      <c r="E9" s="211">
        <f t="shared" si="0"/>
        <v>7.3442061823919699E-2</v>
      </c>
      <c r="F9" s="392">
        <v>887403034</v>
      </c>
      <c r="G9" s="211">
        <f t="shared" si="1"/>
        <v>0.23137923489926759</v>
      </c>
      <c r="H9" s="392">
        <v>1425774565</v>
      </c>
      <c r="I9" s="211">
        <f t="shared" si="2"/>
        <v>0.37175287366499593</v>
      </c>
      <c r="J9" s="392">
        <v>1240427053</v>
      </c>
      <c r="K9" s="172">
        <f t="shared" ref="K9:K19" si="3">J9/J8-1</f>
        <v>4.2125108505738806E-2</v>
      </c>
      <c r="L9" s="393">
        <v>3835275168</v>
      </c>
      <c r="N9" s="444">
        <f>'OBR econ'!P109</f>
        <v>88</v>
      </c>
      <c r="O9" s="816">
        <f>N9/N8-1</f>
        <v>1.7929438982070556E-2</v>
      </c>
    </row>
    <row r="10" spans="1:15">
      <c r="A10" s="390" t="s">
        <v>1016</v>
      </c>
      <c r="B10" s="392">
        <v>423250811</v>
      </c>
      <c r="C10" s="211">
        <f t="shared" ref="C10:C19" si="4">B10/B9-1</f>
        <v>0.23043765515167713</v>
      </c>
      <c r="D10" s="392">
        <v>344269002</v>
      </c>
      <c r="E10" s="211">
        <f t="shared" si="0"/>
        <v>8.7210173287841156E-2</v>
      </c>
      <c r="F10" s="392">
        <v>982835159</v>
      </c>
      <c r="G10" s="211">
        <f t="shared" si="1"/>
        <v>0.24897165888252965</v>
      </c>
      <c r="H10" s="392">
        <v>1446095218</v>
      </c>
      <c r="I10" s="211">
        <f t="shared" si="2"/>
        <v>0.366324629344638</v>
      </c>
      <c r="J10" s="392">
        <v>1174379086</v>
      </c>
      <c r="K10" s="172">
        <f t="shared" si="3"/>
        <v>-5.3246151670315101E-2</v>
      </c>
      <c r="L10" s="393">
        <v>3947578465</v>
      </c>
      <c r="N10" s="444">
        <f>'OBR econ'!P110</f>
        <v>89.5</v>
      </c>
      <c r="O10" s="816">
        <f t="shared" ref="O10:O19" si="5">N10/N9-1</f>
        <v>1.7045454545454586E-2</v>
      </c>
    </row>
    <row r="11" spans="1:15">
      <c r="A11" s="390" t="s">
        <v>1019</v>
      </c>
      <c r="B11" s="392">
        <v>393423438</v>
      </c>
      <c r="C11" s="211">
        <f t="shared" si="4"/>
        <v>-7.0472098870945854E-2</v>
      </c>
      <c r="D11" s="392">
        <v>356260541</v>
      </c>
      <c r="E11" s="211">
        <f t="shared" si="0"/>
        <v>8.8259489501233676E-2</v>
      </c>
      <c r="F11" s="392">
        <v>1015414408</v>
      </c>
      <c r="G11" s="211">
        <f t="shared" si="1"/>
        <v>0.25155734909827526</v>
      </c>
      <c r="H11" s="392">
        <v>1425215326</v>
      </c>
      <c r="I11" s="211">
        <f t="shared" si="2"/>
        <v>0.35308085691728158</v>
      </c>
      <c r="J11" s="392">
        <v>1239622320</v>
      </c>
      <c r="K11" s="172">
        <f t="shared" si="3"/>
        <v>5.5555514209829848E-2</v>
      </c>
      <c r="L11" s="393">
        <v>4036512595</v>
      </c>
      <c r="N11" s="444">
        <f>'OBR econ'!P111</f>
        <v>91.375</v>
      </c>
      <c r="O11" s="816">
        <f t="shared" si="5"/>
        <v>2.0949720670391025E-2</v>
      </c>
    </row>
    <row r="12" spans="1:15">
      <c r="A12" s="390" t="s">
        <v>1022</v>
      </c>
      <c r="B12" s="392">
        <v>369844144</v>
      </c>
      <c r="C12" s="211">
        <f t="shared" si="4"/>
        <v>-5.993362805192104E-2</v>
      </c>
      <c r="D12" s="392">
        <v>457975848</v>
      </c>
      <c r="E12" s="211">
        <f t="shared" si="0"/>
        <v>0.10557499740977218</v>
      </c>
      <c r="F12" s="392">
        <v>1062095570</v>
      </c>
      <c r="G12" s="211">
        <f t="shared" si="1"/>
        <v>0.24483984808666265</v>
      </c>
      <c r="H12" s="392">
        <v>1551301434</v>
      </c>
      <c r="I12" s="211">
        <f t="shared" si="2"/>
        <v>0.35761415278022662</v>
      </c>
      <c r="J12" s="392">
        <v>1266546724</v>
      </c>
      <c r="K12" s="172">
        <f t="shared" si="3"/>
        <v>2.1719844476501438E-2</v>
      </c>
      <c r="L12" s="393">
        <v>4337919576</v>
      </c>
      <c r="N12" s="444">
        <f>'OBR econ'!P112</f>
        <v>92.399999999999991</v>
      </c>
      <c r="O12" s="816">
        <f t="shared" si="5"/>
        <v>1.1217510259917907E-2</v>
      </c>
    </row>
    <row r="13" spans="1:15">
      <c r="A13" s="390" t="s">
        <v>1025</v>
      </c>
      <c r="B13" s="392">
        <v>352399853</v>
      </c>
      <c r="C13" s="211">
        <f t="shared" si="4"/>
        <v>-4.7166600534305103E-2</v>
      </c>
      <c r="D13" s="392">
        <v>775532105</v>
      </c>
      <c r="E13" s="211">
        <f t="shared" si="0"/>
        <v>0.15589505999869427</v>
      </c>
      <c r="F13" s="392">
        <v>1567896771</v>
      </c>
      <c r="G13" s="211">
        <f t="shared" si="1"/>
        <v>0.31517374923737557</v>
      </c>
      <c r="H13" s="392">
        <v>1516385648</v>
      </c>
      <c r="I13" s="211">
        <f t="shared" si="2"/>
        <v>0.30481914294975432</v>
      </c>
      <c r="J13" s="392">
        <v>1114891570</v>
      </c>
      <c r="K13" s="172">
        <f t="shared" si="3"/>
        <v>-0.11973909144152506</v>
      </c>
      <c r="L13" s="393">
        <v>4974706094</v>
      </c>
      <c r="N13" s="444">
        <f>'OBR econ'!P113</f>
        <v>93.1</v>
      </c>
      <c r="O13" s="816">
        <f t="shared" si="5"/>
        <v>7.575757575757569E-3</v>
      </c>
    </row>
    <row r="14" spans="1:15">
      <c r="A14" s="390" t="s">
        <v>1028</v>
      </c>
      <c r="B14" s="392">
        <v>324012765</v>
      </c>
      <c r="C14" s="211">
        <f t="shared" si="4"/>
        <v>-8.0553631785992841E-2</v>
      </c>
      <c r="D14" s="392">
        <v>947110283</v>
      </c>
      <c r="E14" s="211">
        <f t="shared" si="0"/>
        <v>0.17078926008359513</v>
      </c>
      <c r="F14" s="392">
        <v>1791774688</v>
      </c>
      <c r="G14" s="211">
        <f t="shared" si="1"/>
        <v>0.32310479433368638</v>
      </c>
      <c r="H14" s="392">
        <v>1798365187</v>
      </c>
      <c r="I14" s="211">
        <f t="shared" si="2"/>
        <v>0.32429323718769737</v>
      </c>
      <c r="J14" s="392">
        <v>1008240715</v>
      </c>
      <c r="K14" s="172">
        <f t="shared" si="3"/>
        <v>-9.5660293673222374E-2</v>
      </c>
      <c r="L14" s="393">
        <v>5545490873</v>
      </c>
      <c r="N14" s="444">
        <f>'OBR econ'!P114</f>
        <v>95.000000000000014</v>
      </c>
      <c r="O14" s="816">
        <f t="shared" si="5"/>
        <v>2.0408163265306367E-2</v>
      </c>
    </row>
    <row r="15" spans="1:15">
      <c r="A15" s="390" t="s">
        <v>1031</v>
      </c>
      <c r="B15" s="392">
        <v>404473836</v>
      </c>
      <c r="C15" s="211">
        <f t="shared" si="4"/>
        <v>0.24832685527065568</v>
      </c>
      <c r="D15" s="392">
        <v>1038530383</v>
      </c>
      <c r="E15" s="211">
        <f t="shared" si="0"/>
        <v>0.17426961120098938</v>
      </c>
      <c r="F15" s="392">
        <v>2028017172</v>
      </c>
      <c r="G15" s="211">
        <f t="shared" si="1"/>
        <v>0.34030950837706014</v>
      </c>
      <c r="H15" s="392">
        <v>1869202168</v>
      </c>
      <c r="I15" s="211">
        <f t="shared" si="2"/>
        <v>0.31365970645213798</v>
      </c>
      <c r="J15" s="392">
        <v>1023581774</v>
      </c>
      <c r="K15" s="172">
        <f t="shared" si="3"/>
        <v>1.5215670991822527E-2</v>
      </c>
      <c r="L15" s="393">
        <v>5959331497</v>
      </c>
      <c r="N15" s="444">
        <f>'OBR econ'!P115</f>
        <v>96.6</v>
      </c>
      <c r="O15" s="816">
        <f t="shared" si="5"/>
        <v>1.6842105263157769E-2</v>
      </c>
    </row>
    <row r="16" spans="1:15">
      <c r="A16" s="390" t="s">
        <v>1034</v>
      </c>
      <c r="B16" s="392">
        <v>433696781</v>
      </c>
      <c r="C16" s="211">
        <f t="shared" si="4"/>
        <v>7.224928388198637E-2</v>
      </c>
      <c r="D16" s="392">
        <v>1094967416</v>
      </c>
      <c r="E16" s="211">
        <f t="shared" si="0"/>
        <v>0.16955508879258546</v>
      </c>
      <c r="F16" s="392">
        <v>2313591579</v>
      </c>
      <c r="G16" s="211">
        <f t="shared" si="1"/>
        <v>0.358258355340067</v>
      </c>
      <c r="H16" s="392">
        <v>2095877764</v>
      </c>
      <c r="I16" s="211">
        <f t="shared" si="2"/>
        <v>0.32454549348290879</v>
      </c>
      <c r="J16" s="392">
        <v>953449134</v>
      </c>
      <c r="K16" s="172">
        <f t="shared" si="3"/>
        <v>-6.8516890180578827E-2</v>
      </c>
      <c r="L16" s="393">
        <v>6457885893</v>
      </c>
      <c r="N16" s="444">
        <f>'OBR econ'!P116</f>
        <v>98.35</v>
      </c>
      <c r="O16" s="816">
        <f t="shared" si="5"/>
        <v>1.8115942028985588E-2</v>
      </c>
    </row>
    <row r="17" spans="1:19">
      <c r="A17" s="390" t="s">
        <v>1256</v>
      </c>
      <c r="B17" s="392">
        <v>515842927</v>
      </c>
      <c r="C17" s="211">
        <f t="shared" si="4"/>
        <v>0.18940916695436583</v>
      </c>
      <c r="D17" s="392">
        <v>1505317723</v>
      </c>
      <c r="E17" s="211">
        <f t="shared" si="0"/>
        <v>0.16662562399954081</v>
      </c>
      <c r="F17" s="392">
        <v>3193001618</v>
      </c>
      <c r="G17" s="211">
        <f t="shared" si="1"/>
        <v>0.35343760250857914</v>
      </c>
      <c r="H17" s="392">
        <v>3267439547</v>
      </c>
      <c r="I17" s="211">
        <f t="shared" si="2"/>
        <v>0.36167723602869717</v>
      </c>
      <c r="J17" s="392">
        <v>1068372159</v>
      </c>
      <c r="K17" s="172">
        <f t="shared" si="3"/>
        <v>0.12053398645176183</v>
      </c>
      <c r="L17" s="393">
        <v>9034131047</v>
      </c>
      <c r="N17" s="444">
        <f>'OBR econ'!P117</f>
        <v>100.9</v>
      </c>
      <c r="O17" s="816">
        <f t="shared" si="5"/>
        <v>2.5927808845958467E-2</v>
      </c>
    </row>
    <row r="18" spans="1:19">
      <c r="A18" s="390" t="s">
        <v>1257</v>
      </c>
      <c r="B18" s="160">
        <v>894699913</v>
      </c>
      <c r="C18" s="211">
        <f t="shared" si="4"/>
        <v>0.7344425331240414</v>
      </c>
      <c r="D18" s="392">
        <v>1576947043</v>
      </c>
      <c r="E18" s="211">
        <f t="shared" si="0"/>
        <v>0.17082307483617648</v>
      </c>
      <c r="F18" s="392">
        <v>3010324460</v>
      </c>
      <c r="G18" s="211">
        <f t="shared" si="1"/>
        <v>0.3260939438609623</v>
      </c>
      <c r="H18" s="392">
        <v>3480444056</v>
      </c>
      <c r="I18" s="211">
        <f t="shared" si="2"/>
        <v>0.37701973448021081</v>
      </c>
      <c r="J18" s="392">
        <v>1163748308</v>
      </c>
      <c r="K18" s="172">
        <f t="shared" si="3"/>
        <v>8.9272402127431372E-2</v>
      </c>
      <c r="L18" s="393">
        <v>9231463867</v>
      </c>
      <c r="N18" s="444">
        <f>'OBR econ'!P118</f>
        <v>107.22500000000001</v>
      </c>
      <c r="O18" s="816">
        <f t="shared" si="5"/>
        <v>6.268582755203167E-2</v>
      </c>
    </row>
    <row r="19" spans="1:19">
      <c r="A19" s="390" t="s">
        <v>1246</v>
      </c>
      <c r="B19" s="392">
        <v>1405534570</v>
      </c>
      <c r="C19" s="211">
        <f t="shared" si="4"/>
        <v>0.57095641742842096</v>
      </c>
      <c r="D19" s="392">
        <v>1804600000</v>
      </c>
      <c r="E19" s="211">
        <f t="shared" si="0"/>
        <v>0.17608956726070324</v>
      </c>
      <c r="F19" s="392">
        <v>3482300000</v>
      </c>
      <c r="G19" s="211">
        <f t="shared" si="1"/>
        <v>0.33979646463035956</v>
      </c>
      <c r="H19" s="392">
        <v>3764100000</v>
      </c>
      <c r="I19" s="211">
        <f t="shared" si="2"/>
        <v>0.36729399319849998</v>
      </c>
      <c r="J19" s="392">
        <v>1197200000</v>
      </c>
      <c r="K19" s="172">
        <f t="shared" si="3"/>
        <v>2.8744782501544108E-2</v>
      </c>
      <c r="L19" s="393">
        <v>10248193735</v>
      </c>
      <c r="N19" s="444">
        <f>'OBR econ'!P119</f>
        <v>106.42500000000001</v>
      </c>
      <c r="O19" s="816">
        <f t="shared" si="5"/>
        <v>-7.4609466076007713E-3</v>
      </c>
    </row>
    <row r="20" spans="1:19">
      <c r="A20" s="390"/>
      <c r="L20" s="394"/>
      <c r="N20" s="444">
        <f>Deflator_OBR!R115</f>
        <v>0</v>
      </c>
      <c r="O20" s="443"/>
    </row>
    <row r="21" spans="1:19" ht="15" thickBot="1">
      <c r="A21" s="395"/>
      <c r="B21" s="311"/>
      <c r="C21" s="311"/>
      <c r="D21" s="311"/>
      <c r="E21" s="311"/>
      <c r="F21" s="311"/>
      <c r="G21" s="311"/>
      <c r="H21" s="311"/>
      <c r="I21" s="311"/>
      <c r="J21" s="311"/>
      <c r="K21" s="311"/>
      <c r="L21" s="882">
        <f>L19/L8-1</f>
        <v>1.6685089721167254</v>
      </c>
      <c r="N21" s="442"/>
      <c r="O21" s="441"/>
    </row>
    <row r="22" spans="1:19" ht="15" thickBot="1">
      <c r="A22" s="159"/>
      <c r="L22" s="76"/>
      <c r="N22" s="445"/>
      <c r="O22" s="210"/>
    </row>
    <row r="23" spans="1:19" ht="15" thickBot="1">
      <c r="A23" s="1071" t="s">
        <v>1751</v>
      </c>
      <c r="B23" s="1072" t="s">
        <v>1752</v>
      </c>
      <c r="C23" s="1069"/>
      <c r="D23" s="1069"/>
      <c r="E23" s="1069"/>
      <c r="F23" s="1069"/>
      <c r="G23" s="1069"/>
      <c r="H23" s="1069"/>
      <c r="I23" s="1069"/>
      <c r="J23" s="1069"/>
      <c r="K23" s="1069"/>
      <c r="L23" s="1073"/>
      <c r="M23" s="210"/>
      <c r="N23" s="1071" t="s">
        <v>1753</v>
      </c>
      <c r="O23" s="1069"/>
      <c r="P23" s="1069"/>
      <c r="Q23" s="1069"/>
      <c r="R23" s="1069"/>
      <c r="S23" s="1073"/>
    </row>
    <row r="24" spans="1:19">
      <c r="A24" s="49"/>
      <c r="B24" s="159" t="s">
        <v>1746</v>
      </c>
      <c r="D24" s="159" t="s">
        <v>1754</v>
      </c>
      <c r="E24" s="159"/>
      <c r="F24" s="159" t="s">
        <v>1755</v>
      </c>
      <c r="G24" s="159"/>
      <c r="H24" s="159" t="s">
        <v>1756</v>
      </c>
      <c r="I24" s="159"/>
      <c r="J24" s="159" t="s">
        <v>1757</v>
      </c>
      <c r="L24" s="391" t="s">
        <v>403</v>
      </c>
      <c r="N24" s="1072" t="s">
        <v>1752</v>
      </c>
      <c r="O24" s="159" t="s">
        <v>1754</v>
      </c>
      <c r="P24" s="159" t="s">
        <v>1755</v>
      </c>
      <c r="Q24" s="159" t="s">
        <v>1756</v>
      </c>
      <c r="R24" s="159" t="s">
        <v>1757</v>
      </c>
      <c r="S24" s="391" t="s">
        <v>403</v>
      </c>
    </row>
    <row r="25" spans="1:19">
      <c r="A25" s="390" t="s">
        <v>1010</v>
      </c>
      <c r="B25" s="397">
        <f t="shared" ref="B25:B36" si="6">(B8/$N8*$N$19)/1000000</f>
        <v>446.92193533950257</v>
      </c>
      <c r="C25" s="125"/>
      <c r="D25" s="397">
        <f t="shared" ref="D25:D36" si="7">(D8/$N8*$N$19)/1000000</f>
        <v>355.58524030653558</v>
      </c>
      <c r="E25" s="125"/>
      <c r="F25" s="397">
        <f t="shared" ref="F25:F36" si="8">(F8/$N8*$N$19)/1000000</f>
        <v>1164.4558356888376</v>
      </c>
      <c r="G25" s="125"/>
      <c r="H25" s="397">
        <f t="shared" ref="H25:H36" si="9">(H8/$N8*$N$19)/1000000</f>
        <v>1742.4278491752459</v>
      </c>
      <c r="I25" s="125"/>
      <c r="J25" s="397">
        <f t="shared" ref="J25:J36" si="10">(J8/$N8*$N$19)/1000000</f>
        <v>1465.3117458348759</v>
      </c>
      <c r="K25" s="125"/>
      <c r="L25" s="401">
        <f t="shared" ref="L25:L36" si="11">(L8/$N8*$N$19)/1000000</f>
        <v>4727.7806710054947</v>
      </c>
      <c r="M25" s="166"/>
      <c r="N25" s="390" t="s">
        <v>1010</v>
      </c>
      <c r="O25" s="906">
        <f t="shared" ref="O25:O36" si="12">D25/1000</f>
        <v>0.3555852403065356</v>
      </c>
      <c r="P25" s="906">
        <f t="shared" ref="P25:P36" si="13">F25/1000</f>
        <v>1.1644558356888377</v>
      </c>
      <c r="Q25" s="906">
        <f t="shared" ref="Q25:Q36" si="14">H25/1000</f>
        <v>1.7424278491752458</v>
      </c>
      <c r="R25" s="906">
        <f t="shared" ref="R25:R36" si="15">J25/1000</f>
        <v>1.4653117458348759</v>
      </c>
      <c r="S25" s="906">
        <f t="shared" ref="S25:S36" si="16">L25/1000</f>
        <v>4.7277806710054948</v>
      </c>
    </row>
    <row r="26" spans="1:19">
      <c r="A26" s="390" t="s">
        <v>1013</v>
      </c>
      <c r="B26" s="397">
        <f t="shared" si="6"/>
        <v>416.00559557812505</v>
      </c>
      <c r="C26" s="211">
        <f>B26/B25-1</f>
        <v>-6.9176152067568664E-2</v>
      </c>
      <c r="D26" s="397">
        <f t="shared" si="7"/>
        <v>340.6452802875001</v>
      </c>
      <c r="E26" s="211">
        <f>D26/D25-1</f>
        <v>-4.2015129779167326E-2</v>
      </c>
      <c r="F26" s="397">
        <f t="shared" si="8"/>
        <v>1073.2030442437501</v>
      </c>
      <c r="G26" s="211">
        <f>F26/F25-1</f>
        <v>-7.8365180239838517E-2</v>
      </c>
      <c r="H26" s="397">
        <f t="shared" si="9"/>
        <v>1724.2961145468753</v>
      </c>
      <c r="I26" s="211">
        <f>H26/H25-1</f>
        <v>-1.0406017464053452E-2</v>
      </c>
      <c r="J26" s="397">
        <f t="shared" si="10"/>
        <v>1500.1414672218752</v>
      </c>
      <c r="K26" s="211">
        <f>J26/J25-1</f>
        <v>2.3769495799103701E-2</v>
      </c>
      <c r="L26" s="401">
        <f t="shared" si="11"/>
        <v>4638.2859063000014</v>
      </c>
      <c r="M26" s="166"/>
      <c r="N26" s="390" t="s">
        <v>1013</v>
      </c>
      <c r="O26" s="906">
        <f t="shared" si="12"/>
        <v>0.34064528028750007</v>
      </c>
      <c r="P26" s="906">
        <f t="shared" si="13"/>
        <v>1.0732030442437501</v>
      </c>
      <c r="Q26" s="906">
        <f t="shared" si="14"/>
        <v>1.7242961145468754</v>
      </c>
      <c r="R26" s="906">
        <f t="shared" si="15"/>
        <v>1.5001414672218751</v>
      </c>
      <c r="S26" s="906">
        <f t="shared" si="16"/>
        <v>4.638285906300001</v>
      </c>
    </row>
    <row r="27" spans="1:19">
      <c r="A27" s="390" t="s">
        <v>1016</v>
      </c>
      <c r="B27" s="397">
        <f t="shared" si="6"/>
        <v>503.29014034273746</v>
      </c>
      <c r="C27" s="211">
        <f t="shared" ref="C27:C36" si="17">B27/B26-1</f>
        <v>0.20981579500947012</v>
      </c>
      <c r="D27" s="397">
        <f t="shared" si="7"/>
        <v>409.37238589776541</v>
      </c>
      <c r="E27" s="211">
        <f t="shared" ref="E27:E36" si="18">D27/D26-1</f>
        <v>0.20175563727834578</v>
      </c>
      <c r="F27" s="397">
        <f t="shared" si="8"/>
        <v>1168.6953273360339</v>
      </c>
      <c r="G27" s="211">
        <f t="shared" ref="G27:G36" si="19">F27/F26-1</f>
        <v>8.8978766510650287E-2</v>
      </c>
      <c r="H27" s="397">
        <f t="shared" si="9"/>
        <v>1719.5607103424582</v>
      </c>
      <c r="I27" s="211">
        <f t="shared" ref="I27:I36" si="20">H27/H26-1</f>
        <v>-2.7462824769292071E-3</v>
      </c>
      <c r="J27" s="397">
        <f t="shared" si="10"/>
        <v>1396.4613880173185</v>
      </c>
      <c r="K27" s="211">
        <f t="shared" ref="K27:K36" si="21">J27/J26-1</f>
        <v>-6.9113534603214899E-2</v>
      </c>
      <c r="L27" s="401">
        <f t="shared" si="11"/>
        <v>4694.0898115935752</v>
      </c>
      <c r="M27" s="166"/>
      <c r="N27" s="390" t="s">
        <v>1016</v>
      </c>
      <c r="O27" s="906">
        <f t="shared" si="12"/>
        <v>0.40937238589776542</v>
      </c>
      <c r="P27" s="906">
        <f t="shared" si="13"/>
        <v>1.1686953273360339</v>
      </c>
      <c r="Q27" s="906">
        <f t="shared" si="14"/>
        <v>1.7195607103424582</v>
      </c>
      <c r="R27" s="906">
        <f t="shared" si="15"/>
        <v>1.3964613880173185</v>
      </c>
      <c r="S27" s="906">
        <f t="shared" si="16"/>
        <v>4.6940898115935754</v>
      </c>
    </row>
    <row r="28" spans="1:19">
      <c r="A28" s="390" t="s">
        <v>1019</v>
      </c>
      <c r="B28" s="397">
        <f t="shared" si="6"/>
        <v>458.22259249411769</v>
      </c>
      <c r="C28" s="211">
        <f t="shared" si="17"/>
        <v>-8.9545858812034473E-2</v>
      </c>
      <c r="D28" s="397">
        <f t="shared" si="7"/>
        <v>414.93874775294125</v>
      </c>
      <c r="E28" s="211">
        <f t="shared" si="18"/>
        <v>1.3597306625772188E-2</v>
      </c>
      <c r="F28" s="397">
        <f t="shared" si="8"/>
        <v>1182.6591340235295</v>
      </c>
      <c r="G28" s="211">
        <f t="shared" si="19"/>
        <v>1.1948201007464743E-2</v>
      </c>
      <c r="H28" s="397">
        <f t="shared" si="9"/>
        <v>1659.9566738117649</v>
      </c>
      <c r="I28" s="211">
        <f t="shared" si="20"/>
        <v>-3.4662362411631786E-2</v>
      </c>
      <c r="J28" s="397">
        <f t="shared" si="10"/>
        <v>1443.795408</v>
      </c>
      <c r="K28" s="211">
        <f t="shared" si="21"/>
        <v>3.3895688336851082E-2</v>
      </c>
      <c r="L28" s="401">
        <f t="shared" si="11"/>
        <v>4701.3499635882363</v>
      </c>
      <c r="M28" s="166"/>
      <c r="N28" s="390" t="s">
        <v>1019</v>
      </c>
      <c r="O28" s="906">
        <f t="shared" si="12"/>
        <v>0.41493874775294126</v>
      </c>
      <c r="P28" s="906">
        <f t="shared" si="13"/>
        <v>1.1826591340235295</v>
      </c>
      <c r="Q28" s="906">
        <f t="shared" si="14"/>
        <v>1.6599566738117648</v>
      </c>
      <c r="R28" s="906">
        <f t="shared" si="15"/>
        <v>1.4437954079999999</v>
      </c>
      <c r="S28" s="906">
        <f t="shared" si="16"/>
        <v>4.7013499635882363</v>
      </c>
    </row>
    <row r="29" spans="1:19">
      <c r="A29" s="390" t="s">
        <v>1022</v>
      </c>
      <c r="B29" s="397">
        <f t="shared" si="6"/>
        <v>425.98120157142864</v>
      </c>
      <c r="C29" s="211">
        <f t="shared" si="17"/>
        <v>-7.0361853498314697E-2</v>
      </c>
      <c r="D29" s="397">
        <f t="shared" si="7"/>
        <v>527.49003921428584</v>
      </c>
      <c r="E29" s="211">
        <f t="shared" si="18"/>
        <v>0.27124796628624037</v>
      </c>
      <c r="F29" s="397">
        <f t="shared" si="8"/>
        <v>1223.3065047321429</v>
      </c>
      <c r="G29" s="211">
        <f t="shared" si="19"/>
        <v>3.4369472605624507E-2</v>
      </c>
      <c r="H29" s="397">
        <f t="shared" si="9"/>
        <v>1786.7668302321433</v>
      </c>
      <c r="I29" s="211">
        <f t="shared" si="20"/>
        <v>7.6393654377245879E-2</v>
      </c>
      <c r="J29" s="397">
        <f t="shared" si="10"/>
        <v>1458.7904231785717</v>
      </c>
      <c r="K29" s="211">
        <f t="shared" si="21"/>
        <v>1.0385831050220284E-2</v>
      </c>
      <c r="L29" s="401">
        <f t="shared" si="11"/>
        <v>4996.3537973571447</v>
      </c>
      <c r="M29" s="166"/>
      <c r="N29" s="390" t="s">
        <v>1022</v>
      </c>
      <c r="O29" s="906">
        <f t="shared" si="12"/>
        <v>0.52749003921428583</v>
      </c>
      <c r="P29" s="906">
        <f t="shared" si="13"/>
        <v>1.223306504732143</v>
      </c>
      <c r="Q29" s="906">
        <f t="shared" si="14"/>
        <v>1.7867668302321433</v>
      </c>
      <c r="R29" s="906">
        <f t="shared" si="15"/>
        <v>1.4587904231785718</v>
      </c>
      <c r="S29" s="906">
        <f t="shared" si="16"/>
        <v>4.9963537973571448</v>
      </c>
    </row>
    <row r="30" spans="1:19">
      <c r="A30" s="390" t="s">
        <v>1025</v>
      </c>
      <c r="B30" s="397">
        <f t="shared" si="6"/>
        <v>402.83731853410313</v>
      </c>
      <c r="C30" s="211">
        <f t="shared" si="17"/>
        <v>-5.4330761432543451E-2</v>
      </c>
      <c r="D30" s="397">
        <f t="shared" si="7"/>
        <v>886.53065815923753</v>
      </c>
      <c r="E30" s="211">
        <f t="shared" si="18"/>
        <v>0.68065857599842983</v>
      </c>
      <c r="F30" s="397">
        <f t="shared" si="8"/>
        <v>1792.3030489116545</v>
      </c>
      <c r="G30" s="211">
        <f t="shared" si="19"/>
        <v>0.46512999152579515</v>
      </c>
      <c r="H30" s="397">
        <f t="shared" si="9"/>
        <v>1733.4193618517725</v>
      </c>
      <c r="I30" s="211">
        <f t="shared" si="20"/>
        <v>-2.9856983842396323E-2</v>
      </c>
      <c r="J30" s="397">
        <f t="shared" si="10"/>
        <v>1274.4611744065523</v>
      </c>
      <c r="K30" s="211">
        <f t="shared" si="21"/>
        <v>-0.12635759451339323</v>
      </c>
      <c r="L30" s="401">
        <f t="shared" si="11"/>
        <v>5686.7142433292165</v>
      </c>
      <c r="M30" s="166"/>
      <c r="N30" s="390" t="s">
        <v>1025</v>
      </c>
      <c r="O30" s="906">
        <f t="shared" si="12"/>
        <v>0.88653065815923748</v>
      </c>
      <c r="P30" s="906">
        <f t="shared" si="13"/>
        <v>1.7923030489116545</v>
      </c>
      <c r="Q30" s="906">
        <f t="shared" si="14"/>
        <v>1.7334193618517724</v>
      </c>
      <c r="R30" s="906">
        <f t="shared" si="15"/>
        <v>1.2744611744065524</v>
      </c>
      <c r="S30" s="906">
        <f t="shared" si="16"/>
        <v>5.6867142433292166</v>
      </c>
    </row>
    <row r="31" spans="1:19">
      <c r="A31" s="390" t="s">
        <v>1028</v>
      </c>
      <c r="B31" s="397">
        <f t="shared" si="6"/>
        <v>362.97956331710526</v>
      </c>
      <c r="C31" s="211">
        <f t="shared" si="17"/>
        <v>-9.8942559150273057E-2</v>
      </c>
      <c r="D31" s="397">
        <f t="shared" si="7"/>
        <v>1061.0127565081577</v>
      </c>
      <c r="E31" s="211">
        <f t="shared" si="18"/>
        <v>0.19681451142502948</v>
      </c>
      <c r="F31" s="397">
        <f t="shared" si="8"/>
        <v>2007.2591702147367</v>
      </c>
      <c r="G31" s="211">
        <f t="shared" si="19"/>
        <v>0.1199329105831799</v>
      </c>
      <c r="H31" s="397">
        <f t="shared" si="9"/>
        <v>2014.6422634365788</v>
      </c>
      <c r="I31" s="211">
        <f t="shared" si="20"/>
        <v>0.16223592961623678</v>
      </c>
      <c r="J31" s="397">
        <f t="shared" si="10"/>
        <v>1129.4949273039474</v>
      </c>
      <c r="K31" s="211">
        <f t="shared" si="21"/>
        <v>-0.11374708779975806</v>
      </c>
      <c r="L31" s="401">
        <f t="shared" si="11"/>
        <v>6212.4091174634204</v>
      </c>
      <c r="M31" s="166"/>
      <c r="N31" s="390" t="s">
        <v>1028</v>
      </c>
      <c r="O31" s="906">
        <f t="shared" si="12"/>
        <v>1.0610127565081577</v>
      </c>
      <c r="P31" s="906">
        <f t="shared" si="13"/>
        <v>2.0072591702147369</v>
      </c>
      <c r="Q31" s="906">
        <f t="shared" si="14"/>
        <v>2.0146422634365786</v>
      </c>
      <c r="R31" s="906">
        <f t="shared" si="15"/>
        <v>1.1294949273039474</v>
      </c>
      <c r="S31" s="906">
        <f t="shared" si="16"/>
        <v>6.2124091174634204</v>
      </c>
    </row>
    <row r="32" spans="1:19">
      <c r="A32" s="390" t="s">
        <v>1031</v>
      </c>
      <c r="B32" s="397">
        <f t="shared" si="6"/>
        <v>445.61209105900627</v>
      </c>
      <c r="C32" s="211">
        <f t="shared" si="17"/>
        <v>0.2276506340653448</v>
      </c>
      <c r="D32" s="397">
        <f t="shared" si="7"/>
        <v>1144.1573086001554</v>
      </c>
      <c r="E32" s="211">
        <f t="shared" si="18"/>
        <v>7.8363385908412742E-2</v>
      </c>
      <c r="F32" s="397">
        <f t="shared" si="8"/>
        <v>2234.2828936863357</v>
      </c>
      <c r="G32" s="211">
        <f t="shared" si="19"/>
        <v>0.11310135075746697</v>
      </c>
      <c r="H32" s="397">
        <f t="shared" si="9"/>
        <v>2059.3151214223608</v>
      </c>
      <c r="I32" s="211">
        <f t="shared" si="20"/>
        <v>2.2174089562470911E-2</v>
      </c>
      <c r="J32" s="397">
        <f t="shared" si="10"/>
        <v>1127.6883053618014</v>
      </c>
      <c r="K32" s="211">
        <f t="shared" si="21"/>
        <v>-1.599495401416573E-3</v>
      </c>
      <c r="L32" s="401">
        <f t="shared" si="11"/>
        <v>6565.4436290706526</v>
      </c>
      <c r="M32" s="166"/>
      <c r="N32" s="390" t="s">
        <v>1031</v>
      </c>
      <c r="O32" s="906">
        <f t="shared" si="12"/>
        <v>1.1441573086001553</v>
      </c>
      <c r="P32" s="906">
        <f t="shared" si="13"/>
        <v>2.2342828936863355</v>
      </c>
      <c r="Q32" s="906">
        <f t="shared" si="14"/>
        <v>2.0593151214223608</v>
      </c>
      <c r="R32" s="906">
        <f t="shared" si="15"/>
        <v>1.1276883053618014</v>
      </c>
      <c r="S32" s="906">
        <f t="shared" si="16"/>
        <v>6.5654436290706526</v>
      </c>
    </row>
    <row r="33" spans="1:19">
      <c r="A33" s="390" t="s">
        <v>1034</v>
      </c>
      <c r="B33" s="397">
        <f t="shared" si="6"/>
        <v>469.30533724377233</v>
      </c>
      <c r="C33" s="211">
        <f t="shared" si="17"/>
        <v>5.3170115129637985E-2</v>
      </c>
      <c r="D33" s="397">
        <f t="shared" si="7"/>
        <v>1184.8694178729031</v>
      </c>
      <c r="E33" s="211">
        <f t="shared" si="18"/>
        <v>3.5582615228458181E-2</v>
      </c>
      <c r="F33" s="397">
        <f t="shared" si="8"/>
        <v>2503.5483863251147</v>
      </c>
      <c r="G33" s="211">
        <f t="shared" si="19"/>
        <v>0.12051539820658919</v>
      </c>
      <c r="H33" s="397">
        <f t="shared" si="9"/>
        <v>2267.9592377600407</v>
      </c>
      <c r="I33" s="211">
        <f t="shared" si="20"/>
        <v>0.10131723608845755</v>
      </c>
      <c r="J33" s="397">
        <f t="shared" si="10"/>
        <v>1031.7318158205389</v>
      </c>
      <c r="K33" s="211">
        <f t="shared" si="21"/>
        <v>-8.5091322739643371E-2</v>
      </c>
      <c r="L33" s="401">
        <f t="shared" si="11"/>
        <v>6988.1088577785977</v>
      </c>
      <c r="M33" s="166"/>
      <c r="N33" s="390" t="s">
        <v>1034</v>
      </c>
      <c r="O33" s="906">
        <f t="shared" si="12"/>
        <v>1.1848694178729031</v>
      </c>
      <c r="P33" s="906">
        <f t="shared" si="13"/>
        <v>2.5035483863251149</v>
      </c>
      <c r="Q33" s="906">
        <f t="shared" si="14"/>
        <v>2.2679592377600408</v>
      </c>
      <c r="R33" s="906">
        <f t="shared" si="15"/>
        <v>1.0317318158205389</v>
      </c>
      <c r="S33" s="906">
        <f t="shared" si="16"/>
        <v>6.9881088577785979</v>
      </c>
    </row>
    <row r="34" spans="1:19">
      <c r="A34" s="390" t="s">
        <v>1256</v>
      </c>
      <c r="B34" s="397">
        <f t="shared" si="6"/>
        <v>544.0890337559465</v>
      </c>
      <c r="C34" s="211">
        <f t="shared" si="17"/>
        <v>0.15934976778951282</v>
      </c>
      <c r="D34" s="397">
        <f t="shared" si="7"/>
        <v>1587.7446845418733</v>
      </c>
      <c r="E34" s="211">
        <f t="shared" si="18"/>
        <v>0.34001659642141702</v>
      </c>
      <c r="F34" s="397">
        <f t="shared" si="8"/>
        <v>3367.8413993622398</v>
      </c>
      <c r="G34" s="211">
        <f t="shared" si="19"/>
        <v>0.34522720541694651</v>
      </c>
      <c r="H34" s="397">
        <f t="shared" si="9"/>
        <v>3446.3553398362242</v>
      </c>
      <c r="I34" s="211">
        <f t="shared" si="20"/>
        <v>0.51958433928470038</v>
      </c>
      <c r="J34" s="397">
        <f t="shared" si="10"/>
        <v>1126.8732113139247</v>
      </c>
      <c r="K34" s="211">
        <f t="shared" si="21"/>
        <v>9.2215238528550625E-2</v>
      </c>
      <c r="L34" s="401">
        <f t="shared" si="11"/>
        <v>9528.8146350542629</v>
      </c>
      <c r="M34" s="166"/>
      <c r="N34" s="390" t="s">
        <v>1256</v>
      </c>
      <c r="O34" s="906">
        <f t="shared" si="12"/>
        <v>1.5877446845418732</v>
      </c>
      <c r="P34" s="906">
        <f t="shared" si="13"/>
        <v>3.36784139936224</v>
      </c>
      <c r="Q34" s="906">
        <f t="shared" si="14"/>
        <v>3.4463553398362241</v>
      </c>
      <c r="R34" s="906">
        <f t="shared" si="15"/>
        <v>1.1268732113139246</v>
      </c>
      <c r="S34" s="906">
        <f t="shared" si="16"/>
        <v>9.5288146350542622</v>
      </c>
    </row>
    <row r="35" spans="1:19">
      <c r="A35" s="390" t="s">
        <v>1257</v>
      </c>
      <c r="B35" s="397">
        <f t="shared" si="6"/>
        <v>888.02460471928191</v>
      </c>
      <c r="C35" s="211">
        <f t="shared" si="17"/>
        <v>0.63213104772409223</v>
      </c>
      <c r="D35" s="397">
        <f t="shared" si="7"/>
        <v>1565.1815253091631</v>
      </c>
      <c r="E35" s="211">
        <f t="shared" si="18"/>
        <v>-1.4210823347344803E-2</v>
      </c>
      <c r="F35" s="397">
        <f t="shared" si="8"/>
        <v>2987.8645899323856</v>
      </c>
      <c r="G35" s="211">
        <f t="shared" si="19"/>
        <v>-0.1128250307457499</v>
      </c>
      <c r="H35" s="397">
        <f t="shared" si="9"/>
        <v>3454.4766487274424</v>
      </c>
      <c r="I35" s="211">
        <f t="shared" si="20"/>
        <v>2.3564920301004655E-3</v>
      </c>
      <c r="J35" s="397">
        <f t="shared" si="10"/>
        <v>1155.0656440093262</v>
      </c>
      <c r="K35" s="211">
        <f t="shared" si="21"/>
        <v>2.5018282813316084E-2</v>
      </c>
      <c r="L35" s="401">
        <f t="shared" si="11"/>
        <v>9162.5884079783173</v>
      </c>
      <c r="M35" s="167"/>
      <c r="N35" s="390" t="s">
        <v>1257</v>
      </c>
      <c r="O35" s="906">
        <f t="shared" si="12"/>
        <v>1.5651815253091632</v>
      </c>
      <c r="P35" s="906">
        <f t="shared" si="13"/>
        <v>2.9878645899323857</v>
      </c>
      <c r="Q35" s="906">
        <f t="shared" si="14"/>
        <v>3.4544766487274425</v>
      </c>
      <c r="R35" s="906">
        <f t="shared" si="15"/>
        <v>1.1550656440093261</v>
      </c>
      <c r="S35" s="906">
        <f t="shared" si="16"/>
        <v>9.1625884079783173</v>
      </c>
    </row>
    <row r="36" spans="1:19">
      <c r="A36" s="49" t="s">
        <v>1246</v>
      </c>
      <c r="B36" s="397">
        <f t="shared" si="6"/>
        <v>1405.53457</v>
      </c>
      <c r="C36" s="211">
        <f t="shared" si="17"/>
        <v>0.5827653451610284</v>
      </c>
      <c r="D36" s="397">
        <f t="shared" si="7"/>
        <v>1804.6</v>
      </c>
      <c r="E36" s="211">
        <f t="shared" si="18"/>
        <v>0.15296530838079336</v>
      </c>
      <c r="F36" s="397">
        <f t="shared" si="8"/>
        <v>3482.3</v>
      </c>
      <c r="G36" s="211">
        <f t="shared" si="19"/>
        <v>0.16548119741892431</v>
      </c>
      <c r="H36" s="397">
        <f t="shared" si="9"/>
        <v>3764.1</v>
      </c>
      <c r="I36" s="211">
        <f t="shared" si="20"/>
        <v>8.9629597405620487E-2</v>
      </c>
      <c r="J36" s="397">
        <f t="shared" si="10"/>
        <v>1197.2</v>
      </c>
      <c r="K36" s="211">
        <f t="shared" si="21"/>
        <v>3.6477888689011806E-2</v>
      </c>
      <c r="L36" s="401">
        <f t="shared" si="11"/>
        <v>10248.193735000001</v>
      </c>
      <c r="M36" s="159"/>
      <c r="N36" s="49" t="s">
        <v>1246</v>
      </c>
      <c r="O36" s="906">
        <f t="shared" si="12"/>
        <v>1.8046</v>
      </c>
      <c r="P36" s="906">
        <f t="shared" si="13"/>
        <v>3.4823000000000004</v>
      </c>
      <c r="Q36" s="906">
        <f t="shared" si="14"/>
        <v>3.7641</v>
      </c>
      <c r="R36" s="906">
        <f t="shared" si="15"/>
        <v>1.1972</v>
      </c>
      <c r="S36" s="906">
        <f t="shared" si="16"/>
        <v>10.248193735000001</v>
      </c>
    </row>
    <row r="37" spans="1:19">
      <c r="A37" s="390"/>
      <c r="B37" s="159"/>
      <c r="C37" s="159"/>
      <c r="D37" s="159"/>
      <c r="E37" s="159"/>
      <c r="F37" s="159"/>
      <c r="G37" s="159"/>
      <c r="H37" s="159"/>
      <c r="I37" s="159"/>
      <c r="J37" s="159"/>
      <c r="K37" s="159"/>
      <c r="L37" s="396"/>
      <c r="M37" s="159"/>
      <c r="N37" s="159"/>
      <c r="O37" s="159"/>
      <c r="P37" s="160"/>
      <c r="Q37" s="209"/>
      <c r="R37" s="209"/>
    </row>
    <row r="38" spans="1:19" ht="15" thickBot="1">
      <c r="A38" s="395"/>
      <c r="B38" s="398"/>
      <c r="C38" s="398"/>
      <c r="D38" s="398"/>
      <c r="E38" s="398"/>
      <c r="F38" s="398"/>
      <c r="G38" s="398"/>
      <c r="H38" s="398"/>
      <c r="I38" s="398"/>
      <c r="J38" s="398"/>
      <c r="K38" s="398"/>
      <c r="L38" s="399"/>
      <c r="M38" s="159"/>
      <c r="N38" s="159"/>
      <c r="O38" s="159"/>
      <c r="P38" s="160"/>
      <c r="Q38" s="209"/>
      <c r="R38" s="209"/>
    </row>
    <row r="39" spans="1:19" ht="15" thickBot="1">
      <c r="A39" s="126"/>
      <c r="B39" s="159"/>
      <c r="D39" s="159"/>
      <c r="E39" s="159"/>
      <c r="F39" s="159"/>
      <c r="G39" s="159"/>
      <c r="H39" s="159"/>
      <c r="I39" s="159"/>
      <c r="J39" s="159"/>
      <c r="K39" s="159"/>
      <c r="L39" s="159"/>
      <c r="M39" s="159"/>
      <c r="N39" s="159"/>
      <c r="O39" s="159"/>
      <c r="P39" s="160"/>
      <c r="Q39" s="209"/>
      <c r="R39" s="209"/>
    </row>
    <row r="40" spans="1:19">
      <c r="A40" s="1071" t="s">
        <v>1751</v>
      </c>
      <c r="B40" s="1074" t="s">
        <v>1758</v>
      </c>
      <c r="C40" s="1069"/>
      <c r="D40" s="1069"/>
      <c r="E40" s="1069"/>
      <c r="F40" s="1069"/>
      <c r="G40" s="1069"/>
      <c r="H40" s="1069"/>
      <c r="I40" s="1069"/>
      <c r="J40" s="1069"/>
      <c r="K40" s="1069"/>
      <c r="L40" s="1075"/>
      <c r="M40" s="159"/>
      <c r="N40" s="159"/>
      <c r="O40" s="159"/>
      <c r="P40" s="160"/>
      <c r="Q40" s="209"/>
      <c r="R40" s="209"/>
    </row>
    <row r="41" spans="1:19">
      <c r="A41" s="400"/>
      <c r="B41" s="159" t="s">
        <v>1759</v>
      </c>
      <c r="D41" s="159" t="s">
        <v>1754</v>
      </c>
      <c r="F41" s="159" t="s">
        <v>1755</v>
      </c>
      <c r="H41" s="159" t="s">
        <v>1756</v>
      </c>
      <c r="J41" s="159" t="s">
        <v>1757</v>
      </c>
      <c r="L41" s="391" t="s">
        <v>403</v>
      </c>
      <c r="M41" s="159"/>
      <c r="N41" s="159"/>
      <c r="O41" s="159"/>
      <c r="P41" s="160"/>
      <c r="Q41" s="209"/>
      <c r="R41" s="209"/>
    </row>
    <row r="42" spans="1:19">
      <c r="A42" s="390" t="s">
        <v>1010</v>
      </c>
      <c r="B42" s="160">
        <f t="shared" ref="B42:B53" si="22">(B8/$N8*$N$20)/1000000</f>
        <v>0</v>
      </c>
      <c r="C42" s="125"/>
      <c r="D42" s="160">
        <f t="shared" ref="D42:D53" si="23">(D8/$N8*$N$20)/1000000</f>
        <v>0</v>
      </c>
      <c r="E42" s="125"/>
      <c r="F42" s="160">
        <f t="shared" ref="F42:F53" si="24">(F8/$N8*$N$20)/1000000</f>
        <v>0</v>
      </c>
      <c r="G42" s="125"/>
      <c r="H42" s="160">
        <f t="shared" ref="H42:H53" si="25">(H8/$N8*$N$20)/1000000</f>
        <v>0</v>
      </c>
      <c r="I42" s="125"/>
      <c r="J42" s="160">
        <f t="shared" ref="J42:J53" si="26">(J8/$N8*$N$20)/1000000</f>
        <v>0</v>
      </c>
      <c r="K42" s="125"/>
      <c r="L42" s="393">
        <f>(L8/$N8*$N$20)/1000000</f>
        <v>0</v>
      </c>
      <c r="M42" s="159"/>
      <c r="N42" s="159"/>
      <c r="O42" s="159"/>
      <c r="P42" s="160"/>
      <c r="Q42" s="209"/>
      <c r="R42" s="209"/>
    </row>
    <row r="43" spans="1:19">
      <c r="A43" s="390" t="s">
        <v>1013</v>
      </c>
      <c r="B43" s="160">
        <f t="shared" si="22"/>
        <v>0</v>
      </c>
      <c r="C43" s="211" t="e">
        <f>B43/B42-1</f>
        <v>#DIV/0!</v>
      </c>
      <c r="D43" s="160">
        <f t="shared" si="23"/>
        <v>0</v>
      </c>
      <c r="E43" s="211" t="e">
        <f>D43/D42-1</f>
        <v>#DIV/0!</v>
      </c>
      <c r="F43" s="160">
        <f t="shared" si="24"/>
        <v>0</v>
      </c>
      <c r="G43" s="211" t="e">
        <f>F43/F42-1</f>
        <v>#DIV/0!</v>
      </c>
      <c r="H43" s="160">
        <f t="shared" si="25"/>
        <v>0</v>
      </c>
      <c r="I43" s="211" t="e">
        <f>H43/H42-1</f>
        <v>#DIV/0!</v>
      </c>
      <c r="J43" s="160">
        <f t="shared" si="26"/>
        <v>0</v>
      </c>
      <c r="K43" s="211" t="e">
        <f>J43/J42-1</f>
        <v>#DIV/0!</v>
      </c>
      <c r="L43" s="393">
        <f t="shared" ref="L43:L53" si="27">(L9/$N9*$N$20)/1000000</f>
        <v>0</v>
      </c>
      <c r="M43" s="159"/>
      <c r="N43" s="300"/>
      <c r="O43" s="300"/>
      <c r="P43" s="300"/>
      <c r="Q43" s="300"/>
      <c r="R43" s="209"/>
    </row>
    <row r="44" spans="1:19">
      <c r="A44" s="390" t="s">
        <v>1016</v>
      </c>
      <c r="B44" s="160">
        <f t="shared" si="22"/>
        <v>0</v>
      </c>
      <c r="C44" s="211" t="e">
        <f t="shared" ref="C44:C53" si="28">B44/B43-1</f>
        <v>#DIV/0!</v>
      </c>
      <c r="D44" s="160">
        <f t="shared" si="23"/>
        <v>0</v>
      </c>
      <c r="E44" s="211" t="e">
        <f t="shared" ref="E44:E53" si="29">D44/D43-1</f>
        <v>#DIV/0!</v>
      </c>
      <c r="F44" s="160">
        <f t="shared" si="24"/>
        <v>0</v>
      </c>
      <c r="G44" s="211" t="e">
        <f t="shared" ref="G44:G53" si="30">F44/F43-1</f>
        <v>#DIV/0!</v>
      </c>
      <c r="H44" s="160">
        <f t="shared" si="25"/>
        <v>0</v>
      </c>
      <c r="I44" s="211" t="e">
        <f t="shared" ref="I44:I53" si="31">H44/H43-1</f>
        <v>#DIV/0!</v>
      </c>
      <c r="J44" s="160">
        <f t="shared" si="26"/>
        <v>0</v>
      </c>
      <c r="K44" s="211" t="e">
        <f t="shared" ref="K44:K53" si="32">J44/J43-1</f>
        <v>#DIV/0!</v>
      </c>
      <c r="L44" s="393">
        <f t="shared" si="27"/>
        <v>0</v>
      </c>
      <c r="M44" s="159"/>
      <c r="N44" s="300"/>
      <c r="O44" s="300"/>
      <c r="P44" s="300"/>
      <c r="Q44" s="300"/>
      <c r="R44" s="209"/>
    </row>
    <row r="45" spans="1:19">
      <c r="A45" s="390" t="s">
        <v>1019</v>
      </c>
      <c r="B45" s="160">
        <f t="shared" si="22"/>
        <v>0</v>
      </c>
      <c r="C45" s="211" t="e">
        <f t="shared" si="28"/>
        <v>#DIV/0!</v>
      </c>
      <c r="D45" s="160">
        <f t="shared" si="23"/>
        <v>0</v>
      </c>
      <c r="E45" s="211" t="e">
        <f t="shared" si="29"/>
        <v>#DIV/0!</v>
      </c>
      <c r="F45" s="160">
        <f t="shared" si="24"/>
        <v>0</v>
      </c>
      <c r="G45" s="211" t="e">
        <f t="shared" si="30"/>
        <v>#DIV/0!</v>
      </c>
      <c r="H45" s="160">
        <f t="shared" si="25"/>
        <v>0</v>
      </c>
      <c r="I45" s="211" t="e">
        <f t="shared" si="31"/>
        <v>#DIV/0!</v>
      </c>
      <c r="J45" s="160">
        <f t="shared" si="26"/>
        <v>0</v>
      </c>
      <c r="K45" s="211" t="e">
        <f t="shared" si="32"/>
        <v>#DIV/0!</v>
      </c>
      <c r="L45" s="393">
        <f t="shared" si="27"/>
        <v>0</v>
      </c>
      <c r="M45" s="159"/>
      <c r="N45" s="300"/>
      <c r="O45" s="300"/>
      <c r="P45" s="300"/>
      <c r="Q45" s="300"/>
      <c r="R45" s="209"/>
    </row>
    <row r="46" spans="1:19">
      <c r="A46" s="390" t="s">
        <v>1022</v>
      </c>
      <c r="B46" s="160">
        <f t="shared" si="22"/>
        <v>0</v>
      </c>
      <c r="C46" s="211" t="e">
        <f t="shared" si="28"/>
        <v>#DIV/0!</v>
      </c>
      <c r="D46" s="160">
        <f t="shared" si="23"/>
        <v>0</v>
      </c>
      <c r="E46" s="211" t="e">
        <f t="shared" si="29"/>
        <v>#DIV/0!</v>
      </c>
      <c r="F46" s="160">
        <f t="shared" si="24"/>
        <v>0</v>
      </c>
      <c r="G46" s="211" t="e">
        <f t="shared" si="30"/>
        <v>#DIV/0!</v>
      </c>
      <c r="H46" s="160">
        <f t="shared" si="25"/>
        <v>0</v>
      </c>
      <c r="I46" s="211" t="e">
        <f t="shared" si="31"/>
        <v>#DIV/0!</v>
      </c>
      <c r="J46" s="160">
        <f t="shared" si="26"/>
        <v>0</v>
      </c>
      <c r="K46" s="211" t="e">
        <f t="shared" si="32"/>
        <v>#DIV/0!</v>
      </c>
      <c r="L46" s="393">
        <f t="shared" si="27"/>
        <v>0</v>
      </c>
      <c r="M46" s="159"/>
      <c r="N46" s="300"/>
      <c r="O46" s="300"/>
      <c r="P46" s="300"/>
      <c r="Q46" s="300"/>
      <c r="R46" s="209"/>
    </row>
    <row r="47" spans="1:19">
      <c r="A47" s="390" t="s">
        <v>1025</v>
      </c>
      <c r="B47" s="160">
        <f t="shared" si="22"/>
        <v>0</v>
      </c>
      <c r="C47" s="211" t="e">
        <f t="shared" si="28"/>
        <v>#DIV/0!</v>
      </c>
      <c r="D47" s="160">
        <f t="shared" si="23"/>
        <v>0</v>
      </c>
      <c r="E47" s="211" t="e">
        <f t="shared" si="29"/>
        <v>#DIV/0!</v>
      </c>
      <c r="F47" s="160">
        <f t="shared" si="24"/>
        <v>0</v>
      </c>
      <c r="G47" s="211" t="e">
        <f t="shared" si="30"/>
        <v>#DIV/0!</v>
      </c>
      <c r="H47" s="160">
        <f t="shared" si="25"/>
        <v>0</v>
      </c>
      <c r="I47" s="211" t="e">
        <f t="shared" si="31"/>
        <v>#DIV/0!</v>
      </c>
      <c r="J47" s="160">
        <f t="shared" si="26"/>
        <v>0</v>
      </c>
      <c r="K47" s="211" t="e">
        <f t="shared" si="32"/>
        <v>#DIV/0!</v>
      </c>
      <c r="L47" s="393">
        <f t="shared" si="27"/>
        <v>0</v>
      </c>
      <c r="M47" s="159"/>
      <c r="N47" s="300"/>
      <c r="O47" s="300"/>
      <c r="P47" s="300"/>
      <c r="Q47" s="300"/>
    </row>
    <row r="48" spans="1:19">
      <c r="A48" s="390" t="s">
        <v>1028</v>
      </c>
      <c r="B48" s="160">
        <f t="shared" si="22"/>
        <v>0</v>
      </c>
      <c r="C48" s="211" t="e">
        <f t="shared" si="28"/>
        <v>#DIV/0!</v>
      </c>
      <c r="D48" s="160">
        <f t="shared" si="23"/>
        <v>0</v>
      </c>
      <c r="E48" s="211" t="e">
        <f t="shared" si="29"/>
        <v>#DIV/0!</v>
      </c>
      <c r="F48" s="160">
        <f t="shared" si="24"/>
        <v>0</v>
      </c>
      <c r="G48" s="211" t="e">
        <f t="shared" si="30"/>
        <v>#DIV/0!</v>
      </c>
      <c r="H48" s="160">
        <f t="shared" si="25"/>
        <v>0</v>
      </c>
      <c r="I48" s="211" t="e">
        <f t="shared" si="31"/>
        <v>#DIV/0!</v>
      </c>
      <c r="J48" s="160">
        <f t="shared" si="26"/>
        <v>0</v>
      </c>
      <c r="K48" s="211" t="e">
        <f t="shared" si="32"/>
        <v>#DIV/0!</v>
      </c>
      <c r="L48" s="393">
        <f t="shared" si="27"/>
        <v>0</v>
      </c>
      <c r="N48" s="300"/>
      <c r="O48" s="300"/>
      <c r="P48" s="300"/>
      <c r="Q48" s="300"/>
    </row>
    <row r="49" spans="1:17">
      <c r="A49" s="390" t="s">
        <v>1031</v>
      </c>
      <c r="B49" s="160">
        <f t="shared" si="22"/>
        <v>0</v>
      </c>
      <c r="C49" s="211" t="e">
        <f t="shared" si="28"/>
        <v>#DIV/0!</v>
      </c>
      <c r="D49" s="160">
        <f t="shared" si="23"/>
        <v>0</v>
      </c>
      <c r="E49" s="211" t="e">
        <f t="shared" si="29"/>
        <v>#DIV/0!</v>
      </c>
      <c r="F49" s="160">
        <f t="shared" si="24"/>
        <v>0</v>
      </c>
      <c r="G49" s="211" t="e">
        <f t="shared" si="30"/>
        <v>#DIV/0!</v>
      </c>
      <c r="H49" s="160">
        <f t="shared" si="25"/>
        <v>0</v>
      </c>
      <c r="I49" s="211" t="e">
        <f t="shared" si="31"/>
        <v>#DIV/0!</v>
      </c>
      <c r="J49" s="160">
        <f t="shared" si="26"/>
        <v>0</v>
      </c>
      <c r="K49" s="211" t="e">
        <f t="shared" si="32"/>
        <v>#DIV/0!</v>
      </c>
      <c r="L49" s="393">
        <f t="shared" si="27"/>
        <v>0</v>
      </c>
      <c r="N49" s="300"/>
      <c r="O49" s="300"/>
      <c r="P49" s="300"/>
      <c r="Q49" s="300"/>
    </row>
    <row r="50" spans="1:17">
      <c r="A50" s="390" t="s">
        <v>1034</v>
      </c>
      <c r="B50" s="160">
        <f t="shared" si="22"/>
        <v>0</v>
      </c>
      <c r="C50" s="211" t="e">
        <f t="shared" si="28"/>
        <v>#DIV/0!</v>
      </c>
      <c r="D50" s="160">
        <f t="shared" si="23"/>
        <v>0</v>
      </c>
      <c r="E50" s="211" t="e">
        <f t="shared" si="29"/>
        <v>#DIV/0!</v>
      </c>
      <c r="F50" s="160">
        <f t="shared" si="24"/>
        <v>0</v>
      </c>
      <c r="G50" s="211" t="e">
        <f t="shared" si="30"/>
        <v>#DIV/0!</v>
      </c>
      <c r="H50" s="160">
        <f t="shared" si="25"/>
        <v>0</v>
      </c>
      <c r="I50" s="211" t="e">
        <f t="shared" si="31"/>
        <v>#DIV/0!</v>
      </c>
      <c r="J50" s="160">
        <f t="shared" si="26"/>
        <v>0</v>
      </c>
      <c r="K50" s="211" t="e">
        <f t="shared" si="32"/>
        <v>#DIV/0!</v>
      </c>
      <c r="L50" s="393">
        <f t="shared" si="27"/>
        <v>0</v>
      </c>
      <c r="N50" s="300"/>
      <c r="O50" s="300"/>
      <c r="P50" s="300"/>
      <c r="Q50" s="300"/>
    </row>
    <row r="51" spans="1:17">
      <c r="A51" s="390" t="s">
        <v>1256</v>
      </c>
      <c r="B51" s="160">
        <f t="shared" si="22"/>
        <v>0</v>
      </c>
      <c r="C51" s="211" t="e">
        <f t="shared" si="28"/>
        <v>#DIV/0!</v>
      </c>
      <c r="D51" s="160">
        <f t="shared" si="23"/>
        <v>0</v>
      </c>
      <c r="E51" s="211" t="e">
        <f t="shared" si="29"/>
        <v>#DIV/0!</v>
      </c>
      <c r="F51" s="160">
        <f t="shared" si="24"/>
        <v>0</v>
      </c>
      <c r="G51" s="211" t="e">
        <f t="shared" si="30"/>
        <v>#DIV/0!</v>
      </c>
      <c r="H51" s="160">
        <f t="shared" si="25"/>
        <v>0</v>
      </c>
      <c r="I51" s="211" t="e">
        <f t="shared" si="31"/>
        <v>#DIV/0!</v>
      </c>
      <c r="J51" s="160">
        <f t="shared" si="26"/>
        <v>0</v>
      </c>
      <c r="K51" s="211" t="e">
        <f t="shared" si="32"/>
        <v>#DIV/0!</v>
      </c>
      <c r="L51" s="393">
        <f t="shared" si="27"/>
        <v>0</v>
      </c>
      <c r="N51" s="300"/>
      <c r="O51" s="300"/>
      <c r="P51" s="300"/>
      <c r="Q51" s="300"/>
    </row>
    <row r="52" spans="1:17">
      <c r="A52" s="390" t="s">
        <v>1257</v>
      </c>
      <c r="B52" s="160">
        <f t="shared" si="22"/>
        <v>0</v>
      </c>
      <c r="C52" s="211" t="e">
        <f t="shared" si="28"/>
        <v>#DIV/0!</v>
      </c>
      <c r="D52" s="160">
        <f t="shared" si="23"/>
        <v>0</v>
      </c>
      <c r="E52" s="211" t="e">
        <f t="shared" si="29"/>
        <v>#DIV/0!</v>
      </c>
      <c r="F52" s="160">
        <f t="shared" si="24"/>
        <v>0</v>
      </c>
      <c r="G52" s="211" t="e">
        <f t="shared" si="30"/>
        <v>#DIV/0!</v>
      </c>
      <c r="H52" s="160">
        <f t="shared" si="25"/>
        <v>0</v>
      </c>
      <c r="I52" s="211" t="e">
        <f t="shared" si="31"/>
        <v>#DIV/0!</v>
      </c>
      <c r="J52" s="160">
        <f t="shared" si="26"/>
        <v>0</v>
      </c>
      <c r="K52" s="211" t="e">
        <f t="shared" si="32"/>
        <v>#DIV/0!</v>
      </c>
      <c r="L52" s="393">
        <f t="shared" si="27"/>
        <v>0</v>
      </c>
      <c r="N52" s="300"/>
      <c r="O52" s="300"/>
      <c r="P52" s="300"/>
      <c r="Q52" s="300"/>
    </row>
    <row r="53" spans="1:17">
      <c r="A53" s="390" t="s">
        <v>1246</v>
      </c>
      <c r="B53" s="160">
        <f t="shared" si="22"/>
        <v>0</v>
      </c>
      <c r="C53" s="211" t="e">
        <f t="shared" si="28"/>
        <v>#DIV/0!</v>
      </c>
      <c r="D53" s="160">
        <f t="shared" si="23"/>
        <v>0</v>
      </c>
      <c r="E53" s="211" t="e">
        <f t="shared" si="29"/>
        <v>#DIV/0!</v>
      </c>
      <c r="F53" s="160">
        <f t="shared" si="24"/>
        <v>0</v>
      </c>
      <c r="G53" s="211" t="e">
        <f t="shared" si="30"/>
        <v>#DIV/0!</v>
      </c>
      <c r="H53" s="160">
        <f t="shared" si="25"/>
        <v>0</v>
      </c>
      <c r="I53" s="211" t="e">
        <f t="shared" si="31"/>
        <v>#DIV/0!</v>
      </c>
      <c r="J53" s="160">
        <f t="shared" si="26"/>
        <v>0</v>
      </c>
      <c r="K53" s="211" t="e">
        <f t="shared" si="32"/>
        <v>#DIV/0!</v>
      </c>
      <c r="L53" s="393">
        <f t="shared" si="27"/>
        <v>0</v>
      </c>
      <c r="M53">
        <f>(L19/1000000000)/11</f>
        <v>0.93165397590909083</v>
      </c>
      <c r="N53" s="300"/>
      <c r="O53" s="300"/>
      <c r="P53" s="300"/>
      <c r="Q53" s="300"/>
    </row>
    <row r="54" spans="1:17">
      <c r="A54" s="49"/>
      <c r="L54" s="306"/>
    </row>
    <row r="55" spans="1:17" ht="15" thickBot="1">
      <c r="A55" s="134"/>
      <c r="B55" s="311"/>
      <c r="C55" s="311"/>
      <c r="D55" s="817" t="e">
        <f>D53/D42-1</f>
        <v>#DIV/0!</v>
      </c>
      <c r="E55" s="311" t="e">
        <f>D53/D42</f>
        <v>#DIV/0!</v>
      </c>
      <c r="F55" s="311"/>
      <c r="G55" s="311"/>
      <c r="H55" s="311"/>
      <c r="I55" s="311"/>
      <c r="J55" s="818" t="e">
        <f>J53/J42-1</f>
        <v>#DIV/0!</v>
      </c>
      <c r="K55" s="311"/>
      <c r="L55" s="882" t="e">
        <f>L53/L42-1</f>
        <v>#DIV/0!</v>
      </c>
    </row>
    <row r="57" spans="1:17">
      <c r="A57" s="390" t="s">
        <v>1760</v>
      </c>
    </row>
    <row r="58" spans="1:17">
      <c r="D58" s="172" t="e">
        <f t="shared" ref="D58" si="33">(D53/D42)^(1/COUNT(D43:D53))-1</f>
        <v>#DIV/0!</v>
      </c>
      <c r="F58" s="172" t="e">
        <f>(F53/F42)^(1/COUNT(F43:F53))-1</f>
        <v>#DIV/0!</v>
      </c>
      <c r="H58" s="172" t="e">
        <f>(H53/H42)^(1/COUNT(H43:H53))-1</f>
        <v>#DIV/0!</v>
      </c>
      <c r="J58" s="172" t="e">
        <f>(J53/J42)^(1/COUNT(J43:J53))-1</f>
        <v>#DIV/0!</v>
      </c>
      <c r="L58" s="172" t="e">
        <f>(L53/L42)^(1/COUNT(L43:L53))-1</f>
        <v>#DIV/0!</v>
      </c>
    </row>
    <row r="59" spans="1:17">
      <c r="D59" s="172" t="e">
        <f t="shared" ref="D59" si="34">D53/D42-1</f>
        <v>#DIV/0!</v>
      </c>
      <c r="F59" s="172" t="e">
        <f>F53/F42-1</f>
        <v>#DIV/0!</v>
      </c>
      <c r="H59" s="172" t="e">
        <f>H53/H42-1</f>
        <v>#DIV/0!</v>
      </c>
      <c r="J59" s="172" t="e">
        <f>J53/J42-1</f>
        <v>#DIV/0!</v>
      </c>
      <c r="L59" s="172" t="e">
        <f>L53/L42-1</f>
        <v>#DIV/0!</v>
      </c>
    </row>
    <row r="61" spans="1:17">
      <c r="D61" t="e">
        <f t="shared" ref="D61" si="35">D53/D42</f>
        <v>#DIV/0!</v>
      </c>
      <c r="F61" t="e">
        <f>F53/F42</f>
        <v>#DIV/0!</v>
      </c>
      <c r="H61" t="e">
        <f>H53/H42</f>
        <v>#DIV/0!</v>
      </c>
      <c r="J61" t="e">
        <f>J53/J42</f>
        <v>#DIV/0!</v>
      </c>
      <c r="L61" t="e">
        <f>L53/L42</f>
        <v>#DIV/0!</v>
      </c>
    </row>
  </sheetData>
  <mergeCells count="1">
    <mergeCell ref="N6:O7"/>
  </mergeCells>
  <phoneticPr fontId="21" type="noConversion"/>
  <hyperlinks>
    <hyperlink ref="A2" r:id="rId1" xr:uid="{50CF5F46-9FF3-40D7-A1F4-CC5FC86C92CE}"/>
  </hyperlinks>
  <pageMargins left="0.7" right="0.7" top="0.75" bottom="0.75" header="0.3" footer="0.3"/>
  <pageSetup paperSize="9" orientation="portrait"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A51F1-1DBC-43CE-AA46-4FFEAF1C0610}">
  <dimension ref="A1:N46"/>
  <sheetViews>
    <sheetView workbookViewId="0">
      <selection activeCell="C19" sqref="C19"/>
    </sheetView>
  </sheetViews>
  <sheetFormatPr defaultRowHeight="14.5"/>
  <cols>
    <col min="3" max="5" width="12.54296875" bestFit="1" customWidth="1"/>
    <col min="6" max="9" width="12.453125" bestFit="1" customWidth="1"/>
    <col min="10" max="10" width="14.1796875" customWidth="1"/>
    <col min="11" max="14" width="12.453125" bestFit="1" customWidth="1"/>
  </cols>
  <sheetData>
    <row r="1" spans="2:10">
      <c r="B1" s="76" t="s">
        <v>1194</v>
      </c>
    </row>
    <row r="2" spans="2:10">
      <c r="B2" s="3" t="s">
        <v>1511</v>
      </c>
      <c r="C2" s="3" t="s">
        <v>1761</v>
      </c>
      <c r="D2" s="3" t="s">
        <v>166</v>
      </c>
      <c r="E2" s="3" t="s">
        <v>1762</v>
      </c>
      <c r="F2" s="3" t="s">
        <v>1763</v>
      </c>
      <c r="G2" s="3" t="s">
        <v>305</v>
      </c>
    </row>
    <row r="3" spans="2:10">
      <c r="B3" s="723" t="s">
        <v>1019</v>
      </c>
      <c r="C3" s="724">
        <f t="array" ref="C3:C11">TRANSPOSE('DHSC NHS Budgets'!F8:N8)</f>
        <v>0</v>
      </c>
      <c r="D3" s="724">
        <f t="array" ref="D3:D11">TRANSPOSE('DHSC NHS Budgets'!F15:N15)</f>
        <v>104.40736065328011</v>
      </c>
      <c r="E3" s="724">
        <f t="array" ref="E3:E11">TRANSPOSE('DHSC NHS Budgets'!F23:N23)</f>
        <v>93.695999999999998</v>
      </c>
      <c r="F3" s="724">
        <f t="array" ref="F3:F14">TRANSPOSE('DHSC NHS Budgets'!F38:Q38)</f>
        <v>10.71136065328011</v>
      </c>
      <c r="G3" s="724">
        <f t="array" ref="G3:G11">TRANSPOSE('DHSC NHS Budgets'!F46:N46)</f>
        <v>5.3669460000000004</v>
      </c>
      <c r="I3" s="483">
        <f>C3-SUM(D3,G3)</f>
        <v>-109.77430665328011</v>
      </c>
      <c r="J3" s="722">
        <f>D3-SUM(E3:F3)</f>
        <v>0</v>
      </c>
    </row>
    <row r="4" spans="2:10">
      <c r="B4" s="723" t="s">
        <v>1022</v>
      </c>
      <c r="C4" s="724">
        <v>0</v>
      </c>
      <c r="D4" s="724">
        <v>108.373357</v>
      </c>
      <c r="E4" s="724">
        <v>97.097999999999999</v>
      </c>
      <c r="F4" s="724">
        <v>11.275357</v>
      </c>
      <c r="G4" s="724">
        <v>4.9712550000000002</v>
      </c>
      <c r="I4" s="483">
        <f t="shared" ref="I4:I14" si="0">C4-SUM(D4,G4)</f>
        <v>-113.344612</v>
      </c>
      <c r="J4" s="722">
        <f t="shared" ref="J4:J14" si="1">D4-SUM(E4:F4)</f>
        <v>0</v>
      </c>
    </row>
    <row r="5" spans="2:10">
      <c r="B5" s="723" t="s">
        <v>1025</v>
      </c>
      <c r="C5" s="724">
        <v>0</v>
      </c>
      <c r="D5" s="724">
        <v>112.595276</v>
      </c>
      <c r="E5" s="724">
        <v>100.572</v>
      </c>
      <c r="F5" s="724">
        <v>12.023275999999996</v>
      </c>
      <c r="G5" s="724">
        <v>4.6523300000000001</v>
      </c>
      <c r="I5" s="483">
        <f t="shared" si="0"/>
        <v>-117.247606</v>
      </c>
      <c r="J5" s="722">
        <f t="shared" si="1"/>
        <v>0</v>
      </c>
    </row>
    <row r="6" spans="2:10">
      <c r="B6" s="723" t="s">
        <v>1028</v>
      </c>
      <c r="C6" s="724">
        <v>0</v>
      </c>
      <c r="D6" s="724">
        <v>117</v>
      </c>
      <c r="E6" s="724">
        <v>105.735</v>
      </c>
      <c r="F6" s="724">
        <v>11.265000000000001</v>
      </c>
      <c r="G6" s="724">
        <v>4.556</v>
      </c>
      <c r="I6" s="483">
        <f>C6-SUM(D6,G6)</f>
        <v>-121.556</v>
      </c>
      <c r="J6" s="722">
        <f t="shared" si="1"/>
        <v>0</v>
      </c>
    </row>
    <row r="7" spans="2:10">
      <c r="B7" s="723" t="s">
        <v>1031</v>
      </c>
      <c r="C7" s="724">
        <v>0</v>
      </c>
      <c r="D7" s="724">
        <v>119.91800000000001</v>
      </c>
      <c r="E7" s="724">
        <v>109.605</v>
      </c>
      <c r="F7" s="724" t="e">
        <v>#REF!</v>
      </c>
      <c r="G7" s="724">
        <v>5.2380000000000004</v>
      </c>
      <c r="I7" s="483">
        <f t="shared" si="0"/>
        <v>-125.15600000000001</v>
      </c>
      <c r="J7" s="722" t="e">
        <f t="shared" si="1"/>
        <v>#REF!</v>
      </c>
    </row>
    <row r="8" spans="2:10">
      <c r="B8" s="723" t="s">
        <v>1034</v>
      </c>
      <c r="C8" s="724">
        <v>0</v>
      </c>
      <c r="D8" s="724">
        <v>124.35899999999999</v>
      </c>
      <c r="E8" s="724">
        <v>114.5</v>
      </c>
      <c r="F8" s="724">
        <v>9.8589999999999947</v>
      </c>
      <c r="G8" s="724">
        <v>5.9409999999999998</v>
      </c>
      <c r="I8" s="483">
        <f t="shared" si="0"/>
        <v>-130.29999999999998</v>
      </c>
      <c r="J8" s="722">
        <f t="shared" si="1"/>
        <v>0</v>
      </c>
    </row>
    <row r="9" spans="2:10">
      <c r="B9" s="723" t="s">
        <v>1256</v>
      </c>
      <c r="C9" s="724">
        <v>0</v>
      </c>
      <c r="D9" s="724">
        <v>133.48400000000001</v>
      </c>
      <c r="E9" s="724">
        <v>120.807</v>
      </c>
      <c r="F9" s="724" t="e">
        <v>#REF!</v>
      </c>
      <c r="G9" s="724">
        <v>7.0149999999999997</v>
      </c>
      <c r="I9" s="483">
        <f t="shared" si="0"/>
        <v>-140.499</v>
      </c>
      <c r="J9" s="722" t="e">
        <f t="shared" si="1"/>
        <v>#REF!</v>
      </c>
    </row>
    <row r="10" spans="2:10">
      <c r="B10" s="723" t="s">
        <v>1257</v>
      </c>
      <c r="C10" s="724">
        <v>144.9</v>
      </c>
      <c r="D10" s="724">
        <v>136.30000000000001</v>
      </c>
      <c r="E10" s="724">
        <v>127.00700000000001</v>
      </c>
      <c r="F10" s="724" t="e">
        <v>#REF!</v>
      </c>
      <c r="G10" s="724">
        <v>8.6</v>
      </c>
      <c r="I10" s="483">
        <f t="shared" si="0"/>
        <v>0</v>
      </c>
      <c r="J10" s="722" t="e">
        <f t="shared" si="1"/>
        <v>#REF!</v>
      </c>
    </row>
    <row r="11" spans="2:10">
      <c r="B11" s="723" t="s">
        <v>1246</v>
      </c>
      <c r="C11" s="724">
        <v>153.1</v>
      </c>
      <c r="D11" s="724">
        <v>144.1</v>
      </c>
      <c r="E11" s="724">
        <v>133.28299999999999</v>
      </c>
      <c r="F11" s="724" t="e">
        <v>#REF!</v>
      </c>
      <c r="G11" s="724">
        <v>9</v>
      </c>
      <c r="I11" s="483">
        <f>C11-SUM(D11,G11)</f>
        <v>0</v>
      </c>
      <c r="J11" s="722" t="e">
        <f t="shared" si="1"/>
        <v>#REF!</v>
      </c>
    </row>
    <row r="12" spans="2:10">
      <c r="B12" s="3" t="s">
        <v>300</v>
      </c>
      <c r="C12" s="724">
        <f t="array" ref="C12:C14">TRANSPOSE('DHSC NHS Budgets'!O6:Q6)</f>
        <v>181.69299999999998</v>
      </c>
      <c r="D12" s="724">
        <f t="array" ref="D12:D14">TRANSPOSE('DHSC NHS Budgets'!O17:Q17)</f>
        <v>171.797</v>
      </c>
      <c r="E12" s="724" t="e">
        <f t="array" ref="E12:E14">TRANSPOSE('DHSC NHS Budgets'!#REF!)</f>
        <v>#REF!</v>
      </c>
      <c r="F12" s="724" t="e">
        <v>#REF!</v>
      </c>
      <c r="G12" s="724">
        <f t="array" ref="G12:G14">TRANSPOSE('DHSC NHS Budgets'!O48:Q48)</f>
        <v>9.8960000000000008</v>
      </c>
      <c r="I12" s="483">
        <f t="shared" si="0"/>
        <v>0</v>
      </c>
      <c r="J12" s="722" t="e">
        <f t="shared" si="1"/>
        <v>#REF!</v>
      </c>
    </row>
    <row r="13" spans="2:10">
      <c r="B13" s="3" t="s">
        <v>274</v>
      </c>
      <c r="C13" s="724">
        <v>185.59299999999999</v>
      </c>
      <c r="D13" s="724">
        <v>173.505</v>
      </c>
      <c r="E13" s="724" t="e">
        <v>#REF!</v>
      </c>
      <c r="F13" s="724" t="e">
        <v>#REF!</v>
      </c>
      <c r="G13" s="724">
        <v>12.087999999999999</v>
      </c>
      <c r="I13" s="483">
        <f t="shared" si="0"/>
        <v>0</v>
      </c>
      <c r="J13" s="722" t="e">
        <f t="shared" si="1"/>
        <v>#REF!</v>
      </c>
    </row>
    <row r="14" spans="2:10">
      <c r="B14" s="3" t="s">
        <v>275</v>
      </c>
      <c r="C14" s="724">
        <v>189.702</v>
      </c>
      <c r="D14" s="724">
        <v>177.06200000000001</v>
      </c>
      <c r="E14" s="724" t="e">
        <v>#REF!</v>
      </c>
      <c r="F14" s="724" t="e">
        <v>#REF!</v>
      </c>
      <c r="G14" s="724">
        <v>12.64</v>
      </c>
      <c r="I14" s="483">
        <f t="shared" si="0"/>
        <v>0</v>
      </c>
      <c r="J14" s="722" t="e">
        <f t="shared" si="1"/>
        <v>#REF!</v>
      </c>
    </row>
    <row r="15" spans="2:10">
      <c r="B15" s="3"/>
      <c r="C15" s="3"/>
      <c r="D15" s="3"/>
      <c r="E15" s="3"/>
      <c r="F15" s="3"/>
      <c r="G15" s="3"/>
      <c r="I15" s="483"/>
      <c r="J15" s="722"/>
    </row>
    <row r="16" spans="2:10">
      <c r="B16" s="3"/>
      <c r="C16" s="3"/>
      <c r="D16" s="3"/>
      <c r="E16" s="3"/>
      <c r="F16" s="3"/>
      <c r="G16" s="3"/>
      <c r="I16" s="483"/>
      <c r="J16" s="722"/>
    </row>
    <row r="17" spans="1:10">
      <c r="B17" s="76" t="s">
        <v>1764</v>
      </c>
    </row>
    <row r="18" spans="1:10">
      <c r="C18" t="s">
        <v>1765</v>
      </c>
      <c r="D18" t="s">
        <v>166</v>
      </c>
      <c r="E18" t="s">
        <v>1766</v>
      </c>
      <c r="F18" t="s">
        <v>1767</v>
      </c>
      <c r="G18" t="s">
        <v>305</v>
      </c>
    </row>
    <row r="19" spans="1:10">
      <c r="B19" s="155" t="s">
        <v>245</v>
      </c>
      <c r="C19" s="10">
        <f t="array" ref="C19:C27">TRANSPOSE('DHSC NHS Budgets'!F58:N58)</f>
        <v>0</v>
      </c>
      <c r="D19" s="51">
        <f t="array" ref="D19:D27">TRANSPOSE('DHSC NHS Budgets'!F63:N63)</f>
        <v>136.78758183281838</v>
      </c>
      <c r="E19" s="51">
        <f t="array" ref="E19:E27">TRANSPOSE('DHSC NHS Budgets'!F69:N69)</f>
        <v>122.75426930835937</v>
      </c>
      <c r="F19" s="51">
        <f t="array" ref="F19:F30">TRANSPOSE('DHSC NHS Budgets'!F79:Q79)</f>
        <v>14.033312524459003</v>
      </c>
      <c r="G19" s="51">
        <f t="array" ref="G19:G27">TRANSPOSE('DHSC NHS Budgets'!F85:N85)</f>
        <v>7.0314157984057166</v>
      </c>
      <c r="I19" s="483">
        <f>C19-SUM(D19,G19)</f>
        <v>-143.81899763122408</v>
      </c>
      <c r="J19" s="722">
        <f>D19-SUM(E19:F19)</f>
        <v>0</v>
      </c>
    </row>
    <row r="20" spans="1:10">
      <c r="B20" s="155" t="s">
        <v>192</v>
      </c>
      <c r="C20" s="10">
        <v>0</v>
      </c>
      <c r="D20" s="51">
        <v>140.28824037760066</v>
      </c>
      <c r="E20" s="51">
        <v>125.69240209274194</v>
      </c>
      <c r="F20" s="51">
        <v>14.595838284858724</v>
      </c>
      <c r="G20" s="51">
        <v>6.4352405030541702</v>
      </c>
      <c r="I20" s="483">
        <f t="shared" ref="I20:I30" si="2">C20-SUM(D20,G20)</f>
        <v>-146.72348088065482</v>
      </c>
      <c r="J20" s="722">
        <f t="shared" ref="J20:J30" si="3">D20-SUM(E20:F20)</f>
        <v>0</v>
      </c>
    </row>
    <row r="21" spans="1:10">
      <c r="B21" s="155" t="s">
        <v>193</v>
      </c>
      <c r="C21" s="10">
        <v>0</v>
      </c>
      <c r="D21" s="51">
        <v>144.69330478833413</v>
      </c>
      <c r="E21" s="51">
        <v>129.24250080591605</v>
      </c>
      <c r="F21" s="51">
        <v>15.450803982418073</v>
      </c>
      <c r="G21" s="51">
        <v>5.9785901023583836</v>
      </c>
      <c r="I21" s="483">
        <f t="shared" si="2"/>
        <v>-150.67189489069253</v>
      </c>
      <c r="J21" s="722">
        <f t="shared" si="3"/>
        <v>0</v>
      </c>
    </row>
    <row r="22" spans="1:10">
      <c r="B22" s="155" t="s">
        <v>165</v>
      </c>
      <c r="C22" s="10">
        <v>0</v>
      </c>
      <c r="D22" s="51">
        <v>147.0265923753133</v>
      </c>
      <c r="E22" s="51">
        <v>132.87057046840815</v>
      </c>
      <c r="F22" s="51">
        <v>14.156021906905167</v>
      </c>
      <c r="G22" s="51">
        <v>5.7252406398455333</v>
      </c>
      <c r="I22" s="483">
        <f t="shared" si="2"/>
        <v>-152.75183301515884</v>
      </c>
      <c r="J22" s="722">
        <f t="shared" si="3"/>
        <v>0</v>
      </c>
    </row>
    <row r="23" spans="1:10">
      <c r="B23" s="155" t="s">
        <v>167</v>
      </c>
      <c r="C23" s="10">
        <v>0</v>
      </c>
      <c r="D23" s="51">
        <v>148.38712760060943</v>
      </c>
      <c r="E23" s="51">
        <v>135.62577028189929</v>
      </c>
      <c r="F23" s="51" t="e">
        <v>#REF!</v>
      </c>
      <c r="G23" s="51">
        <v>6.4815271633282094</v>
      </c>
      <c r="I23" s="483">
        <f t="shared" si="2"/>
        <v>-154.86865476393763</v>
      </c>
      <c r="J23" s="722" t="e">
        <f t="shared" si="3"/>
        <v>#REF!</v>
      </c>
    </row>
    <row r="24" spans="1:10">
      <c r="B24" s="155" t="s">
        <v>168</v>
      </c>
      <c r="C24" s="10">
        <v>0</v>
      </c>
      <c r="D24" s="51">
        <v>150.71565493312059</v>
      </c>
      <c r="E24" s="51">
        <v>138.76713780138397</v>
      </c>
      <c r="F24" s="51">
        <v>11.948517131736626</v>
      </c>
      <c r="G24" s="51">
        <v>7.2001359447862185</v>
      </c>
      <c r="I24" s="483">
        <f t="shared" si="2"/>
        <v>-157.9157908779068</v>
      </c>
      <c r="J24" s="722">
        <f t="shared" si="3"/>
        <v>0</v>
      </c>
    </row>
    <row r="25" spans="1:10">
      <c r="B25" s="155" t="s">
        <v>169</v>
      </c>
      <c r="C25" s="10">
        <v>0</v>
      </c>
      <c r="D25" s="51">
        <v>158.0404212717489</v>
      </c>
      <c r="E25" s="51">
        <v>143.03129343274227</v>
      </c>
      <c r="F25" s="51" t="e">
        <v>#REF!</v>
      </c>
      <c r="G25" s="51">
        <v>8.3055164305933165</v>
      </c>
      <c r="I25" s="483">
        <f t="shared" si="2"/>
        <v>-166.34593770234221</v>
      </c>
      <c r="J25" s="722" t="e">
        <f t="shared" si="3"/>
        <v>#REF!</v>
      </c>
    </row>
    <row r="26" spans="1:10">
      <c r="B26" s="155" t="s">
        <v>170</v>
      </c>
      <c r="C26" s="51">
        <v>162.7121977577267</v>
      </c>
      <c r="D26" s="51">
        <v>153.0550210792143</v>
      </c>
      <c r="E26" s="51">
        <v>142.61965562881707</v>
      </c>
      <c r="F26" s="51" t="e">
        <v>#REF!</v>
      </c>
      <c r="G26" s="51">
        <v>9.6571766785124193</v>
      </c>
      <c r="I26" s="483">
        <f t="shared" si="2"/>
        <v>0</v>
      </c>
      <c r="J26" s="722" t="e">
        <f t="shared" si="3"/>
        <v>#REF!</v>
      </c>
    </row>
    <row r="27" spans="1:10">
      <c r="B27" s="155" t="s">
        <v>171</v>
      </c>
      <c r="C27" s="51">
        <v>173.2661979031727</v>
      </c>
      <c r="D27" s="51">
        <v>163.08072578606914</v>
      </c>
      <c r="E27" s="51">
        <v>150.83892002043478</v>
      </c>
      <c r="F27" s="51" t="e">
        <v>#REF!</v>
      </c>
      <c r="G27" s="51">
        <v>10.185472117103556</v>
      </c>
      <c r="I27" s="483">
        <f t="shared" si="2"/>
        <v>0</v>
      </c>
      <c r="J27" s="722" t="e">
        <f t="shared" si="3"/>
        <v>#REF!</v>
      </c>
    </row>
    <row r="28" spans="1:10">
      <c r="B28" t="s">
        <v>172</v>
      </c>
      <c r="C28" s="51">
        <f t="array" ref="C28:C30">TRANSPOSE('DHSC NHS Budgets'!O60:Q60)</f>
        <v>192.77385264301003</v>
      </c>
      <c r="D28" s="51">
        <f t="array" ref="D28:D30">TRANSPOSE('DHSC NHS Budgets'!O65:Q65)</f>
        <v>182.27432846896244</v>
      </c>
      <c r="E28" s="51">
        <f t="array" ref="E28:E30">TRANSPOSE('DHSC NHS Budgets'!O72:Q72)</f>
        <v>161.52036804368507</v>
      </c>
      <c r="F28" s="51" t="e">
        <v>#REF!</v>
      </c>
      <c r="G28" s="51">
        <f t="array" ref="G28:G30">TRANSPOSE('DHSC NHS Budgets'!O87:Q87)</f>
        <v>10.499524174047583</v>
      </c>
      <c r="I28" s="483">
        <f t="shared" si="2"/>
        <v>0</v>
      </c>
      <c r="J28" s="722" t="e">
        <f t="shared" si="3"/>
        <v>#REF!</v>
      </c>
    </row>
    <row r="29" spans="1:10">
      <c r="B29" t="s">
        <v>173</v>
      </c>
      <c r="C29" s="51">
        <v>185.59299999999999</v>
      </c>
      <c r="D29" s="51">
        <v>173.505</v>
      </c>
      <c r="E29" s="51">
        <v>158.249</v>
      </c>
      <c r="F29" s="51" t="e">
        <v>#REF!</v>
      </c>
      <c r="G29" s="51">
        <v>12.087999999999999</v>
      </c>
      <c r="I29" s="483">
        <f t="shared" si="2"/>
        <v>0</v>
      </c>
      <c r="J29" s="722" t="e">
        <f t="shared" si="3"/>
        <v>#REF!</v>
      </c>
    </row>
    <row r="30" spans="1:10">
      <c r="B30" t="s">
        <v>174</v>
      </c>
      <c r="C30" s="51">
        <v>186.5727751585793</v>
      </c>
      <c r="D30" s="51">
        <v>174.14127797876867</v>
      </c>
      <c r="E30" s="51">
        <v>157.01551370724627</v>
      </c>
      <c r="F30" s="51" t="e">
        <v>#REF!</v>
      </c>
      <c r="G30" s="51">
        <v>12.431497179810664</v>
      </c>
      <c r="I30" s="483">
        <f t="shared" si="2"/>
        <v>0</v>
      </c>
      <c r="J30" s="722" t="e">
        <f t="shared" si="3"/>
        <v>#REF!</v>
      </c>
    </row>
    <row r="32" spans="1:10" ht="15" thickBot="1">
      <c r="A32" s="76" t="s">
        <v>1162</v>
      </c>
    </row>
    <row r="33" spans="2:14">
      <c r="B33" s="76" t="s">
        <v>244</v>
      </c>
      <c r="C33" s="1041" t="s">
        <v>245</v>
      </c>
      <c r="D33" s="1041" t="s">
        <v>192</v>
      </c>
      <c r="E33" s="1041" t="s">
        <v>193</v>
      </c>
      <c r="F33" s="1041" t="s">
        <v>165</v>
      </c>
      <c r="G33" s="1041" t="s">
        <v>167</v>
      </c>
      <c r="H33" s="1041" t="s">
        <v>168</v>
      </c>
      <c r="I33" s="1041" t="s">
        <v>169</v>
      </c>
      <c r="J33" s="1041" t="s">
        <v>170</v>
      </c>
      <c r="K33" s="1041" t="s">
        <v>171</v>
      </c>
      <c r="L33" s="1042" t="s">
        <v>172</v>
      </c>
      <c r="M33" s="1042" t="s">
        <v>173</v>
      </c>
      <c r="N33" s="518" t="s">
        <v>174</v>
      </c>
    </row>
    <row r="34" spans="2:14">
      <c r="B34" t="s">
        <v>1765</v>
      </c>
      <c r="C34">
        <f>'DHSC NHS Budgets'!F8</f>
        <v>0</v>
      </c>
      <c r="D34">
        <f>'DHSC NHS Budgets'!G8</f>
        <v>0</v>
      </c>
      <c r="E34">
        <f>'DHSC NHS Budgets'!H8</f>
        <v>0</v>
      </c>
      <c r="F34">
        <f>'DHSC NHS Budgets'!I8</f>
        <v>0</v>
      </c>
      <c r="G34">
        <f>'DHSC NHS Budgets'!J8</f>
        <v>0</v>
      </c>
      <c r="H34">
        <f>'DHSC NHS Budgets'!K8</f>
        <v>0</v>
      </c>
      <c r="I34">
        <f>'DHSC NHS Budgets'!L8</f>
        <v>0</v>
      </c>
      <c r="J34">
        <f>'DHSC NHS Budgets'!M8</f>
        <v>144.9</v>
      </c>
      <c r="K34">
        <f>'DHSC NHS Budgets'!N8</f>
        <v>153.1</v>
      </c>
      <c r="L34">
        <f>'DHSC NHS Budgets'!O6</f>
        <v>181.69299999999998</v>
      </c>
      <c r="M34">
        <f>'DHSC NHS Budgets'!P6</f>
        <v>185.59299999999999</v>
      </c>
      <c r="N34">
        <f>'DHSC NHS Budgets'!Q6</f>
        <v>189.702</v>
      </c>
    </row>
    <row r="35" spans="2:14">
      <c r="B35" t="s">
        <v>655</v>
      </c>
      <c r="C35">
        <f>'DHSC NHS Budgets'!F23</f>
        <v>93.695999999999998</v>
      </c>
      <c r="D35">
        <f>'DHSC NHS Budgets'!G23</f>
        <v>97.097999999999999</v>
      </c>
      <c r="E35">
        <f>'DHSC NHS Budgets'!H23</f>
        <v>100.572</v>
      </c>
      <c r="F35">
        <f>'DHSC NHS Budgets'!I23</f>
        <v>105.735</v>
      </c>
      <c r="G35">
        <f>'DHSC NHS Budgets'!J23</f>
        <v>109.605</v>
      </c>
      <c r="H35">
        <f>'DHSC NHS Budgets'!K23</f>
        <v>114.5</v>
      </c>
      <c r="I35">
        <f>'DHSC NHS Budgets'!L23</f>
        <v>120.807</v>
      </c>
      <c r="J35">
        <f>'DHSC NHS Budgets'!M23</f>
        <v>127.00700000000001</v>
      </c>
      <c r="K35">
        <f>'DHSC NHS Budgets'!N23</f>
        <v>133.28299999999999</v>
      </c>
      <c r="L35" s="96" t="e">
        <f>'DHSC NHS Budgets'!#REF!</f>
        <v>#REF!</v>
      </c>
      <c r="M35" s="96" t="e">
        <f>'DHSC NHS Budgets'!#REF!</f>
        <v>#REF!</v>
      </c>
      <c r="N35" s="96" t="e">
        <f>'DHSC NHS Budgets'!#REF!</f>
        <v>#REF!</v>
      </c>
    </row>
    <row r="36" spans="2:14">
      <c r="B36" t="s">
        <v>1768</v>
      </c>
      <c r="C36">
        <f>'DHSC NHS Budgets'!F38</f>
        <v>10.71136065328011</v>
      </c>
      <c r="D36">
        <f>'DHSC NHS Budgets'!G38</f>
        <v>11.275357</v>
      </c>
      <c r="E36">
        <f>'DHSC NHS Budgets'!H38</f>
        <v>12.023275999999996</v>
      </c>
      <c r="F36">
        <f>'DHSC NHS Budgets'!I38</f>
        <v>11.265000000000001</v>
      </c>
      <c r="G36" t="e">
        <f>'DHSC NHS Budgets'!J38</f>
        <v>#REF!</v>
      </c>
      <c r="H36">
        <f>'DHSC NHS Budgets'!K38</f>
        <v>9.8589999999999947</v>
      </c>
      <c r="I36" t="e">
        <f>'DHSC NHS Budgets'!L38</f>
        <v>#REF!</v>
      </c>
      <c r="J36" t="e">
        <f>'DHSC NHS Budgets'!M38</f>
        <v>#REF!</v>
      </c>
      <c r="K36" t="e">
        <f>'DHSC NHS Budgets'!N38</f>
        <v>#REF!</v>
      </c>
      <c r="L36" t="e">
        <f>'DHSC NHS Budgets'!O38</f>
        <v>#REF!</v>
      </c>
      <c r="M36" t="e">
        <f>'DHSC NHS Budgets'!P38</f>
        <v>#REF!</v>
      </c>
      <c r="N36" t="e">
        <f>'DHSC NHS Budgets'!Q38</f>
        <v>#REF!</v>
      </c>
    </row>
    <row r="37" spans="2:14">
      <c r="B37" t="s">
        <v>1769</v>
      </c>
      <c r="C37" s="96">
        <f>'DHSC NHS Budgets'!F46</f>
        <v>5.3669460000000004</v>
      </c>
      <c r="D37" s="96">
        <f>'DHSC NHS Budgets'!G46</f>
        <v>4.9712550000000002</v>
      </c>
      <c r="E37" s="96">
        <f>'DHSC NHS Budgets'!H46</f>
        <v>4.6523300000000001</v>
      </c>
      <c r="F37" s="96">
        <f>'DHSC NHS Budgets'!I46</f>
        <v>4.556</v>
      </c>
      <c r="G37" s="96">
        <f>'DHSC NHS Budgets'!J46</f>
        <v>5.2380000000000004</v>
      </c>
      <c r="H37" s="96">
        <f>'DHSC NHS Budgets'!K46</f>
        <v>5.9409999999999998</v>
      </c>
      <c r="I37" s="96">
        <f>'DHSC NHS Budgets'!L46</f>
        <v>7.0149999999999997</v>
      </c>
      <c r="J37" s="96">
        <f>'DHSC NHS Budgets'!M46</f>
        <v>8.6</v>
      </c>
      <c r="K37" s="96">
        <f>'DHSC NHS Budgets'!N46</f>
        <v>9</v>
      </c>
      <c r="L37">
        <f>'DHSC NHS Budgets'!O48</f>
        <v>9.8960000000000008</v>
      </c>
      <c r="M37">
        <f>'DHSC NHS Budgets'!P48</f>
        <v>12.087999999999999</v>
      </c>
      <c r="N37">
        <f>'DHSC NHS Budgets'!Q48</f>
        <v>12.64</v>
      </c>
    </row>
    <row r="38" spans="2:14">
      <c r="C38" s="722">
        <f>C34-SUM(C35:C37)</f>
        <v>-109.77430665328011</v>
      </c>
      <c r="D38" s="722">
        <f t="shared" ref="D38:N38" si="4">D34-SUM(D35:D37)</f>
        <v>-113.344612</v>
      </c>
      <c r="E38" s="722">
        <f t="shared" si="4"/>
        <v>-117.247606</v>
      </c>
      <c r="F38" s="722">
        <f t="shared" si="4"/>
        <v>-121.556</v>
      </c>
      <c r="G38" s="722" t="e">
        <f t="shared" si="4"/>
        <v>#REF!</v>
      </c>
      <c r="H38" s="722">
        <f t="shared" si="4"/>
        <v>-130.29999999999998</v>
      </c>
      <c r="I38" s="722" t="e">
        <f t="shared" si="4"/>
        <v>#REF!</v>
      </c>
      <c r="J38" s="722" t="e">
        <f t="shared" si="4"/>
        <v>#REF!</v>
      </c>
      <c r="K38" s="722" t="e">
        <f t="shared" si="4"/>
        <v>#REF!</v>
      </c>
      <c r="L38" s="722" t="e">
        <f t="shared" si="4"/>
        <v>#REF!</v>
      </c>
      <c r="M38" s="722" t="e">
        <f t="shared" si="4"/>
        <v>#REF!</v>
      </c>
      <c r="N38" s="722" t="e">
        <f t="shared" si="4"/>
        <v>#REF!</v>
      </c>
    </row>
    <row r="39" spans="2:14">
      <c r="B39" t="s">
        <v>1770</v>
      </c>
      <c r="C39">
        <f>'DHSC NHS Budgets'!F52</f>
        <v>91.025000000000006</v>
      </c>
      <c r="D39">
        <f>'DHSC NHS Budgets'!G52</f>
        <v>92.125</v>
      </c>
      <c r="E39">
        <f>'DHSC NHS Budgets'!H52</f>
        <v>92.8</v>
      </c>
      <c r="F39">
        <f>'DHSC NHS Budgets'!I52</f>
        <v>94.9</v>
      </c>
      <c r="G39">
        <f>'DHSC NHS Budgets'!J52</f>
        <v>96.375</v>
      </c>
      <c r="H39">
        <f>'DHSC NHS Budgets'!K52</f>
        <v>98.4</v>
      </c>
      <c r="I39">
        <f>'DHSC NHS Budgets'!L52</f>
        <v>100.72499999999999</v>
      </c>
      <c r="J39">
        <f>'DHSC NHS Budgets'!M52</f>
        <v>106.19999999999999</v>
      </c>
      <c r="K39">
        <f>'DHSC NHS Budgets'!N52</f>
        <v>105.375</v>
      </c>
      <c r="L39">
        <f>'DHSC NHS Budgets'!O52</f>
        <v>112.4</v>
      </c>
      <c r="M39">
        <f>'DHSC NHS Budgets'!P52</f>
        <v>119.2549027044208</v>
      </c>
      <c r="N39">
        <f>'DHSC NHS Budgets'!Q52</f>
        <v>121.25506271536932</v>
      </c>
    </row>
    <row r="41" spans="2:14">
      <c r="B41" s="76" t="s">
        <v>251</v>
      </c>
    </row>
    <row r="42" spans="2:14">
      <c r="B42" t="s">
        <v>1765</v>
      </c>
      <c r="C42" s="96">
        <f>C34/C$39*$L$39</f>
        <v>0</v>
      </c>
      <c r="D42" s="96">
        <f t="shared" ref="D42:N42" si="5">D34/D$39*$L$39</f>
        <v>0</v>
      </c>
      <c r="E42" s="96">
        <f t="shared" si="5"/>
        <v>0</v>
      </c>
      <c r="F42" s="96">
        <f t="shared" si="5"/>
        <v>0</v>
      </c>
      <c r="G42" s="96">
        <f t="shared" si="5"/>
        <v>0</v>
      </c>
      <c r="H42" s="96">
        <f t="shared" si="5"/>
        <v>0</v>
      </c>
      <c r="I42" s="96">
        <f t="shared" si="5"/>
        <v>0</v>
      </c>
      <c r="J42" s="96">
        <f t="shared" si="5"/>
        <v>153.35932203389834</v>
      </c>
      <c r="K42" s="96">
        <f t="shared" si="5"/>
        <v>163.30666666666667</v>
      </c>
      <c r="L42" s="96">
        <f t="shared" si="5"/>
        <v>181.69299999999998</v>
      </c>
      <c r="M42" s="96">
        <f t="shared" si="5"/>
        <v>174.924910648782</v>
      </c>
      <c r="N42" s="96">
        <f t="shared" si="5"/>
        <v>175.84836725582207</v>
      </c>
    </row>
    <row r="43" spans="2:14">
      <c r="B43" t="s">
        <v>655</v>
      </c>
      <c r="C43" s="96">
        <f t="shared" ref="C43:N45" si="6">C35/C$39*$L$39</f>
        <v>115.69821917055755</v>
      </c>
      <c r="D43" s="96">
        <f t="shared" si="6"/>
        <v>118.46746485753054</v>
      </c>
      <c r="E43" s="96">
        <f t="shared" si="6"/>
        <v>121.8135</v>
      </c>
      <c r="F43" s="96">
        <f t="shared" si="6"/>
        <v>125.23302423603793</v>
      </c>
      <c r="G43" s="96">
        <f t="shared" si="6"/>
        <v>127.82985214007785</v>
      </c>
      <c r="H43" s="96">
        <f t="shared" si="6"/>
        <v>130.79065040650406</v>
      </c>
      <c r="I43" s="96">
        <f t="shared" si="6"/>
        <v>134.80969769173495</v>
      </c>
      <c r="J43" s="96">
        <f t="shared" si="6"/>
        <v>134.42172128060264</v>
      </c>
      <c r="K43" s="96">
        <f t="shared" si="6"/>
        <v>142.16853333333333</v>
      </c>
      <c r="L43" s="96" t="e">
        <f t="shared" si="6"/>
        <v>#REF!</v>
      </c>
      <c r="M43" s="96" t="e">
        <f t="shared" si="6"/>
        <v>#REF!</v>
      </c>
      <c r="N43" s="96" t="e">
        <f t="shared" si="6"/>
        <v>#REF!</v>
      </c>
    </row>
    <row r="44" spans="2:14">
      <c r="B44" t="s">
        <v>1768</v>
      </c>
      <c r="C44" s="96">
        <f t="shared" si="6"/>
        <v>13.22666231726102</v>
      </c>
      <c r="D44" s="96">
        <f t="shared" si="6"/>
        <v>13.756853479511534</v>
      </c>
      <c r="E44" s="96">
        <f t="shared" si="6"/>
        <v>14.562674810344822</v>
      </c>
      <c r="F44" s="96">
        <f t="shared" si="6"/>
        <v>13.34231822971549</v>
      </c>
      <c r="G44" s="96" t="e">
        <f t="shared" si="6"/>
        <v>#REF!</v>
      </c>
      <c r="H44" s="96">
        <f t="shared" si="6"/>
        <v>11.261703252032515</v>
      </c>
      <c r="I44" s="96" t="e">
        <f t="shared" si="6"/>
        <v>#REF!</v>
      </c>
      <c r="J44" s="96" t="e">
        <f t="shared" si="6"/>
        <v>#REF!</v>
      </c>
      <c r="K44" s="96" t="e">
        <f t="shared" si="6"/>
        <v>#REF!</v>
      </c>
      <c r="L44" s="96" t="e">
        <f t="shared" si="6"/>
        <v>#REF!</v>
      </c>
      <c r="M44" s="96" t="e">
        <f t="shared" si="6"/>
        <v>#REF!</v>
      </c>
      <c r="N44" s="96" t="e">
        <f t="shared" si="6"/>
        <v>#REF!</v>
      </c>
    </row>
    <row r="45" spans="2:14">
      <c r="B45" t="s">
        <v>1769</v>
      </c>
      <c r="C45" s="96">
        <f t="shared" si="6"/>
        <v>6.6272423004669045</v>
      </c>
      <c r="D45" s="96">
        <f t="shared" si="6"/>
        <v>6.0653358154681145</v>
      </c>
      <c r="E45" s="96">
        <f t="shared" si="6"/>
        <v>5.6349341810344828</v>
      </c>
      <c r="F45" s="96">
        <f t="shared" si="6"/>
        <v>5.3961475237091676</v>
      </c>
      <c r="G45" s="96">
        <f t="shared" si="6"/>
        <v>6.1089618677042807</v>
      </c>
      <c r="H45" s="96">
        <f t="shared" si="6"/>
        <v>6.7862642276422767</v>
      </c>
      <c r="I45" s="96">
        <f t="shared" si="6"/>
        <v>7.8281062298337059</v>
      </c>
      <c r="J45" s="96">
        <f t="shared" si="6"/>
        <v>9.1020715630885132</v>
      </c>
      <c r="K45" s="96">
        <f t="shared" si="6"/>
        <v>9.6000000000000014</v>
      </c>
      <c r="L45" s="96">
        <f t="shared" si="6"/>
        <v>9.8960000000000008</v>
      </c>
      <c r="M45" s="96">
        <f t="shared" si="6"/>
        <v>11.393168491928449</v>
      </c>
      <c r="N45" s="96">
        <f t="shared" si="6"/>
        <v>11.71692107681306</v>
      </c>
    </row>
    <row r="46" spans="2:14">
      <c r="C46" s="722">
        <f>C42-SUM(C43:C45)</f>
        <v>-135.55212378828548</v>
      </c>
      <c r="D46" s="722">
        <f t="shared" ref="D46" si="7">D42-SUM(D43:D45)</f>
        <v>-138.28965415251017</v>
      </c>
      <c r="E46" s="722">
        <f t="shared" ref="E46" si="8">E42-SUM(E43:E45)</f>
        <v>-142.0111089913793</v>
      </c>
      <c r="F46" s="722">
        <f t="shared" ref="F46" si="9">F42-SUM(F43:F45)</f>
        <v>-143.97148998946261</v>
      </c>
      <c r="G46" s="722" t="e">
        <f t="shared" ref="G46" si="10">G42-SUM(G43:G45)</f>
        <v>#REF!</v>
      </c>
      <c r="H46" s="722">
        <f t="shared" ref="H46" si="11">H42-SUM(H43:H45)</f>
        <v>-148.83861788617884</v>
      </c>
      <c r="I46" s="722" t="e">
        <f t="shared" ref="I46" si="12">I42-SUM(I43:I45)</f>
        <v>#REF!</v>
      </c>
      <c r="J46" s="722" t="e">
        <f t="shared" ref="J46" si="13">J42-SUM(J43:J45)</f>
        <v>#REF!</v>
      </c>
      <c r="K46" s="722" t="e">
        <f t="shared" ref="K46" si="14">K42-SUM(K43:K45)</f>
        <v>#REF!</v>
      </c>
      <c r="L46" s="722" t="e">
        <f t="shared" ref="L46" si="15">L42-SUM(L43:L45)</f>
        <v>#REF!</v>
      </c>
      <c r="M46" s="722" t="e">
        <f t="shared" ref="M46" si="16">M42-SUM(M43:M45)</f>
        <v>#REF!</v>
      </c>
      <c r="N46" s="722" t="e">
        <f t="shared" ref="N46" si="17">N42-SUM(N43:N45)</f>
        <v>#REF!</v>
      </c>
    </row>
  </sheetData>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39B9C-FABB-44E4-A61C-C63F5709923D}">
  <sheetPr>
    <tabColor theme="7"/>
  </sheetPr>
  <dimension ref="A1"/>
  <sheetViews>
    <sheetView workbookViewId="0">
      <selection activeCell="O34" sqref="O34"/>
    </sheetView>
  </sheetViews>
  <sheetFormatPr defaultRowHeight="14.5"/>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62AC1-4863-40BD-8DE5-2AAD5AEC929D}">
  <dimension ref="A4:S79"/>
  <sheetViews>
    <sheetView zoomScaleNormal="100" workbookViewId="0">
      <selection activeCell="A2" sqref="A2"/>
    </sheetView>
  </sheetViews>
  <sheetFormatPr defaultRowHeight="14.5"/>
  <cols>
    <col min="1" max="1" width="27" customWidth="1"/>
    <col min="12" max="12" width="31.453125" bestFit="1" customWidth="1"/>
    <col min="13" max="13" width="20.453125" customWidth="1"/>
    <col min="14" max="14" width="15.54296875" customWidth="1"/>
    <col min="15" max="15" width="18.81640625" customWidth="1"/>
    <col min="16" max="16" width="16.1796875" customWidth="1"/>
    <col min="17" max="17" width="16.54296875" customWidth="1"/>
    <col min="18" max="18" width="19.54296875" customWidth="1"/>
    <col min="19" max="19" width="20.453125" customWidth="1"/>
  </cols>
  <sheetData>
    <row r="4" spans="1:12" ht="15" thickBot="1"/>
    <row r="5" spans="1:12">
      <c r="A5" s="1054" t="s">
        <v>653</v>
      </c>
      <c r="B5" s="1069"/>
      <c r="C5" s="1069"/>
      <c r="D5" s="1069"/>
      <c r="E5" s="1069"/>
      <c r="F5" s="1069"/>
      <c r="G5" s="1069"/>
      <c r="H5" s="1069"/>
    </row>
    <row r="6" spans="1:12">
      <c r="A6" s="45"/>
    </row>
    <row r="7" spans="1:12">
      <c r="A7" s="133" t="s">
        <v>692</v>
      </c>
      <c r="B7" s="76" t="s">
        <v>1034</v>
      </c>
      <c r="C7" s="76" t="s">
        <v>1256</v>
      </c>
      <c r="D7" s="76" t="s">
        <v>1257</v>
      </c>
      <c r="E7" s="76" t="s">
        <v>1246</v>
      </c>
      <c r="F7" s="76" t="s">
        <v>300</v>
      </c>
      <c r="G7" s="76" t="s">
        <v>274</v>
      </c>
      <c r="H7" s="76" t="s">
        <v>275</v>
      </c>
    </row>
    <row r="8" spans="1:12">
      <c r="A8" s="49" t="s">
        <v>128</v>
      </c>
      <c r="B8" s="130">
        <f>'DHSC NHS Budgets'!K15</f>
        <v>124.35899999999999</v>
      </c>
      <c r="C8" s="130">
        <f>'DHSC NHS Budgets'!L17</f>
        <v>131.44</v>
      </c>
      <c r="D8" s="130">
        <f>'DHSC NHS Budgets'!M17</f>
        <v>177.90600000000001</v>
      </c>
      <c r="E8" s="130">
        <f>'DHSC NHS Budgets'!N17</f>
        <v>178.155</v>
      </c>
      <c r="F8" s="130">
        <f>'DHSC NHS Budgets'!O17</f>
        <v>171.797</v>
      </c>
      <c r="G8" s="130">
        <f>'DHSC NHS Budgets'!P17</f>
        <v>173.505</v>
      </c>
      <c r="H8" s="130">
        <f>'DHSC NHS Budgets'!Q17</f>
        <v>177.06200000000001</v>
      </c>
    </row>
    <row r="9" spans="1:12">
      <c r="A9" s="57" t="s">
        <v>655</v>
      </c>
      <c r="B9" s="130" t="e">
        <f>'NHSE details'!#REF!</f>
        <v>#REF!</v>
      </c>
      <c r="C9" s="130" t="e">
        <f>'NHSE details'!#REF!</f>
        <v>#REF!</v>
      </c>
      <c r="D9" s="130" t="e">
        <f>'NHSE details'!#REF!</f>
        <v>#REF!</v>
      </c>
      <c r="E9" s="130" t="e">
        <f>'NHSE details'!#REF!</f>
        <v>#REF!</v>
      </c>
      <c r="F9" s="130" t="e">
        <f>'NHSE details'!#REF!</f>
        <v>#REF!</v>
      </c>
      <c r="G9" s="130" t="e">
        <f>'NHSE details'!#REF!</f>
        <v>#REF!</v>
      </c>
      <c r="H9" s="130" t="e">
        <f>'NHSE details'!#REF!</f>
        <v>#REF!</v>
      </c>
    </row>
    <row r="10" spans="1:12">
      <c r="A10" s="57" t="s">
        <v>216</v>
      </c>
      <c r="B10" s="130">
        <f>'DHSC NHS Budgets'!K41</f>
        <v>3.0110000000000001</v>
      </c>
      <c r="C10" s="130">
        <f>'DHSC NHS Budgets'!L41</f>
        <v>2.9319999999999999</v>
      </c>
      <c r="D10" s="130">
        <f>'DHSC NHS Budgets'!M41</f>
        <v>4.2060000000000004</v>
      </c>
      <c r="E10" s="130">
        <f>'DHSC NHS Budgets'!N41</f>
        <v>3.8530000000000002</v>
      </c>
      <c r="F10" s="130">
        <f>'DHSC NHS Budgets'!O41</f>
        <v>3.4169999999999998</v>
      </c>
      <c r="G10" s="130">
        <f>'DHSC NHS Budgets'!P41</f>
        <v>3.5</v>
      </c>
      <c r="H10" s="130">
        <f>'DHSC NHS Budgets'!Q41</f>
        <v>3.5</v>
      </c>
    </row>
    <row r="11" spans="1:12">
      <c r="A11" s="57" t="s">
        <v>719</v>
      </c>
      <c r="B11" s="130">
        <f>'DHSC NHS Budgets'!K40</f>
        <v>4.4450000000000003</v>
      </c>
      <c r="C11" s="130">
        <f>'DHSC NHS Budgets'!L40</f>
        <v>4.1029999999999998</v>
      </c>
      <c r="D11" s="130">
        <f>'DHSC NHS Budgets'!M40</f>
        <v>4.2830000000000004</v>
      </c>
      <c r="E11" s="130" t="e">
        <f>'DHSC NHS Budgets'!#REF!</f>
        <v>#REF!</v>
      </c>
      <c r="F11" s="130" t="e">
        <f>'DHSC NHS Budgets'!#REF!</f>
        <v>#REF!</v>
      </c>
      <c r="G11" s="130">
        <f>'DHSC NHS Budgets'!P40</f>
        <v>5.048</v>
      </c>
      <c r="H11" s="130">
        <f>'DHSC NHS Budgets'!Q40</f>
        <v>5.048</v>
      </c>
    </row>
    <row r="12" spans="1:12">
      <c r="A12" s="49" t="s">
        <v>130</v>
      </c>
      <c r="B12" s="130">
        <f>'DHSC NHS Budgets'!K48</f>
        <v>5.9409999999999998</v>
      </c>
      <c r="C12" s="130">
        <f>'DHSC NHS Budgets'!L48</f>
        <v>7.0149999999999997</v>
      </c>
      <c r="D12" s="130">
        <f>'DHSC NHS Budgets'!M48</f>
        <v>12.704000000000001</v>
      </c>
      <c r="E12" s="130">
        <f>'DHSC NHS Budgets'!N48</f>
        <v>9.1189999999999998</v>
      </c>
      <c r="F12" s="130">
        <f>'DHSC NHS Budgets'!O48</f>
        <v>9.8960000000000008</v>
      </c>
      <c r="G12" s="130">
        <f>'DHSC NHS Budgets'!P48</f>
        <v>12.087999999999999</v>
      </c>
      <c r="H12" s="130">
        <f>'DHSC NHS Budgets'!Q48</f>
        <v>12.64</v>
      </c>
    </row>
    <row r="13" spans="1:12">
      <c r="A13" s="49" t="s">
        <v>131</v>
      </c>
      <c r="B13" s="130">
        <f>'DHSC NHS Budgets'!K6</f>
        <v>128.39599999999999</v>
      </c>
      <c r="C13" s="130">
        <f>'DHSC NHS Budgets'!L6</f>
        <v>138.45499999999998</v>
      </c>
      <c r="D13" s="130">
        <f>'DHSC NHS Budgets'!M6</f>
        <v>190.61</v>
      </c>
      <c r="E13" s="130">
        <f>'DHSC NHS Budgets'!N6</f>
        <v>187.274</v>
      </c>
      <c r="F13" s="130">
        <f>'DHSC NHS Budgets'!O6</f>
        <v>181.69299999999998</v>
      </c>
      <c r="G13" s="130">
        <f>'DHSC NHS Budgets'!P6</f>
        <v>185.59299999999999</v>
      </c>
      <c r="H13" s="130">
        <f>'DHSC NHS Budgets'!Q6</f>
        <v>189.702</v>
      </c>
    </row>
    <row r="14" spans="1:12">
      <c r="A14" s="49"/>
    </row>
    <row r="15" spans="1:12">
      <c r="A15" s="133" t="s">
        <v>1771</v>
      </c>
      <c r="B15" s="76" t="s">
        <v>1034</v>
      </c>
      <c r="C15" s="76" t="s">
        <v>1256</v>
      </c>
      <c r="D15" s="76" t="s">
        <v>1257</v>
      </c>
      <c r="E15" s="76" t="s">
        <v>1246</v>
      </c>
      <c r="F15" s="76" t="s">
        <v>300</v>
      </c>
      <c r="G15" s="76" t="s">
        <v>274</v>
      </c>
      <c r="H15" s="76" t="s">
        <v>275</v>
      </c>
    </row>
    <row r="16" spans="1:12">
      <c r="A16" s="49" t="s">
        <v>128</v>
      </c>
      <c r="B16" s="130">
        <f t="shared" ref="B16:H17" si="0">M21/1000000000</f>
        <v>124.4</v>
      </c>
      <c r="C16" s="130">
        <f t="shared" si="0"/>
        <v>131.3155839012874</v>
      </c>
      <c r="D16" s="130">
        <f t="shared" si="0"/>
        <v>144.16908053134594</v>
      </c>
      <c r="E16" s="130">
        <f t="shared" si="0"/>
        <v>152.52347910379291</v>
      </c>
      <c r="F16" s="130">
        <f t="shared" si="0"/>
        <v>157.31633028117943</v>
      </c>
      <c r="G16" s="130">
        <f t="shared" si="0"/>
        <v>165.47564529133052</v>
      </c>
      <c r="H16" s="130">
        <f t="shared" si="0"/>
        <v>173.43209681695834</v>
      </c>
      <c r="L16" t="s">
        <v>1772</v>
      </c>
    </row>
    <row r="17" spans="1:19">
      <c r="A17" s="57" t="s">
        <v>655</v>
      </c>
      <c r="B17" s="130">
        <f t="shared" si="0"/>
        <v>114.331</v>
      </c>
      <c r="C17" s="130">
        <f t="shared" si="0"/>
        <v>120.68683298246053</v>
      </c>
      <c r="D17" s="130">
        <f t="shared" si="0"/>
        <v>132.49996098255076</v>
      </c>
      <c r="E17" s="130">
        <f t="shared" si="0"/>
        <v>139.50298093047815</v>
      </c>
      <c r="F17" s="130">
        <f t="shared" si="0"/>
        <v>143.8982591713158</v>
      </c>
      <c r="G17" s="130">
        <f t="shared" si="0"/>
        <v>151.38092586974852</v>
      </c>
      <c r="H17" s="130">
        <f t="shared" si="0"/>
        <v>158.67153478487796</v>
      </c>
      <c r="L17" t="s">
        <v>1773</v>
      </c>
      <c r="M17" t="s">
        <v>1774</v>
      </c>
    </row>
    <row r="18" spans="1:19">
      <c r="A18" s="57" t="s">
        <v>216</v>
      </c>
      <c r="B18" s="130">
        <f t="shared" ref="B18:H18" si="1">M24/1000000000</f>
        <v>3.2</v>
      </c>
      <c r="C18" s="130">
        <f t="shared" si="1"/>
        <v>3.3778928334736311</v>
      </c>
      <c r="D18" s="130">
        <f t="shared" si="1"/>
        <v>3.7085294027355875</v>
      </c>
      <c r="E18" s="130">
        <f t="shared" si="1"/>
        <v>3.9045362935470704</v>
      </c>
      <c r="F18" s="130">
        <f t="shared" si="1"/>
        <v>4.0275553379941629</v>
      </c>
      <c r="G18" s="130">
        <f t="shared" si="1"/>
        <v>4.2369870182469782</v>
      </c>
      <c r="H18" s="130">
        <f t="shared" si="1"/>
        <v>4.4410432106043798</v>
      </c>
      <c r="L18" t="s">
        <v>1775</v>
      </c>
    </row>
    <row r="19" spans="1:19">
      <c r="A19" s="57" t="s">
        <v>719</v>
      </c>
      <c r="B19" s="130">
        <f t="shared" ref="B19:H19" si="2">M23/1000000000</f>
        <v>4.0999999999999996</v>
      </c>
      <c r="C19" s="130">
        <f t="shared" si="2"/>
        <v>4.3279251928880891</v>
      </c>
      <c r="D19" s="130">
        <f t="shared" si="2"/>
        <v>4.7515532972549712</v>
      </c>
      <c r="E19" s="130">
        <f t="shared" si="2"/>
        <v>5.0026871261071841</v>
      </c>
      <c r="F19" s="130">
        <f t="shared" si="2"/>
        <v>5.1603052768050217</v>
      </c>
      <c r="G19" s="130">
        <f t="shared" si="2"/>
        <v>5.4286396171289404</v>
      </c>
      <c r="H19" s="130">
        <f t="shared" si="2"/>
        <v>5.6900866135868622</v>
      </c>
      <c r="M19" t="s">
        <v>1034</v>
      </c>
      <c r="N19" t="s">
        <v>1256</v>
      </c>
      <c r="O19" t="s">
        <v>1257</v>
      </c>
      <c r="P19" t="s">
        <v>1246</v>
      </c>
      <c r="Q19" t="s">
        <v>300</v>
      </c>
      <c r="R19" t="s">
        <v>274</v>
      </c>
      <c r="S19" t="s">
        <v>275</v>
      </c>
    </row>
    <row r="20" spans="1:19">
      <c r="A20" s="49" t="s">
        <v>130</v>
      </c>
      <c r="B20" s="130">
        <f t="shared" ref="B20:H20" si="3">M25/1000000000</f>
        <v>5.9409999999999998</v>
      </c>
      <c r="C20" s="130">
        <f t="shared" si="3"/>
        <v>7.0060000000000002</v>
      </c>
      <c r="D20" s="130">
        <f t="shared" si="3"/>
        <v>13</v>
      </c>
      <c r="E20" s="130">
        <f t="shared" si="3"/>
        <v>9.3000000000000007</v>
      </c>
      <c r="F20" s="130">
        <f t="shared" si="3"/>
        <v>9.5930122881041591</v>
      </c>
      <c r="G20" s="130">
        <f t="shared" si="3"/>
        <v>10.091846075248135</v>
      </c>
      <c r="H20" s="130">
        <f t="shared" si="3"/>
        <v>10.577876283767431</v>
      </c>
      <c r="L20" t="s">
        <v>131</v>
      </c>
      <c r="M20" s="131">
        <v>130341000000</v>
      </c>
      <c r="N20" s="131">
        <v>138321583901.28741</v>
      </c>
      <c r="O20" s="131">
        <v>157169080531.34595</v>
      </c>
      <c r="P20" s="131">
        <v>161823479103.79291</v>
      </c>
      <c r="Q20" s="131">
        <v>166909342569.2836</v>
      </c>
      <c r="R20" s="131">
        <v>175567491366.57867</v>
      </c>
      <c r="S20" s="131">
        <v>184009973100.72577</v>
      </c>
    </row>
    <row r="21" spans="1:19">
      <c r="A21" s="49" t="s">
        <v>131</v>
      </c>
      <c r="B21" s="130">
        <f t="shared" ref="B21:H21" si="4">M20/1000000000</f>
        <v>130.34100000000001</v>
      </c>
      <c r="C21" s="130">
        <f t="shared" si="4"/>
        <v>138.32158390128743</v>
      </c>
      <c r="D21" s="130">
        <f t="shared" si="4"/>
        <v>157.16908053134594</v>
      </c>
      <c r="E21" s="130">
        <f t="shared" si="4"/>
        <v>161.82347910379292</v>
      </c>
      <c r="F21" s="130">
        <f t="shared" si="4"/>
        <v>166.90934256928361</v>
      </c>
      <c r="G21" s="130">
        <f t="shared" si="4"/>
        <v>175.56749136657868</v>
      </c>
      <c r="H21" s="130">
        <f t="shared" si="4"/>
        <v>184.00997310072577</v>
      </c>
      <c r="L21" t="s">
        <v>128</v>
      </c>
      <c r="M21" s="131">
        <v>124400000000</v>
      </c>
      <c r="N21" s="131">
        <v>131315583901.2874</v>
      </c>
      <c r="O21" s="131">
        <v>144169080531.34595</v>
      </c>
      <c r="P21" s="131">
        <v>152523479103.79291</v>
      </c>
      <c r="Q21" s="131">
        <v>157316330281.17944</v>
      </c>
      <c r="R21" s="131">
        <v>165475645291.33054</v>
      </c>
      <c r="S21" s="131">
        <v>173432096816.95834</v>
      </c>
    </row>
    <row r="22" spans="1:19">
      <c r="A22" s="49"/>
      <c r="L22" t="s">
        <v>655</v>
      </c>
      <c r="M22" s="132">
        <v>114331000000</v>
      </c>
      <c r="N22" s="131">
        <v>120686832982.46053</v>
      </c>
      <c r="O22" s="131">
        <v>132499960982.55075</v>
      </c>
      <c r="P22" s="131">
        <v>139502980930.47815</v>
      </c>
      <c r="Q22" s="131">
        <v>143898259171.3158</v>
      </c>
      <c r="R22" s="131">
        <v>151380925869.74854</v>
      </c>
      <c r="S22" s="131">
        <v>158671534784.87796</v>
      </c>
    </row>
    <row r="23" spans="1:19">
      <c r="A23" s="133" t="s">
        <v>1776</v>
      </c>
      <c r="L23" t="s">
        <v>719</v>
      </c>
      <c r="M23">
        <v>4100000000</v>
      </c>
      <c r="N23">
        <v>4327925192.8880892</v>
      </c>
      <c r="O23">
        <v>4751553297.2549715</v>
      </c>
      <c r="P23">
        <v>5002687126.1071844</v>
      </c>
      <c r="Q23">
        <v>5160305276.8050213</v>
      </c>
      <c r="R23">
        <v>5428639617.1289406</v>
      </c>
      <c r="S23">
        <v>5690086613.5868626</v>
      </c>
    </row>
    <row r="24" spans="1:19">
      <c r="A24" s="49" t="s">
        <v>128</v>
      </c>
      <c r="B24" s="96">
        <f t="shared" ref="B24:H25" si="5">M32/1000000000</f>
        <v>124.4</v>
      </c>
      <c r="C24" s="96">
        <f t="shared" si="5"/>
        <v>131.04721313601823</v>
      </c>
      <c r="D24" s="96">
        <f t="shared" si="5"/>
        <v>143.87308443759383</v>
      </c>
      <c r="E24" s="96">
        <f t="shared" si="5"/>
        <v>155.75625548383985</v>
      </c>
      <c r="F24" s="96">
        <f t="shared" si="5"/>
        <v>160.72264167649868</v>
      </c>
      <c r="G24" s="96">
        <f t="shared" si="5"/>
        <v>169.68374681069398</v>
      </c>
      <c r="H24" s="96">
        <f t="shared" si="5"/>
        <v>179.20352539236592</v>
      </c>
      <c r="L24" t="s">
        <v>1777</v>
      </c>
      <c r="M24">
        <v>3200000000</v>
      </c>
      <c r="N24">
        <v>3377892833.4736309</v>
      </c>
      <c r="O24">
        <v>3708529402.7355876</v>
      </c>
      <c r="P24">
        <v>3904536293.5470705</v>
      </c>
      <c r="Q24">
        <v>4027555337.9941626</v>
      </c>
      <c r="R24">
        <v>4236987018.2469778</v>
      </c>
      <c r="S24">
        <v>4441043210.6043797</v>
      </c>
    </row>
    <row r="25" spans="1:19">
      <c r="A25" s="57" t="s">
        <v>655</v>
      </c>
      <c r="B25" s="96">
        <f t="shared" si="5"/>
        <v>114.331</v>
      </c>
      <c r="C25" s="96">
        <f t="shared" si="5"/>
        <v>120.44018428500081</v>
      </c>
      <c r="D25" s="96">
        <f t="shared" si="5"/>
        <v>132.22792296490789</v>
      </c>
      <c r="E25" s="96">
        <f t="shared" si="5"/>
        <v>142.48089704613608</v>
      </c>
      <c r="F25" s="96">
        <f t="shared" si="5"/>
        <v>147.03839700723944</v>
      </c>
      <c r="G25" s="96">
        <f t="shared" si="5"/>
        <v>155.24849102489196</v>
      </c>
      <c r="H25" s="96">
        <f t="shared" si="5"/>
        <v>163.97073400325496</v>
      </c>
      <c r="L25" t="s">
        <v>130</v>
      </c>
      <c r="M25">
        <v>5941000000</v>
      </c>
      <c r="N25">
        <v>7006000000</v>
      </c>
      <c r="O25">
        <v>13000000000</v>
      </c>
      <c r="P25">
        <v>9300000000</v>
      </c>
      <c r="Q25">
        <v>9593012288.1041584</v>
      </c>
      <c r="R25">
        <v>10091846075.248135</v>
      </c>
      <c r="S25">
        <v>10577876283.767431</v>
      </c>
    </row>
    <row r="26" spans="1:19">
      <c r="A26" s="57" t="s">
        <v>216</v>
      </c>
      <c r="B26" s="96">
        <f t="shared" ref="B26:H26" si="6">M35/1000000000</f>
        <v>3.2</v>
      </c>
      <c r="C26" s="96">
        <f t="shared" si="6"/>
        <v>3.3709894054281215</v>
      </c>
      <c r="D26" s="96">
        <f t="shared" si="6"/>
        <v>3.7009153553078793</v>
      </c>
      <c r="E26" s="96">
        <f t="shared" si="6"/>
        <v>3.9878849178930951</v>
      </c>
      <c r="F26" s="96">
        <f t="shared" si="6"/>
        <v>4.1154443713705495</v>
      </c>
      <c r="G26" s="96">
        <f t="shared" si="6"/>
        <v>4.3452359489522028</v>
      </c>
      <c r="H26" s="96">
        <f t="shared" si="6"/>
        <v>4.5893620173917489</v>
      </c>
    </row>
    <row r="27" spans="1:19">
      <c r="A27" s="57" t="s">
        <v>719</v>
      </c>
      <c r="B27" s="96">
        <f t="shared" ref="B27:H27" si="7">M34/1000000000</f>
        <v>4.0999999999999996</v>
      </c>
      <c r="C27" s="96">
        <f t="shared" si="7"/>
        <v>4.319080175704781</v>
      </c>
      <c r="D27" s="96">
        <f t="shared" si="7"/>
        <v>4.7417977989882205</v>
      </c>
      <c r="E27" s="96">
        <f t="shared" si="7"/>
        <v>5.1094775510505279</v>
      </c>
      <c r="F27" s="96">
        <f t="shared" si="7"/>
        <v>5.2729131008185162</v>
      </c>
      <c r="G27" s="96">
        <f t="shared" si="7"/>
        <v>5.56733355959501</v>
      </c>
      <c r="H27" s="96">
        <f t="shared" si="7"/>
        <v>5.8801200847831776</v>
      </c>
    </row>
    <row r="28" spans="1:19">
      <c r="A28" s="49" t="s">
        <v>130</v>
      </c>
      <c r="B28" s="96">
        <f t="shared" ref="B28:H28" si="8">M36/1000000000</f>
        <v>5.9409999999999998</v>
      </c>
      <c r="C28" s="96">
        <f t="shared" si="8"/>
        <v>7.0060000000000002</v>
      </c>
      <c r="D28" s="96">
        <f t="shared" si="8"/>
        <v>13</v>
      </c>
      <c r="E28" s="96">
        <f t="shared" si="8"/>
        <v>9.3000000000000007</v>
      </c>
      <c r="F28" s="96">
        <f t="shared" si="8"/>
        <v>9.5974767180511016</v>
      </c>
      <c r="G28" s="96">
        <f t="shared" si="8"/>
        <v>10.13336521922642</v>
      </c>
      <c r="H28" s="96">
        <f t="shared" si="8"/>
        <v>10.702682660234037</v>
      </c>
      <c r="L28" t="s">
        <v>1773</v>
      </c>
      <c r="M28" t="s">
        <v>1774</v>
      </c>
    </row>
    <row r="29" spans="1:19" ht="15" thickBot="1">
      <c r="A29" s="134" t="s">
        <v>131</v>
      </c>
      <c r="B29" s="135">
        <f t="shared" ref="B29:H29" si="9">M31/1000000000</f>
        <v>130.34100000000001</v>
      </c>
      <c r="C29" s="135">
        <f t="shared" si="9"/>
        <v>138.05321313601826</v>
      </c>
      <c r="D29" s="135">
        <f t="shared" si="9"/>
        <v>156.87308443759383</v>
      </c>
      <c r="E29" s="135">
        <f t="shared" si="9"/>
        <v>165.05625548383983</v>
      </c>
      <c r="F29" s="135">
        <f t="shared" si="9"/>
        <v>170.32011839454981</v>
      </c>
      <c r="G29" s="135">
        <f t="shared" si="9"/>
        <v>179.81711202992037</v>
      </c>
      <c r="H29" s="135">
        <f t="shared" si="9"/>
        <v>189.90620805259994</v>
      </c>
      <c r="L29" t="s">
        <v>1778</v>
      </c>
    </row>
    <row r="30" spans="1:19">
      <c r="M30" t="s">
        <v>1779</v>
      </c>
      <c r="N30" t="s">
        <v>1780</v>
      </c>
      <c r="O30" t="s">
        <v>1781</v>
      </c>
      <c r="P30" t="s">
        <v>1782</v>
      </c>
      <c r="Q30" t="s">
        <v>1783</v>
      </c>
      <c r="R30" t="s">
        <v>1784</v>
      </c>
      <c r="S30" t="s">
        <v>1785</v>
      </c>
    </row>
    <row r="31" spans="1:19">
      <c r="L31" t="s">
        <v>131</v>
      </c>
      <c r="M31" s="96">
        <v>130341000000</v>
      </c>
      <c r="N31" s="96">
        <v>138053213136.01825</v>
      </c>
      <c r="O31" s="96">
        <v>156873084437.59384</v>
      </c>
      <c r="P31" s="96">
        <v>165056255483.83984</v>
      </c>
      <c r="Q31" s="96">
        <v>170320118394.5498</v>
      </c>
      <c r="R31" s="96">
        <v>179817112029.92038</v>
      </c>
      <c r="S31" s="96">
        <v>189906208052.59995</v>
      </c>
    </row>
    <row r="32" spans="1:19">
      <c r="A32" s="154" t="s">
        <v>1786</v>
      </c>
      <c r="B32" s="155">
        <f>'DHSC NHS Budgets'!K52</f>
        <v>98.4</v>
      </c>
      <c r="C32" s="155">
        <f>'DHSC NHS Budgets'!L52</f>
        <v>100.72499999999999</v>
      </c>
      <c r="D32" s="155">
        <f>'DHSC NHS Budgets'!M52</f>
        <v>106.19999999999999</v>
      </c>
      <c r="E32" s="155">
        <f>'DHSC NHS Budgets'!N52</f>
        <v>105.375</v>
      </c>
      <c r="F32" s="155">
        <f>'DHSC NHS Budgets'!O52</f>
        <v>112.4</v>
      </c>
      <c r="G32" s="155">
        <f>'DHSC NHS Budgets'!P52</f>
        <v>119.2549027044208</v>
      </c>
      <c r="H32" s="155">
        <f>'DHSC NHS Budgets'!Q52</f>
        <v>121.25506271536932</v>
      </c>
      <c r="L32" t="s">
        <v>128</v>
      </c>
      <c r="M32" s="96">
        <v>124400000000</v>
      </c>
      <c r="N32" s="96">
        <v>131047213136.01823</v>
      </c>
      <c r="O32" s="96">
        <v>143873084437.59384</v>
      </c>
      <c r="P32" s="96">
        <v>155756255483.83984</v>
      </c>
      <c r="Q32" s="96">
        <v>160722641676.49869</v>
      </c>
      <c r="R32" s="96">
        <v>169683746810.69397</v>
      </c>
      <c r="S32" s="96">
        <v>179203525392.36591</v>
      </c>
    </row>
    <row r="33" spans="1:19" ht="15" thickBot="1">
      <c r="L33" t="s">
        <v>655</v>
      </c>
      <c r="M33" s="96">
        <v>114331000000</v>
      </c>
      <c r="N33" s="96">
        <v>120440184285.00081</v>
      </c>
      <c r="O33" s="96">
        <v>132227922964.90788</v>
      </c>
      <c r="P33" s="96">
        <v>142480897046.13608</v>
      </c>
      <c r="Q33" s="96">
        <v>147038397007.23944</v>
      </c>
      <c r="R33" s="96">
        <v>155248491024.89197</v>
      </c>
      <c r="S33" s="96">
        <v>163970734003.25497</v>
      </c>
    </row>
    <row r="34" spans="1:19">
      <c r="A34" s="1076" t="s">
        <v>1787</v>
      </c>
      <c r="B34" s="1077"/>
      <c r="C34" s="1077"/>
      <c r="D34" s="1077"/>
      <c r="E34" s="1077"/>
      <c r="F34" s="1077"/>
      <c r="G34" s="1077"/>
      <c r="H34" s="1077"/>
      <c r="L34" t="s">
        <v>719</v>
      </c>
      <c r="M34">
        <v>4100000000</v>
      </c>
      <c r="N34">
        <v>4319080175.7047806</v>
      </c>
      <c r="O34">
        <v>4741797798.9882202</v>
      </c>
      <c r="P34">
        <v>5109477551.0505276</v>
      </c>
      <c r="Q34">
        <v>5272913100.8185158</v>
      </c>
      <c r="R34">
        <v>5567333559.5950098</v>
      </c>
      <c r="S34">
        <v>5880120084.7831774</v>
      </c>
    </row>
    <row r="35" spans="1:19">
      <c r="A35" s="146"/>
      <c r="B35" s="147"/>
      <c r="C35" s="147"/>
      <c r="D35" s="147"/>
      <c r="E35" s="147"/>
      <c r="F35" s="147"/>
      <c r="G35" s="147"/>
      <c r="H35" s="147"/>
      <c r="L35" t="s">
        <v>1777</v>
      </c>
      <c r="M35">
        <v>3200000000</v>
      </c>
      <c r="N35">
        <v>3370989405.4281216</v>
      </c>
      <c r="O35">
        <v>3700915355.3078794</v>
      </c>
      <c r="P35">
        <v>3987884917.893095</v>
      </c>
      <c r="Q35">
        <v>4115444371.3705492</v>
      </c>
      <c r="R35">
        <v>4345235948.9522028</v>
      </c>
      <c r="S35">
        <v>4589362017.3917484</v>
      </c>
    </row>
    <row r="36" spans="1:19">
      <c r="A36" s="148" t="s">
        <v>692</v>
      </c>
      <c r="B36" s="149" t="s">
        <v>1034</v>
      </c>
      <c r="C36" s="149" t="s">
        <v>1256</v>
      </c>
      <c r="D36" s="149" t="s">
        <v>1257</v>
      </c>
      <c r="E36" s="149" t="s">
        <v>1246</v>
      </c>
      <c r="F36" s="149" t="s">
        <v>300</v>
      </c>
      <c r="G36" s="149" t="s">
        <v>274</v>
      </c>
      <c r="H36" s="149" t="s">
        <v>275</v>
      </c>
      <c r="L36" t="s">
        <v>130</v>
      </c>
      <c r="M36">
        <v>5941000000</v>
      </c>
      <c r="N36">
        <v>7006000000</v>
      </c>
      <c r="O36">
        <v>13000000000</v>
      </c>
      <c r="P36">
        <v>9300000000</v>
      </c>
      <c r="Q36">
        <v>9597476718.0511017</v>
      </c>
      <c r="R36">
        <v>10133365219.226419</v>
      </c>
      <c r="S36">
        <v>10702682660.234037</v>
      </c>
    </row>
    <row r="37" spans="1:19">
      <c r="A37" s="146" t="s">
        <v>128</v>
      </c>
      <c r="B37" s="147">
        <f>B8/B$32*$E$32</f>
        <v>133.17408155487803</v>
      </c>
      <c r="C37" s="147">
        <f t="shared" ref="C37:H37" si="10">C8/C$32*$E$32</f>
        <v>137.50796723752794</v>
      </c>
      <c r="D37" s="147">
        <f t="shared" si="10"/>
        <v>176.5239618644068</v>
      </c>
      <c r="E37" s="147">
        <f t="shared" si="10"/>
        <v>178.155</v>
      </c>
      <c r="F37" s="147">
        <f t="shared" si="10"/>
        <v>161.05968749999997</v>
      </c>
      <c r="G37" s="147">
        <f t="shared" si="10"/>
        <v>153.3110082720502</v>
      </c>
      <c r="H37" s="147">
        <f t="shared" si="10"/>
        <v>153.87323079282095</v>
      </c>
    </row>
    <row r="38" spans="1:19">
      <c r="A38" s="150" t="s">
        <v>655</v>
      </c>
      <c r="B38" s="147" t="e">
        <f t="shared" ref="B38:H42" si="11">B9/B$32*$E$32</f>
        <v>#REF!</v>
      </c>
      <c r="C38" s="147" t="e">
        <f t="shared" si="11"/>
        <v>#REF!</v>
      </c>
      <c r="D38" s="147" t="e">
        <f t="shared" si="11"/>
        <v>#REF!</v>
      </c>
      <c r="E38" s="147" t="e">
        <f t="shared" si="11"/>
        <v>#REF!</v>
      </c>
      <c r="F38" s="147" t="e">
        <f t="shared" si="11"/>
        <v>#REF!</v>
      </c>
      <c r="G38" s="147" t="e">
        <f t="shared" si="11"/>
        <v>#REF!</v>
      </c>
      <c r="H38" s="147" t="e">
        <f t="shared" si="11"/>
        <v>#REF!</v>
      </c>
    </row>
    <row r="39" spans="1:19">
      <c r="A39" s="150" t="s">
        <v>216</v>
      </c>
      <c r="B39" s="147">
        <f t="shared" si="11"/>
        <v>3.2244321646341461</v>
      </c>
      <c r="C39" s="147">
        <f t="shared" si="11"/>
        <v>3.0673566641846612</v>
      </c>
      <c r="D39" s="147">
        <f t="shared" si="11"/>
        <v>4.1733262711864416</v>
      </c>
      <c r="E39" s="147">
        <f t="shared" si="11"/>
        <v>3.8530000000000002</v>
      </c>
      <c r="F39" s="147">
        <f t="shared" si="11"/>
        <v>3.2034374999999997</v>
      </c>
      <c r="G39" s="147">
        <f t="shared" si="11"/>
        <v>3.0926401484232482</v>
      </c>
      <c r="H39" s="147">
        <f t="shared" si="11"/>
        <v>3.0416255762098769</v>
      </c>
    </row>
    <row r="40" spans="1:19">
      <c r="A40" s="150" t="s">
        <v>719</v>
      </c>
      <c r="B40" s="147">
        <f t="shared" si="11"/>
        <v>4.7600800304878046</v>
      </c>
      <c r="C40" s="147">
        <f t="shared" si="11"/>
        <v>4.2924162323157109</v>
      </c>
      <c r="D40" s="147">
        <f t="shared" si="11"/>
        <v>4.2497281073446338</v>
      </c>
      <c r="E40" s="147" t="e">
        <f t="shared" si="11"/>
        <v>#REF!</v>
      </c>
      <c r="F40" s="147" t="e">
        <f t="shared" si="11"/>
        <v>#REF!</v>
      </c>
      <c r="G40" s="147">
        <f t="shared" si="11"/>
        <v>4.4604707054973023</v>
      </c>
      <c r="H40" s="147">
        <f t="shared" si="11"/>
        <v>4.3868931167735594</v>
      </c>
    </row>
    <row r="41" spans="1:19">
      <c r="A41" s="146" t="s">
        <v>130</v>
      </c>
      <c r="B41" s="147">
        <f t="shared" si="11"/>
        <v>6.3621227134146334</v>
      </c>
      <c r="C41" s="147">
        <f t="shared" si="11"/>
        <v>7.3388495904690991</v>
      </c>
      <c r="D41" s="147">
        <f t="shared" si="11"/>
        <v>12.605310734463279</v>
      </c>
      <c r="E41" s="147">
        <f t="shared" si="11"/>
        <v>9.1189999999999998</v>
      </c>
      <c r="F41" s="147">
        <f t="shared" si="11"/>
        <v>9.2774999999999999</v>
      </c>
      <c r="G41" s="147">
        <f t="shared" si="11"/>
        <v>10.68109546118292</v>
      </c>
      <c r="H41" s="147">
        <f t="shared" si="11"/>
        <v>10.984613509512242</v>
      </c>
    </row>
    <row r="42" spans="1:19">
      <c r="A42" s="146" t="s">
        <v>131</v>
      </c>
      <c r="B42" s="147">
        <f t="shared" si="11"/>
        <v>137.49724085365852</v>
      </c>
      <c r="C42" s="147">
        <f t="shared" si="11"/>
        <v>144.846816827997</v>
      </c>
      <c r="D42" s="147">
        <f t="shared" si="11"/>
        <v>189.1292725988701</v>
      </c>
      <c r="E42" s="147">
        <f t="shared" si="11"/>
        <v>187.274</v>
      </c>
      <c r="F42" s="147">
        <f t="shared" si="11"/>
        <v>170.33718749999997</v>
      </c>
      <c r="G42" s="147">
        <f t="shared" si="11"/>
        <v>163.99210373323314</v>
      </c>
      <c r="H42" s="147">
        <f t="shared" si="11"/>
        <v>164.85784430233318</v>
      </c>
      <c r="L42" s="76" t="s">
        <v>1788</v>
      </c>
    </row>
    <row r="43" spans="1:19">
      <c r="A43" s="146"/>
      <c r="B43" s="147"/>
      <c r="C43" s="147"/>
      <c r="D43" s="147"/>
      <c r="E43" s="147"/>
      <c r="F43" s="147"/>
      <c r="G43" s="147"/>
      <c r="H43" s="147"/>
    </row>
    <row r="44" spans="1:19">
      <c r="A44" s="148" t="s">
        <v>1771</v>
      </c>
      <c r="B44" s="149" t="s">
        <v>1034</v>
      </c>
      <c r="C44" s="149" t="s">
        <v>1256</v>
      </c>
      <c r="D44" s="149" t="s">
        <v>1257</v>
      </c>
      <c r="E44" s="149" t="s">
        <v>1246</v>
      </c>
      <c r="F44" s="149" t="s">
        <v>300</v>
      </c>
      <c r="G44" s="149" t="s">
        <v>274</v>
      </c>
      <c r="H44" s="149" t="s">
        <v>275</v>
      </c>
      <c r="L44" s="148" t="s">
        <v>1771</v>
      </c>
      <c r="M44" s="149" t="s">
        <v>1034</v>
      </c>
      <c r="N44" s="149" t="s">
        <v>1256</v>
      </c>
      <c r="O44" s="149" t="s">
        <v>1257</v>
      </c>
      <c r="P44" s="149" t="s">
        <v>1246</v>
      </c>
      <c r="Q44" s="149" t="s">
        <v>300</v>
      </c>
      <c r="R44" s="149" t="s">
        <v>274</v>
      </c>
      <c r="S44" s="149" t="s">
        <v>275</v>
      </c>
    </row>
    <row r="45" spans="1:19">
      <c r="A45" s="146" t="s">
        <v>128</v>
      </c>
      <c r="B45" s="147">
        <f t="shared" ref="B45:H50" si="12">B16/B$32*$E$32</f>
        <v>133.21798780487805</v>
      </c>
      <c r="C45" s="147">
        <f t="shared" si="12"/>
        <v>137.37780743209888</v>
      </c>
      <c r="D45" s="147">
        <f t="shared" si="12"/>
        <v>143.04912298484538</v>
      </c>
      <c r="E45" s="147">
        <f t="shared" si="12"/>
        <v>152.52347910379291</v>
      </c>
      <c r="F45" s="147">
        <f t="shared" si="12"/>
        <v>147.48405963860571</v>
      </c>
      <c r="G45" s="147">
        <f t="shared" si="12"/>
        <v>146.21617834691807</v>
      </c>
      <c r="H45" s="147">
        <f t="shared" si="12"/>
        <v>150.71871468976232</v>
      </c>
      <c r="L45" s="146" t="s">
        <v>128</v>
      </c>
      <c r="M45" s="156">
        <f>B45-B37</f>
        <v>4.3906250000020464E-2</v>
      </c>
      <c r="N45" s="156">
        <f t="shared" ref="N45:S50" si="13">C45-C37</f>
        <v>-0.13015980542905936</v>
      </c>
      <c r="O45" s="156">
        <f t="shared" si="13"/>
        <v>-33.474838879561418</v>
      </c>
      <c r="P45" s="156">
        <f t="shared" si="13"/>
        <v>-25.631520896207093</v>
      </c>
      <c r="Q45" s="156">
        <f t="shared" si="13"/>
        <v>-13.575627861394253</v>
      </c>
      <c r="R45" s="156">
        <f t="shared" si="13"/>
        <v>-7.0948299251321316</v>
      </c>
      <c r="S45" s="156">
        <f t="shared" si="13"/>
        <v>-3.1545161030586257</v>
      </c>
    </row>
    <row r="46" spans="1:19">
      <c r="A46" s="150" t="s">
        <v>655</v>
      </c>
      <c r="B46" s="147">
        <f t="shared" si="12"/>
        <v>122.43525533536585</v>
      </c>
      <c r="C46" s="147">
        <f t="shared" si="12"/>
        <v>126.25837702185932</v>
      </c>
      <c r="D46" s="147">
        <f t="shared" si="12"/>
        <v>131.47065337604792</v>
      </c>
      <c r="E46" s="147">
        <f t="shared" si="12"/>
        <v>139.50298093047815</v>
      </c>
      <c r="F46" s="147">
        <f t="shared" si="12"/>
        <v>134.90461797310857</v>
      </c>
      <c r="G46" s="147">
        <f t="shared" si="12"/>
        <v>133.76192258579081</v>
      </c>
      <c r="H46" s="147">
        <f t="shared" si="12"/>
        <v>137.89125669090285</v>
      </c>
      <c r="L46" s="150" t="s">
        <v>655</v>
      </c>
      <c r="M46" s="156" t="e">
        <f t="shared" ref="M46:M50" si="14">B46-B38</f>
        <v>#REF!</v>
      </c>
      <c r="N46" s="156" t="e">
        <f t="shared" si="13"/>
        <v>#REF!</v>
      </c>
      <c r="O46" s="156" t="e">
        <f t="shared" si="13"/>
        <v>#REF!</v>
      </c>
      <c r="P46" s="156" t="e">
        <f t="shared" si="13"/>
        <v>#REF!</v>
      </c>
      <c r="Q46" s="156" t="e">
        <f t="shared" si="13"/>
        <v>#REF!</v>
      </c>
      <c r="R46" s="156" t="e">
        <f t="shared" si="13"/>
        <v>#REF!</v>
      </c>
      <c r="S46" s="156" t="e">
        <f t="shared" si="13"/>
        <v>#REF!</v>
      </c>
    </row>
    <row r="47" spans="1:19">
      <c r="A47" s="150" t="s">
        <v>216</v>
      </c>
      <c r="B47" s="147">
        <f t="shared" si="12"/>
        <v>3.4268292682926824</v>
      </c>
      <c r="C47" s="147">
        <f t="shared" si="12"/>
        <v>3.5338342747806792</v>
      </c>
      <c r="D47" s="147">
        <f t="shared" si="12"/>
        <v>3.6797202053979525</v>
      </c>
      <c r="E47" s="147">
        <f t="shared" si="12"/>
        <v>3.90453629354707</v>
      </c>
      <c r="F47" s="147">
        <f t="shared" si="12"/>
        <v>3.775833129369528</v>
      </c>
      <c r="G47" s="147">
        <f t="shared" si="12"/>
        <v>3.7438503317082032</v>
      </c>
      <c r="H47" s="147">
        <f t="shared" si="12"/>
        <v>3.8594258898364311</v>
      </c>
      <c r="L47" s="150" t="s">
        <v>216</v>
      </c>
      <c r="M47" s="156">
        <f t="shared" si="14"/>
        <v>0.20239710365853636</v>
      </c>
      <c r="N47" s="156">
        <f t="shared" si="13"/>
        <v>0.466477610596018</v>
      </c>
      <c r="O47" s="156">
        <f t="shared" si="13"/>
        <v>-0.49360606578848909</v>
      </c>
      <c r="P47" s="156">
        <f t="shared" si="13"/>
        <v>5.1536293547069789E-2</v>
      </c>
      <c r="Q47" s="156">
        <f t="shared" si="13"/>
        <v>0.57239562936952826</v>
      </c>
      <c r="R47" s="156">
        <f t="shared" si="13"/>
        <v>0.65121018328495506</v>
      </c>
      <c r="S47" s="156">
        <f t="shared" si="13"/>
        <v>0.81780031362655414</v>
      </c>
    </row>
    <row r="48" spans="1:19">
      <c r="A48" s="150" t="s">
        <v>719</v>
      </c>
      <c r="B48" s="147">
        <f t="shared" si="12"/>
        <v>4.3906249999999991</v>
      </c>
      <c r="C48" s="147">
        <f t="shared" si="12"/>
        <v>4.5277251645627441</v>
      </c>
      <c r="D48" s="147">
        <f t="shared" si="12"/>
        <v>4.7146415131661268</v>
      </c>
      <c r="E48" s="147">
        <f t="shared" si="12"/>
        <v>5.0026871261071841</v>
      </c>
      <c r="F48" s="147">
        <f t="shared" si="12"/>
        <v>4.8377861970047071</v>
      </c>
      <c r="G48" s="147">
        <f t="shared" si="12"/>
        <v>4.7968082375011347</v>
      </c>
      <c r="H48" s="147">
        <f t="shared" si="12"/>
        <v>4.9448894213529284</v>
      </c>
      <c r="L48" s="150" t="s">
        <v>719</v>
      </c>
      <c r="M48" s="156">
        <f t="shared" si="14"/>
        <v>-0.36945503048780548</v>
      </c>
      <c r="N48" s="156">
        <f t="shared" si="13"/>
        <v>0.2353089322470332</v>
      </c>
      <c r="O48" s="156">
        <f t="shared" si="13"/>
        <v>0.46491340582149299</v>
      </c>
      <c r="P48" s="156" t="e">
        <f t="shared" si="13"/>
        <v>#REF!</v>
      </c>
      <c r="Q48" s="156" t="e">
        <f t="shared" si="13"/>
        <v>#REF!</v>
      </c>
      <c r="R48" s="156">
        <f t="shared" si="13"/>
        <v>0.33633753200383243</v>
      </c>
      <c r="S48" s="156">
        <f t="shared" si="13"/>
        <v>0.557996304579369</v>
      </c>
    </row>
    <row r="49" spans="1:19">
      <c r="A49" s="146" t="s">
        <v>130</v>
      </c>
      <c r="B49" s="147">
        <f t="shared" si="12"/>
        <v>6.3621227134146334</v>
      </c>
      <c r="C49" s="147">
        <f t="shared" si="12"/>
        <v>7.3294341027550267</v>
      </c>
      <c r="D49" s="147">
        <f t="shared" si="12"/>
        <v>12.899011299435029</v>
      </c>
      <c r="E49" s="147">
        <f t="shared" si="12"/>
        <v>9.3000000000000007</v>
      </c>
      <c r="F49" s="147">
        <f t="shared" si="12"/>
        <v>8.993449020097648</v>
      </c>
      <c r="G49" s="147">
        <f t="shared" si="12"/>
        <v>8.9172709554342777</v>
      </c>
      <c r="H49" s="147">
        <f t="shared" si="12"/>
        <v>9.1925540133402581</v>
      </c>
      <c r="L49" s="146" t="s">
        <v>130</v>
      </c>
      <c r="M49" s="156">
        <f t="shared" si="14"/>
        <v>0</v>
      </c>
      <c r="N49" s="156">
        <f t="shared" si="13"/>
        <v>-9.4154877140724125E-3</v>
      </c>
      <c r="O49" s="156">
        <f t="shared" si="13"/>
        <v>0.29370056497175057</v>
      </c>
      <c r="P49" s="156">
        <f t="shared" si="13"/>
        <v>0.18100000000000094</v>
      </c>
      <c r="Q49" s="156">
        <f t="shared" si="13"/>
        <v>-0.28405097990235184</v>
      </c>
      <c r="R49" s="156">
        <f t="shared" si="13"/>
        <v>-1.7638245057486426</v>
      </c>
      <c r="S49" s="156">
        <f t="shared" si="13"/>
        <v>-1.7920594961719836</v>
      </c>
    </row>
    <row r="50" spans="1:19">
      <c r="A50" s="146" t="s">
        <v>131</v>
      </c>
      <c r="B50" s="147">
        <f t="shared" si="12"/>
        <v>139.58011051829268</v>
      </c>
      <c r="C50" s="147">
        <f t="shared" si="12"/>
        <v>144.70724153485395</v>
      </c>
      <c r="D50" s="147">
        <f t="shared" si="12"/>
        <v>155.9481342842804</v>
      </c>
      <c r="E50" s="147">
        <f t="shared" si="12"/>
        <v>161.82347910379292</v>
      </c>
      <c r="F50" s="147">
        <f t="shared" si="12"/>
        <v>156.47750865870339</v>
      </c>
      <c r="G50" s="147">
        <f t="shared" si="12"/>
        <v>155.13344930235237</v>
      </c>
      <c r="H50" s="147">
        <f t="shared" si="12"/>
        <v>159.91126870310256</v>
      </c>
      <c r="L50" s="146" t="s">
        <v>131</v>
      </c>
      <c r="M50" s="156">
        <f t="shared" si="14"/>
        <v>2.0828696646341598</v>
      </c>
      <c r="N50" s="156">
        <f t="shared" si="13"/>
        <v>-0.13957529314305361</v>
      </c>
      <c r="O50" s="156">
        <f t="shared" si="13"/>
        <v>-33.181138314589703</v>
      </c>
      <c r="P50" s="156">
        <f t="shared" si="13"/>
        <v>-25.450520896207081</v>
      </c>
      <c r="Q50" s="156">
        <f t="shared" si="13"/>
        <v>-13.859678841296585</v>
      </c>
      <c r="R50" s="156">
        <f t="shared" si="13"/>
        <v>-8.8586544308807618</v>
      </c>
      <c r="S50" s="156">
        <f t="shared" si="13"/>
        <v>-4.9465755992306129</v>
      </c>
    </row>
    <row r="51" spans="1:19">
      <c r="A51" s="146"/>
      <c r="B51" s="147"/>
      <c r="C51" s="147"/>
      <c r="D51" s="147"/>
      <c r="E51" s="147"/>
      <c r="F51" s="147"/>
      <c r="G51" s="147"/>
      <c r="H51" s="147"/>
      <c r="L51" s="146"/>
      <c r="M51" s="147"/>
      <c r="N51" s="147"/>
      <c r="O51" s="147"/>
      <c r="P51" s="147"/>
      <c r="Q51" s="147"/>
      <c r="R51" s="147"/>
      <c r="S51" s="147"/>
    </row>
    <row r="52" spans="1:19">
      <c r="A52" s="148" t="s">
        <v>1776</v>
      </c>
      <c r="B52" s="147"/>
      <c r="C52" s="147"/>
      <c r="D52" s="147"/>
      <c r="E52" s="147"/>
      <c r="F52" s="147"/>
      <c r="G52" s="147"/>
      <c r="H52" s="147"/>
      <c r="L52" s="148" t="s">
        <v>1776</v>
      </c>
      <c r="M52" s="147"/>
      <c r="N52" s="147"/>
      <c r="O52" s="147"/>
      <c r="P52" s="147"/>
      <c r="Q52" s="147"/>
      <c r="R52" s="147"/>
      <c r="S52" s="147"/>
    </row>
    <row r="53" spans="1:19">
      <c r="A53" s="146" t="s">
        <v>128</v>
      </c>
      <c r="B53" s="151">
        <f t="shared" ref="B53:H58" si="15">B24/B$32*$E$32</f>
        <v>133.21798780487805</v>
      </c>
      <c r="C53" s="151">
        <f t="shared" si="15"/>
        <v>137.09704724952019</v>
      </c>
      <c r="D53" s="151">
        <f t="shared" si="15"/>
        <v>142.75542629577637</v>
      </c>
      <c r="E53" s="151">
        <f t="shared" si="15"/>
        <v>155.75625548383985</v>
      </c>
      <c r="F53" s="151">
        <f t="shared" si="15"/>
        <v>150.67747657171751</v>
      </c>
      <c r="G53" s="151">
        <f t="shared" si="15"/>
        <v>149.93450512046786</v>
      </c>
      <c r="H53" s="151">
        <f t="shared" si="15"/>
        <v>155.73429319439896</v>
      </c>
      <c r="L53" s="146" t="s">
        <v>128</v>
      </c>
      <c r="M53" s="156">
        <f>B53-B37</f>
        <v>4.3906250000020464E-2</v>
      </c>
      <c r="N53" s="156">
        <f t="shared" ref="N53:S57" si="16">C53-C37</f>
        <v>-0.41091998800774832</v>
      </c>
      <c r="O53" s="156">
        <f t="shared" si="16"/>
        <v>-33.768535568630426</v>
      </c>
      <c r="P53" s="156">
        <f t="shared" si="16"/>
        <v>-22.39874451616015</v>
      </c>
      <c r="Q53" s="156">
        <f t="shared" si="16"/>
        <v>-10.382210928282461</v>
      </c>
      <c r="R53" s="156">
        <f t="shared" si="16"/>
        <v>-3.3765031515823409</v>
      </c>
      <c r="S53" s="156">
        <f t="shared" si="16"/>
        <v>1.8610624015780104</v>
      </c>
    </row>
    <row r="54" spans="1:19">
      <c r="A54" s="150" t="s">
        <v>655</v>
      </c>
      <c r="B54" s="151">
        <f t="shared" si="15"/>
        <v>122.43525533536585</v>
      </c>
      <c r="C54" s="151">
        <f t="shared" si="15"/>
        <v>126.00034171290109</v>
      </c>
      <c r="D54" s="151">
        <f t="shared" si="15"/>
        <v>131.20072864809012</v>
      </c>
      <c r="E54" s="151">
        <f t="shared" si="15"/>
        <v>142.48089704613608</v>
      </c>
      <c r="F54" s="151">
        <f t="shared" si="15"/>
        <v>137.84849719428698</v>
      </c>
      <c r="G54" s="151">
        <f t="shared" si="15"/>
        <v>137.17934752163063</v>
      </c>
      <c r="H54" s="151">
        <f t="shared" si="15"/>
        <v>142.49645094120197</v>
      </c>
      <c r="L54" s="150" t="s">
        <v>655</v>
      </c>
      <c r="M54" s="156" t="e">
        <f t="shared" ref="M54:M57" si="17">B54-B38</f>
        <v>#REF!</v>
      </c>
      <c r="N54" s="156" t="e">
        <f t="shared" si="16"/>
        <v>#REF!</v>
      </c>
      <c r="O54" s="156" t="e">
        <f t="shared" si="16"/>
        <v>#REF!</v>
      </c>
      <c r="P54" s="156" t="e">
        <f t="shared" si="16"/>
        <v>#REF!</v>
      </c>
      <c r="Q54" s="156" t="e">
        <f t="shared" si="16"/>
        <v>#REF!</v>
      </c>
      <c r="R54" s="156" t="e">
        <f t="shared" si="16"/>
        <v>#REF!</v>
      </c>
      <c r="S54" s="156" t="e">
        <f t="shared" si="16"/>
        <v>#REF!</v>
      </c>
    </row>
    <row r="55" spans="1:19">
      <c r="A55" s="150" t="s">
        <v>216</v>
      </c>
      <c r="B55" s="151">
        <f t="shared" si="15"/>
        <v>3.4268292682926824</v>
      </c>
      <c r="C55" s="151">
        <f t="shared" si="15"/>
        <v>3.5266121478976253</v>
      </c>
      <c r="D55" s="151">
        <f t="shared" si="15"/>
        <v>3.6721653066437647</v>
      </c>
      <c r="E55" s="151">
        <f t="shared" si="15"/>
        <v>3.9878849178930951</v>
      </c>
      <c r="F55" s="151">
        <f t="shared" si="15"/>
        <v>3.8582290981598901</v>
      </c>
      <c r="G55" s="151">
        <f t="shared" si="15"/>
        <v>3.8395003286004501</v>
      </c>
      <c r="H55" s="151">
        <f t="shared" si="15"/>
        <v>3.9883202544528293</v>
      </c>
      <c r="L55" s="150" t="s">
        <v>216</v>
      </c>
      <c r="M55" s="156">
        <f t="shared" si="17"/>
        <v>0.20239710365853636</v>
      </c>
      <c r="N55" s="156">
        <f t="shared" si="16"/>
        <v>0.4592554837129641</v>
      </c>
      <c r="O55" s="156">
        <f t="shared" si="16"/>
        <v>-0.50116096454267689</v>
      </c>
      <c r="P55" s="156">
        <f t="shared" si="16"/>
        <v>0.13488491789309487</v>
      </c>
      <c r="Q55" s="156">
        <f t="shared" si="16"/>
        <v>0.65479159815989041</v>
      </c>
      <c r="R55" s="156">
        <f t="shared" si="16"/>
        <v>0.7468601801772019</v>
      </c>
      <c r="S55" s="156">
        <f t="shared" si="16"/>
        <v>0.94669467824295239</v>
      </c>
    </row>
    <row r="56" spans="1:19">
      <c r="A56" s="150" t="s">
        <v>719</v>
      </c>
      <c r="B56" s="151">
        <f t="shared" si="15"/>
        <v>4.3906249999999991</v>
      </c>
      <c r="C56" s="151">
        <f t="shared" si="15"/>
        <v>4.5184718144938332</v>
      </c>
      <c r="D56" s="151">
        <f t="shared" si="15"/>
        <v>4.7049617991373234</v>
      </c>
      <c r="E56" s="151">
        <f t="shared" si="15"/>
        <v>5.1094775510505279</v>
      </c>
      <c r="F56" s="151">
        <f t="shared" si="15"/>
        <v>4.9433560320173582</v>
      </c>
      <c r="G56" s="151">
        <f t="shared" si="15"/>
        <v>4.9193597960193269</v>
      </c>
      <c r="H56" s="151">
        <f t="shared" si="15"/>
        <v>5.1100353260176865</v>
      </c>
      <c r="L56" s="150" t="s">
        <v>719</v>
      </c>
      <c r="M56" s="156">
        <f t="shared" si="17"/>
        <v>-0.36945503048780548</v>
      </c>
      <c r="N56" s="156">
        <f t="shared" si="16"/>
        <v>0.22605558217812227</v>
      </c>
      <c r="O56" s="156">
        <f t="shared" si="16"/>
        <v>0.45523369179268958</v>
      </c>
      <c r="P56" s="156" t="e">
        <f t="shared" si="16"/>
        <v>#REF!</v>
      </c>
      <c r="Q56" s="156" t="e">
        <f t="shared" si="16"/>
        <v>#REF!</v>
      </c>
      <c r="R56" s="156">
        <f t="shared" si="16"/>
        <v>0.45888909052202465</v>
      </c>
      <c r="S56" s="156">
        <f t="shared" si="16"/>
        <v>0.72314220924412709</v>
      </c>
    </row>
    <row r="57" spans="1:19">
      <c r="A57" s="146" t="s">
        <v>130</v>
      </c>
      <c r="B57" s="151">
        <f t="shared" si="15"/>
        <v>6.3621227134146334</v>
      </c>
      <c r="C57" s="151">
        <f t="shared" si="15"/>
        <v>7.3294341027550267</v>
      </c>
      <c r="D57" s="151">
        <f t="shared" si="15"/>
        <v>12.899011299435029</v>
      </c>
      <c r="E57" s="151">
        <f t="shared" si="15"/>
        <v>9.3000000000000007</v>
      </c>
      <c r="F57" s="151">
        <f t="shared" si="15"/>
        <v>8.9976344231729062</v>
      </c>
      <c r="G57" s="151">
        <f t="shared" si="15"/>
        <v>8.9539577473186789</v>
      </c>
      <c r="H57" s="151">
        <f t="shared" si="15"/>
        <v>9.3010152324073765</v>
      </c>
      <c r="L57" s="146" t="s">
        <v>130</v>
      </c>
      <c r="M57" s="156">
        <f t="shared" si="17"/>
        <v>0</v>
      </c>
      <c r="N57" s="156">
        <f t="shared" si="16"/>
        <v>-9.4154877140724125E-3</v>
      </c>
      <c r="O57" s="156">
        <f t="shared" si="16"/>
        <v>0.29370056497175057</v>
      </c>
      <c r="P57" s="156">
        <f t="shared" si="16"/>
        <v>0.18100000000000094</v>
      </c>
      <c r="Q57" s="156">
        <f t="shared" si="16"/>
        <v>-0.27986557682709368</v>
      </c>
      <c r="R57" s="156">
        <f t="shared" si="16"/>
        <v>-1.7271377138642414</v>
      </c>
      <c r="S57" s="156">
        <f t="shared" si="16"/>
        <v>-1.6835982771048652</v>
      </c>
    </row>
    <row r="58" spans="1:19" ht="15" thickBot="1">
      <c r="A58" s="152" t="s">
        <v>131</v>
      </c>
      <c r="B58" s="153">
        <f t="shared" si="15"/>
        <v>139.58011051829268</v>
      </c>
      <c r="C58" s="153">
        <f t="shared" si="15"/>
        <v>144.42648135227526</v>
      </c>
      <c r="D58" s="153">
        <f t="shared" si="15"/>
        <v>155.65443759521142</v>
      </c>
      <c r="E58" s="153">
        <f t="shared" si="15"/>
        <v>165.05625548383983</v>
      </c>
      <c r="F58" s="153">
        <f t="shared" si="15"/>
        <v>159.67511099489045</v>
      </c>
      <c r="G58" s="153">
        <f t="shared" si="15"/>
        <v>158.88846286778653</v>
      </c>
      <c r="H58" s="153">
        <f t="shared" si="15"/>
        <v>165.0353084268063</v>
      </c>
      <c r="L58" s="152" t="s">
        <v>131</v>
      </c>
      <c r="M58" s="156">
        <f>B58-B42</f>
        <v>2.0828696646341598</v>
      </c>
      <c r="N58" s="156">
        <f t="shared" ref="N58:S58" si="18">C58-C42</f>
        <v>-0.42033547572174257</v>
      </c>
      <c r="O58" s="156">
        <f t="shared" si="18"/>
        <v>-33.474835003658683</v>
      </c>
      <c r="P58" s="156">
        <f t="shared" si="18"/>
        <v>-22.217744516160167</v>
      </c>
      <c r="Q58" s="156">
        <f t="shared" si="18"/>
        <v>-10.662076505109525</v>
      </c>
      <c r="R58" s="156">
        <f t="shared" si="18"/>
        <v>-5.1036408654466072</v>
      </c>
      <c r="S58" s="156">
        <f t="shared" si="18"/>
        <v>0.17746412447311855</v>
      </c>
    </row>
    <row r="61" spans="1:19" ht="15" thickBot="1">
      <c r="B61" s="136"/>
      <c r="C61" s="136"/>
      <c r="D61" s="136"/>
      <c r="E61" s="136"/>
      <c r="F61" s="136"/>
      <c r="G61" s="136"/>
      <c r="H61" s="136"/>
    </row>
    <row r="62" spans="1:19">
      <c r="A62" s="1078" t="s">
        <v>1789</v>
      </c>
      <c r="B62" s="1079"/>
      <c r="C62" s="1079"/>
      <c r="D62" s="1079"/>
      <c r="E62" s="1079"/>
      <c r="F62" s="1079"/>
      <c r="G62" s="1079"/>
      <c r="H62" s="1079"/>
    </row>
    <row r="63" spans="1:19">
      <c r="A63" s="137"/>
      <c r="B63" s="138"/>
      <c r="C63" s="138"/>
      <c r="D63" s="138"/>
      <c r="E63" s="138"/>
      <c r="F63" s="138"/>
      <c r="G63" s="138"/>
      <c r="H63" s="138"/>
      <c r="L63" s="145" t="s">
        <v>1790</v>
      </c>
      <c r="M63" s="145"/>
      <c r="N63" s="145"/>
      <c r="O63" s="145"/>
      <c r="P63" s="145"/>
      <c r="Q63" s="145"/>
      <c r="R63" s="145"/>
      <c r="S63" s="145"/>
    </row>
    <row r="64" spans="1:19">
      <c r="A64" s="139" t="s">
        <v>1771</v>
      </c>
      <c r="B64" s="140" t="s">
        <v>1034</v>
      </c>
      <c r="C64" s="140" t="s">
        <v>1256</v>
      </c>
      <c r="D64" s="140" t="s">
        <v>1257</v>
      </c>
      <c r="E64" s="140" t="s">
        <v>1246</v>
      </c>
      <c r="F64" s="140" t="s">
        <v>300</v>
      </c>
      <c r="G64" s="140" t="s">
        <v>274</v>
      </c>
      <c r="H64" s="140" t="s">
        <v>275</v>
      </c>
      <c r="L64" s="145"/>
      <c r="M64" s="145" t="s">
        <v>1034</v>
      </c>
      <c r="N64" s="145" t="s">
        <v>1256</v>
      </c>
      <c r="O64" s="145" t="s">
        <v>1257</v>
      </c>
      <c r="P64" s="145" t="s">
        <v>1246</v>
      </c>
      <c r="Q64" s="145" t="s">
        <v>300</v>
      </c>
      <c r="R64" s="145" t="s">
        <v>274</v>
      </c>
      <c r="S64" s="145" t="s">
        <v>275</v>
      </c>
    </row>
    <row r="65" spans="1:19">
      <c r="A65" s="137" t="s">
        <v>128</v>
      </c>
      <c r="B65" s="138">
        <f t="shared" ref="B65:H66" si="19">M66/1000000000</f>
        <v>134.15069563472562</v>
      </c>
      <c r="C65" s="138">
        <f t="shared" si="19"/>
        <v>138.32302205231034</v>
      </c>
      <c r="D65" s="138">
        <f t="shared" si="19"/>
        <v>141.84795833479126</v>
      </c>
      <c r="E65" s="138">
        <f t="shared" si="19"/>
        <v>152.52347910379291</v>
      </c>
      <c r="F65" s="138">
        <f t="shared" si="19"/>
        <v>157.53688191586164</v>
      </c>
      <c r="G65" s="138">
        <f t="shared" si="19"/>
        <v>162.41069879614321</v>
      </c>
      <c r="H65" s="138">
        <f t="shared" si="19"/>
        <v>166.73501871838752</v>
      </c>
      <c r="L65" s="145" t="s">
        <v>131</v>
      </c>
      <c r="M65" s="145">
        <v>140557361894.9017</v>
      </c>
      <c r="N65" s="145">
        <v>145702885612.35034</v>
      </c>
      <c r="O65" s="145">
        <v>154638658334.79126</v>
      </c>
      <c r="P65" s="145">
        <v>161823479103.79291</v>
      </c>
      <c r="Q65" s="145">
        <v>167143343249.83337</v>
      </c>
      <c r="R65" s="145">
        <v>172315623296.29282</v>
      </c>
      <c r="S65" s="145">
        <v>176904430450.9584</v>
      </c>
    </row>
    <row r="66" spans="1:19">
      <c r="A66" s="141" t="s">
        <v>655</v>
      </c>
      <c r="B66" s="138">
        <f t="shared" si="19"/>
        <v>123.2924693136159</v>
      </c>
      <c r="C66" s="138">
        <f t="shared" si="19"/>
        <v>127.12708548442679</v>
      </c>
      <c r="D66" s="138">
        <f t="shared" si="19"/>
        <v>130.3667116107317</v>
      </c>
      <c r="E66" s="138">
        <f t="shared" si="19"/>
        <v>139.50298093047815</v>
      </c>
      <c r="F66" s="138">
        <f t="shared" si="19"/>
        <v>144.09999917015404</v>
      </c>
      <c r="G66" s="138">
        <f t="shared" si="19"/>
        <v>148.57704232926835</v>
      </c>
      <c r="H66" s="138">
        <f t="shared" si="19"/>
        <v>152.54443559172262</v>
      </c>
      <c r="L66" s="145" t="s">
        <v>128</v>
      </c>
      <c r="M66" s="145">
        <v>134150695634.72563</v>
      </c>
      <c r="N66" s="145">
        <v>138323022052.31033</v>
      </c>
      <c r="O66" s="145">
        <v>141847958334.79126</v>
      </c>
      <c r="P66" s="145">
        <v>152523479103.79291</v>
      </c>
      <c r="Q66" s="145">
        <v>157536881915.86163</v>
      </c>
      <c r="R66" s="145">
        <v>162410698796.14322</v>
      </c>
      <c r="S66" s="145">
        <v>166735018718.38751</v>
      </c>
    </row>
    <row r="67" spans="1:19">
      <c r="A67" s="141" t="s">
        <v>216</v>
      </c>
      <c r="B67" s="138">
        <f t="shared" ref="B67:H67" si="20">M69/1000000000</f>
        <v>3.4508217526617528</v>
      </c>
      <c r="C67" s="138">
        <f t="shared" si="20"/>
        <v>3.5581484772298477</v>
      </c>
      <c r="D67" s="138">
        <f t="shared" si="20"/>
        <v>3.6488220793515449</v>
      </c>
      <c r="E67" s="138">
        <f t="shared" si="20"/>
        <v>3.9045362935470704</v>
      </c>
      <c r="F67" s="138">
        <f t="shared" si="20"/>
        <v>4.0332018205429225</v>
      </c>
      <c r="G67" s="138">
        <f t="shared" si="20"/>
        <v>4.158509375879321</v>
      </c>
      <c r="H67" s="138">
        <f t="shared" si="20"/>
        <v>4.269552386435107</v>
      </c>
      <c r="L67" s="145" t="s">
        <v>655</v>
      </c>
      <c r="M67" s="145">
        <v>123292469313.61589</v>
      </c>
      <c r="N67" s="145">
        <v>127127085484.42679</v>
      </c>
      <c r="O67" s="145">
        <v>130366711610.73169</v>
      </c>
      <c r="P67" s="145">
        <v>139502980930.47815</v>
      </c>
      <c r="Q67" s="145">
        <v>144099999170.15402</v>
      </c>
      <c r="R67" s="145">
        <v>148577042329.26834</v>
      </c>
      <c r="S67" s="145">
        <v>152544435591.72263</v>
      </c>
    </row>
    <row r="68" spans="1:19">
      <c r="A68" s="141" t="s">
        <v>719</v>
      </c>
      <c r="B68" s="138">
        <f t="shared" ref="B68:H68" si="21">M68/1000000000</f>
        <v>4.4213653705978713</v>
      </c>
      <c r="C68" s="138">
        <f t="shared" si="21"/>
        <v>4.5588777364507429</v>
      </c>
      <c r="D68" s="138">
        <f t="shared" si="21"/>
        <v>4.675053289169167</v>
      </c>
      <c r="E68" s="138">
        <f t="shared" si="21"/>
        <v>5.0026871261071841</v>
      </c>
      <c r="F68" s="138">
        <f t="shared" si="21"/>
        <v>5.1675398325706201</v>
      </c>
      <c r="G68" s="138">
        <f t="shared" si="21"/>
        <v>5.3280901378453809</v>
      </c>
      <c r="H68" s="138">
        <f t="shared" si="21"/>
        <v>5.4703639951199818</v>
      </c>
      <c r="L68" s="145" t="s">
        <v>719</v>
      </c>
      <c r="M68" s="145">
        <v>4421365370.5978708</v>
      </c>
      <c r="N68" s="145">
        <v>4558877736.4507427</v>
      </c>
      <c r="O68" s="145">
        <v>4675053289.1691666</v>
      </c>
      <c r="P68" s="145">
        <v>5002687126.1071844</v>
      </c>
      <c r="Q68" s="145">
        <v>5167539832.5706205</v>
      </c>
      <c r="R68" s="145">
        <v>5328090137.8453808</v>
      </c>
      <c r="S68" s="145">
        <v>5470363995.1199818</v>
      </c>
    </row>
    <row r="69" spans="1:19">
      <c r="A69" s="137" t="s">
        <v>130</v>
      </c>
      <c r="B69" s="138">
        <f t="shared" ref="B69:H69" si="22">M70/1000000000</f>
        <v>6.4066662601760855</v>
      </c>
      <c r="C69" s="138">
        <f t="shared" si="22"/>
        <v>7.3798635600400013</v>
      </c>
      <c r="D69" s="138">
        <f t="shared" si="22"/>
        <v>12.790699999999999</v>
      </c>
      <c r="E69" s="138">
        <f t="shared" si="22"/>
        <v>9.3000000000000007</v>
      </c>
      <c r="F69" s="138">
        <f t="shared" si="22"/>
        <v>9.6064613339717173</v>
      </c>
      <c r="G69" s="138">
        <f t="shared" si="22"/>
        <v>9.9049245001496011</v>
      </c>
      <c r="H69" s="138">
        <f t="shared" si="22"/>
        <v>10.169411732570909</v>
      </c>
      <c r="L69" s="145" t="s">
        <v>1777</v>
      </c>
      <c r="M69" s="145">
        <v>3450821752.6617527</v>
      </c>
      <c r="N69" s="145">
        <v>3558148477.2298479</v>
      </c>
      <c r="O69" s="145">
        <v>3648822079.3515449</v>
      </c>
      <c r="P69" s="145">
        <v>3904536293.5470705</v>
      </c>
      <c r="Q69" s="145">
        <v>4033201820.5429225</v>
      </c>
      <c r="R69" s="145">
        <v>4158509375.8793211</v>
      </c>
      <c r="S69" s="145">
        <v>4269552386.4351072</v>
      </c>
    </row>
    <row r="70" spans="1:19">
      <c r="A70" s="137" t="s">
        <v>131</v>
      </c>
      <c r="B70" s="138">
        <f t="shared" ref="B70:H70" si="23">M65/1000000000</f>
        <v>140.5573618949017</v>
      </c>
      <c r="C70" s="138">
        <f t="shared" si="23"/>
        <v>145.70288561235034</v>
      </c>
      <c r="D70" s="138">
        <f t="shared" si="23"/>
        <v>154.63865833479127</v>
      </c>
      <c r="E70" s="138">
        <f t="shared" si="23"/>
        <v>161.82347910379292</v>
      </c>
      <c r="F70" s="138">
        <f t="shared" si="23"/>
        <v>167.14334324983338</v>
      </c>
      <c r="G70" s="138">
        <f t="shared" si="23"/>
        <v>172.31562329629281</v>
      </c>
      <c r="H70" s="138">
        <f t="shared" si="23"/>
        <v>176.90443045095842</v>
      </c>
      <c r="L70" s="145" t="s">
        <v>130</v>
      </c>
      <c r="M70" s="145">
        <v>6406666260.1760855</v>
      </c>
      <c r="N70" s="145">
        <v>7379863560.0400009</v>
      </c>
      <c r="O70" s="145">
        <v>12790700000</v>
      </c>
      <c r="P70" s="145">
        <v>9300000000</v>
      </c>
      <c r="Q70" s="145">
        <v>9606461333.9717178</v>
      </c>
      <c r="R70" s="145">
        <v>9904924500.149601</v>
      </c>
      <c r="S70" s="145">
        <v>10169411732.57091</v>
      </c>
    </row>
    <row r="71" spans="1:19">
      <c r="A71" s="137"/>
      <c r="B71" s="138"/>
      <c r="C71" s="138"/>
      <c r="D71" s="138"/>
      <c r="E71" s="138"/>
      <c r="F71" s="138"/>
      <c r="G71" s="138"/>
      <c r="H71" s="138"/>
      <c r="L71" s="145"/>
      <c r="M71" s="145"/>
      <c r="N71" s="145"/>
      <c r="O71" s="145"/>
      <c r="P71" s="145"/>
      <c r="Q71" s="145"/>
      <c r="R71" s="145"/>
      <c r="S71" s="145"/>
    </row>
    <row r="72" spans="1:19">
      <c r="A72" s="139" t="s">
        <v>1776</v>
      </c>
      <c r="B72" s="138"/>
      <c r="C72" s="138"/>
      <c r="D72" s="138"/>
      <c r="E72" s="138"/>
      <c r="F72" s="138"/>
      <c r="G72" s="138"/>
      <c r="H72" s="138"/>
      <c r="L72" s="145" t="s">
        <v>1791</v>
      </c>
      <c r="M72" s="145"/>
      <c r="N72" s="145"/>
      <c r="O72" s="145"/>
      <c r="P72" s="145"/>
      <c r="Q72" s="145"/>
      <c r="R72" s="145"/>
      <c r="S72" s="145"/>
    </row>
    <row r="73" spans="1:19">
      <c r="A73" s="137" t="s">
        <v>128</v>
      </c>
      <c r="B73" s="142">
        <f t="shared" ref="B73:H74" si="24">M75/1000000000</f>
        <v>134.15069563472562</v>
      </c>
      <c r="C73" s="142">
        <f t="shared" si="24"/>
        <v>138.04033012664803</v>
      </c>
      <c r="D73" s="142">
        <f t="shared" si="24"/>
        <v>141.5567277781486</v>
      </c>
      <c r="E73" s="142">
        <f t="shared" si="24"/>
        <v>155.75625548383985</v>
      </c>
      <c r="F73" s="142">
        <f t="shared" si="24"/>
        <v>160.94796883286469</v>
      </c>
      <c r="G73" s="142">
        <f t="shared" si="24"/>
        <v>166.54085769150021</v>
      </c>
      <c r="H73" s="142">
        <f t="shared" si="24"/>
        <v>172.28358365656061</v>
      </c>
      <c r="L73" s="145"/>
      <c r="M73" s="145" t="s">
        <v>1034</v>
      </c>
      <c r="N73" s="145" t="s">
        <v>1256</v>
      </c>
      <c r="O73" s="145" t="s">
        <v>1257</v>
      </c>
      <c r="P73" s="145" t="s">
        <v>1246</v>
      </c>
      <c r="Q73" s="145" t="s">
        <v>300</v>
      </c>
      <c r="R73" s="145" t="s">
        <v>274</v>
      </c>
      <c r="S73" s="145" t="s">
        <v>275</v>
      </c>
    </row>
    <row r="74" spans="1:19">
      <c r="A74" s="141" t="s">
        <v>655</v>
      </c>
      <c r="B74" s="142">
        <f t="shared" si="24"/>
        <v>123.2924693136159</v>
      </c>
      <c r="C74" s="142">
        <f t="shared" si="24"/>
        <v>126.86727478866398</v>
      </c>
      <c r="D74" s="142">
        <f t="shared" si="24"/>
        <v>130.09905340517287</v>
      </c>
      <c r="E74" s="142">
        <f t="shared" si="24"/>
        <v>142.48089704613608</v>
      </c>
      <c r="F74" s="142">
        <f t="shared" si="24"/>
        <v>147.2445393623467</v>
      </c>
      <c r="G74" s="142">
        <f t="shared" si="24"/>
        <v>152.37297228851153</v>
      </c>
      <c r="H74" s="142">
        <f t="shared" si="24"/>
        <v>157.63900630316982</v>
      </c>
      <c r="L74" s="145" t="s">
        <v>131</v>
      </c>
      <c r="M74" s="145">
        <v>140557361894.9017</v>
      </c>
      <c r="N74" s="145">
        <v>145420193686.68808</v>
      </c>
      <c r="O74" s="145">
        <v>154347427778.14859</v>
      </c>
      <c r="P74" s="145">
        <v>165056255483.83984</v>
      </c>
      <c r="Q74" s="145">
        <v>170558900855.74783</v>
      </c>
      <c r="R74" s="145">
        <v>176486532316.38904</v>
      </c>
      <c r="S74" s="145">
        <v>182572982369.04041</v>
      </c>
    </row>
    <row r="75" spans="1:19">
      <c r="A75" s="141" t="s">
        <v>216</v>
      </c>
      <c r="B75" s="142">
        <f t="shared" ref="B75:H75" si="25">M78/1000000000</f>
        <v>3.4508217526617528</v>
      </c>
      <c r="C75" s="142">
        <f t="shared" si="25"/>
        <v>3.5508766592063803</v>
      </c>
      <c r="D75" s="142">
        <f t="shared" si="25"/>
        <v>3.6413306180874225</v>
      </c>
      <c r="E75" s="142">
        <f t="shared" si="25"/>
        <v>3.9878849178930951</v>
      </c>
      <c r="F75" s="142">
        <f t="shared" si="25"/>
        <v>4.1212140710700478</v>
      </c>
      <c r="G75" s="142">
        <f t="shared" si="25"/>
        <v>4.2647533155770256</v>
      </c>
      <c r="H75" s="142">
        <f t="shared" si="25"/>
        <v>4.412143864482454</v>
      </c>
      <c r="L75" s="145" t="s">
        <v>128</v>
      </c>
      <c r="M75" s="145">
        <v>134150695634.72563</v>
      </c>
      <c r="N75" s="145">
        <v>138040330126.64804</v>
      </c>
      <c r="O75" s="145">
        <v>141556727778.14859</v>
      </c>
      <c r="P75" s="145">
        <v>155756255483.83984</v>
      </c>
      <c r="Q75" s="145">
        <v>160947968832.86469</v>
      </c>
      <c r="R75" s="145">
        <v>166540857691.50021</v>
      </c>
      <c r="S75" s="145">
        <v>172283583656.56061</v>
      </c>
    </row>
    <row r="76" spans="1:19">
      <c r="A76" s="141" t="s">
        <v>719</v>
      </c>
      <c r="B76" s="142">
        <f t="shared" ref="B76:H76" si="26">M77/1000000000</f>
        <v>4.4213653705978713</v>
      </c>
      <c r="C76" s="142">
        <f t="shared" si="26"/>
        <v>4.5495607196081744</v>
      </c>
      <c r="D76" s="142">
        <f t="shared" si="26"/>
        <v>4.6654548544245102</v>
      </c>
      <c r="E76" s="142">
        <f t="shared" si="26"/>
        <v>5.1094775510505279</v>
      </c>
      <c r="F76" s="142">
        <f t="shared" si="26"/>
        <v>5.2803055285584977</v>
      </c>
      <c r="G76" s="142">
        <f t="shared" si="26"/>
        <v>5.4642151855830638</v>
      </c>
      <c r="H76" s="142">
        <f t="shared" si="26"/>
        <v>5.6530593263681448</v>
      </c>
      <c r="L76" s="145" t="s">
        <v>655</v>
      </c>
      <c r="M76" s="145">
        <v>123292469313.61589</v>
      </c>
      <c r="N76" s="145">
        <v>126867274788.66397</v>
      </c>
      <c r="O76" s="145">
        <v>130099053405.17287</v>
      </c>
      <c r="P76" s="145">
        <v>142480897046.13608</v>
      </c>
      <c r="Q76" s="145">
        <v>147244539362.34671</v>
      </c>
      <c r="R76" s="145">
        <v>152372972288.51154</v>
      </c>
      <c r="S76" s="145">
        <v>157639006303.16983</v>
      </c>
    </row>
    <row r="77" spans="1:19">
      <c r="A77" s="137" t="s">
        <v>130</v>
      </c>
      <c r="B77" s="142">
        <f t="shared" ref="B77:H77" si="27">M79/1000000000</f>
        <v>6.4066662601760855</v>
      </c>
      <c r="C77" s="142">
        <f t="shared" si="27"/>
        <v>7.3798635600400013</v>
      </c>
      <c r="D77" s="142">
        <f t="shared" si="27"/>
        <v>12.790699999999999</v>
      </c>
      <c r="E77" s="142">
        <f t="shared" si="27"/>
        <v>9.3000000000000007</v>
      </c>
      <c r="F77" s="142">
        <f t="shared" si="27"/>
        <v>9.6109320228831372</v>
      </c>
      <c r="G77" s="142">
        <f t="shared" si="27"/>
        <v>9.9456746248888592</v>
      </c>
      <c r="H77" s="142">
        <f t="shared" si="27"/>
        <v>10.289398712479802</v>
      </c>
      <c r="L77" s="145" t="s">
        <v>719</v>
      </c>
      <c r="M77" s="145">
        <v>4421365370.5978708</v>
      </c>
      <c r="N77" s="145">
        <v>4549560719.6081743</v>
      </c>
      <c r="O77" s="145">
        <v>4665454854.42451</v>
      </c>
      <c r="P77" s="145">
        <v>5109477551.0505276</v>
      </c>
      <c r="Q77" s="145">
        <v>5280305528.5584974</v>
      </c>
      <c r="R77" s="145">
        <v>5464215185.5830641</v>
      </c>
      <c r="S77" s="145">
        <v>5653059326.368145</v>
      </c>
    </row>
    <row r="78" spans="1:19" ht="15" thickBot="1">
      <c r="A78" s="143" t="s">
        <v>131</v>
      </c>
      <c r="B78" s="144">
        <f t="shared" ref="B78:H78" si="28">M74/1000000000</f>
        <v>140.5573618949017</v>
      </c>
      <c r="C78" s="144">
        <f t="shared" si="28"/>
        <v>145.42019368668807</v>
      </c>
      <c r="D78" s="144">
        <f t="shared" si="28"/>
        <v>154.34742777814859</v>
      </c>
      <c r="E78" s="144">
        <f t="shared" si="28"/>
        <v>165.05625548383983</v>
      </c>
      <c r="F78" s="144">
        <f t="shared" si="28"/>
        <v>170.55890085574782</v>
      </c>
      <c r="G78" s="144">
        <f t="shared" si="28"/>
        <v>176.48653231638903</v>
      </c>
      <c r="H78" s="144">
        <f t="shared" si="28"/>
        <v>182.5729823690404</v>
      </c>
      <c r="L78" s="145" t="s">
        <v>1777</v>
      </c>
      <c r="M78" s="145">
        <v>3450821752.6617527</v>
      </c>
      <c r="N78" s="145">
        <v>3550876659.2063804</v>
      </c>
      <c r="O78" s="145">
        <v>3641330618.0874224</v>
      </c>
      <c r="P78" s="145">
        <v>3987884917.893095</v>
      </c>
      <c r="Q78" s="145">
        <v>4121214071.0700474</v>
      </c>
      <c r="R78" s="145">
        <v>4264753315.5770259</v>
      </c>
      <c r="S78" s="145">
        <v>4412143864.4824543</v>
      </c>
    </row>
    <row r="79" spans="1:19">
      <c r="L79" s="145" t="s">
        <v>130</v>
      </c>
      <c r="M79" s="145">
        <v>6406666260.1760855</v>
      </c>
      <c r="N79" s="145">
        <v>7379863560.0400009</v>
      </c>
      <c r="O79" s="145">
        <v>12790700000</v>
      </c>
      <c r="P79" s="145">
        <v>9300000000</v>
      </c>
      <c r="Q79" s="145">
        <v>9610932022.8831367</v>
      </c>
      <c r="R79" s="145">
        <v>9945674624.8888588</v>
      </c>
      <c r="S79" s="145">
        <v>10289398712.479801</v>
      </c>
    </row>
  </sheetData>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88D5C-07C8-4BF6-8F1A-506AC7810DCB}">
  <dimension ref="A1:CQ51"/>
  <sheetViews>
    <sheetView zoomScale="55" zoomScaleNormal="55" workbookViewId="0">
      <selection activeCell="U57" sqref="U57"/>
    </sheetView>
  </sheetViews>
  <sheetFormatPr defaultRowHeight="14.5"/>
  <cols>
    <col min="1" max="1" width="13.54296875" bestFit="1" customWidth="1"/>
    <col min="2" max="2" width="17.81640625" bestFit="1" customWidth="1"/>
  </cols>
  <sheetData>
    <row r="1" spans="1:95">
      <c r="A1" t="str">
        <f>[177]Sheet1!D33</f>
        <v>All</v>
      </c>
    </row>
    <row r="2" spans="1:95" ht="18">
      <c r="A2" t="str">
        <f>[177]Sheet1!A34</f>
        <v xml:space="preserve">Total </v>
      </c>
      <c r="B2" t="str">
        <f>[177]Sheet1!C34</f>
        <v>YEAR</v>
      </c>
      <c r="C2">
        <f>[177]Sheet1!D34</f>
        <v>0</v>
      </c>
      <c r="D2">
        <f>[177]Sheet1!E34</f>
        <v>1</v>
      </c>
      <c r="E2">
        <f>[177]Sheet1!F34</f>
        <v>2</v>
      </c>
      <c r="F2">
        <f>[177]Sheet1!G34</f>
        <v>3</v>
      </c>
      <c r="G2">
        <f>[177]Sheet1!H34</f>
        <v>4</v>
      </c>
      <c r="H2">
        <f>[177]Sheet1!I34</f>
        <v>5</v>
      </c>
      <c r="I2">
        <f>[177]Sheet1!J34</f>
        <v>6</v>
      </c>
      <c r="J2">
        <f>[177]Sheet1!K34</f>
        <v>7</v>
      </c>
      <c r="K2">
        <f>[177]Sheet1!L34</f>
        <v>8</v>
      </c>
      <c r="L2">
        <f>[177]Sheet1!M34</f>
        <v>9</v>
      </c>
      <c r="M2">
        <f>[177]Sheet1!N34</f>
        <v>10</v>
      </c>
      <c r="N2">
        <f>[177]Sheet1!O34</f>
        <v>11</v>
      </c>
      <c r="O2">
        <f>[177]Sheet1!P34</f>
        <v>12</v>
      </c>
      <c r="P2">
        <f>[177]Sheet1!Q34</f>
        <v>13</v>
      </c>
      <c r="Q2">
        <f>[177]Sheet1!R34</f>
        <v>14</v>
      </c>
      <c r="R2">
        <f>[177]Sheet1!S34</f>
        <v>15</v>
      </c>
      <c r="S2">
        <f>[177]Sheet1!T34</f>
        <v>16</v>
      </c>
      <c r="T2">
        <f>[177]Sheet1!U34</f>
        <v>17</v>
      </c>
      <c r="U2">
        <f>[177]Sheet1!V34</f>
        <v>18</v>
      </c>
      <c r="V2">
        <f>[177]Sheet1!W34</f>
        <v>19</v>
      </c>
      <c r="W2">
        <f>[177]Sheet1!X34</f>
        <v>20</v>
      </c>
      <c r="X2">
        <f>[177]Sheet1!Y34</f>
        <v>21</v>
      </c>
      <c r="Y2">
        <f>[177]Sheet1!Z34</f>
        <v>22</v>
      </c>
      <c r="Z2">
        <f>[177]Sheet1!AA34</f>
        <v>23</v>
      </c>
      <c r="AA2">
        <f>[177]Sheet1!AB34</f>
        <v>24</v>
      </c>
      <c r="AB2">
        <f>[177]Sheet1!AC34</f>
        <v>25</v>
      </c>
      <c r="AC2">
        <f>[177]Sheet1!AD34</f>
        <v>26</v>
      </c>
      <c r="AD2">
        <f>[177]Sheet1!AE34</f>
        <v>27</v>
      </c>
      <c r="AE2">
        <f>[177]Sheet1!AF34</f>
        <v>28</v>
      </c>
      <c r="AF2">
        <f>[177]Sheet1!AG34</f>
        <v>29</v>
      </c>
      <c r="AG2">
        <f>[177]Sheet1!AH34</f>
        <v>30</v>
      </c>
      <c r="AH2">
        <f>[177]Sheet1!AI34</f>
        <v>31</v>
      </c>
      <c r="AI2">
        <f>[177]Sheet1!AJ34</f>
        <v>32</v>
      </c>
      <c r="AJ2">
        <f>[177]Sheet1!AK34</f>
        <v>33</v>
      </c>
      <c r="AK2">
        <f>[177]Sheet1!AL34</f>
        <v>34</v>
      </c>
      <c r="AL2">
        <f>[177]Sheet1!AM34</f>
        <v>35</v>
      </c>
      <c r="AM2">
        <f>[177]Sheet1!AN34</f>
        <v>36</v>
      </c>
      <c r="AN2">
        <f>[177]Sheet1!AO34</f>
        <v>37</v>
      </c>
      <c r="AO2">
        <f>[177]Sheet1!AP34</f>
        <v>38</v>
      </c>
      <c r="AP2">
        <f>[177]Sheet1!AQ34</f>
        <v>39</v>
      </c>
      <c r="AQ2">
        <f>[177]Sheet1!AR34</f>
        <v>40</v>
      </c>
      <c r="AR2">
        <f>[177]Sheet1!AS34</f>
        <v>41</v>
      </c>
      <c r="AS2">
        <f>[177]Sheet1!AT34</f>
        <v>42</v>
      </c>
      <c r="AT2">
        <f>[177]Sheet1!AU34</f>
        <v>43</v>
      </c>
      <c r="AU2">
        <f>[177]Sheet1!AV34</f>
        <v>44</v>
      </c>
      <c r="AV2">
        <f>[177]Sheet1!AW34</f>
        <v>45</v>
      </c>
      <c r="AW2">
        <f>[177]Sheet1!AX34</f>
        <v>46</v>
      </c>
      <c r="AX2">
        <f>[177]Sheet1!AY34</f>
        <v>47</v>
      </c>
      <c r="AY2">
        <f>[177]Sheet1!AZ34</f>
        <v>48</v>
      </c>
      <c r="AZ2">
        <f>[177]Sheet1!BA34</f>
        <v>49</v>
      </c>
      <c r="BA2">
        <f>[177]Sheet1!BB34</f>
        <v>50</v>
      </c>
      <c r="BB2">
        <f>[177]Sheet1!BC34</f>
        <v>51</v>
      </c>
      <c r="BC2">
        <f>[177]Sheet1!BD34</f>
        <v>52</v>
      </c>
      <c r="BD2">
        <f>[177]Sheet1!BE34</f>
        <v>53</v>
      </c>
      <c r="BE2">
        <f>[177]Sheet1!BF34</f>
        <v>54</v>
      </c>
      <c r="BF2">
        <f>[177]Sheet1!BG34</f>
        <v>55</v>
      </c>
      <c r="BG2">
        <f>[177]Sheet1!BH34</f>
        <v>56</v>
      </c>
      <c r="BH2">
        <f>[177]Sheet1!BI34</f>
        <v>57</v>
      </c>
      <c r="BI2">
        <f>[177]Sheet1!BJ34</f>
        <v>58</v>
      </c>
      <c r="BJ2">
        <f>[177]Sheet1!BK34</f>
        <v>59</v>
      </c>
      <c r="BK2">
        <f>[177]Sheet1!BL34</f>
        <v>60</v>
      </c>
      <c r="BL2">
        <f>[177]Sheet1!BM34</f>
        <v>61</v>
      </c>
      <c r="BM2">
        <f>[177]Sheet1!BN34</f>
        <v>62</v>
      </c>
      <c r="BN2">
        <f>[177]Sheet1!BO34</f>
        <v>63</v>
      </c>
      <c r="BO2">
        <f>[177]Sheet1!BP34</f>
        <v>64</v>
      </c>
      <c r="BP2">
        <f>[177]Sheet1!BQ34</f>
        <v>65</v>
      </c>
      <c r="BQ2">
        <f>[177]Sheet1!BR34</f>
        <v>66</v>
      </c>
      <c r="BR2">
        <f>[177]Sheet1!BS34</f>
        <v>67</v>
      </c>
      <c r="BS2">
        <f>[177]Sheet1!BT34</f>
        <v>68</v>
      </c>
      <c r="BT2">
        <f>[177]Sheet1!BU34</f>
        <v>69</v>
      </c>
      <c r="BU2">
        <f>[177]Sheet1!BV34</f>
        <v>70</v>
      </c>
      <c r="BV2">
        <f>[177]Sheet1!BW34</f>
        <v>71</v>
      </c>
      <c r="BW2">
        <f>[177]Sheet1!BX34</f>
        <v>72</v>
      </c>
      <c r="BX2">
        <f>[177]Sheet1!BY34</f>
        <v>73</v>
      </c>
      <c r="BY2">
        <f>[177]Sheet1!BZ34</f>
        <v>74</v>
      </c>
      <c r="BZ2">
        <f>[177]Sheet1!CA34</f>
        <v>75</v>
      </c>
      <c r="CA2">
        <f>[177]Sheet1!CB34</f>
        <v>76</v>
      </c>
      <c r="CB2">
        <f>[177]Sheet1!CC34</f>
        <v>77</v>
      </c>
      <c r="CC2">
        <f>[177]Sheet1!CD34</f>
        <v>78</v>
      </c>
      <c r="CD2">
        <f>[177]Sheet1!CE34</f>
        <v>79</v>
      </c>
      <c r="CE2">
        <f>[177]Sheet1!CF34</f>
        <v>80</v>
      </c>
      <c r="CF2">
        <f>[177]Sheet1!CG34</f>
        <v>81</v>
      </c>
      <c r="CG2">
        <f>[177]Sheet1!CH34</f>
        <v>82</v>
      </c>
      <c r="CH2">
        <f>[177]Sheet1!CI34</f>
        <v>83</v>
      </c>
      <c r="CI2">
        <f>[177]Sheet1!CJ34</f>
        <v>84</v>
      </c>
      <c r="CJ2">
        <f>[177]Sheet1!CK34</f>
        <v>85</v>
      </c>
      <c r="CK2">
        <f>[177]Sheet1!CL34</f>
        <v>86</v>
      </c>
      <c r="CL2">
        <f>[177]Sheet1!CM34</f>
        <v>87</v>
      </c>
      <c r="CM2">
        <f>[177]Sheet1!CN34</f>
        <v>88</v>
      </c>
      <c r="CN2">
        <f>[177]Sheet1!CO34</f>
        <v>89</v>
      </c>
      <c r="CO2" t="str">
        <f>[177]Sheet1!CP34</f>
        <v>90+</v>
      </c>
      <c r="CQ2" s="261" t="s">
        <v>403</v>
      </c>
    </row>
    <row r="3" spans="1:95" ht="18">
      <c r="A3" s="260">
        <v>49449746</v>
      </c>
      <c r="B3" s="257">
        <v>2001</v>
      </c>
      <c r="C3">
        <v>557502</v>
      </c>
      <c r="D3">
        <v>572104</v>
      </c>
      <c r="E3">
        <v>586546</v>
      </c>
      <c r="F3">
        <v>596281</v>
      </c>
      <c r="G3">
        <v>611406</v>
      </c>
      <c r="H3">
        <v>607008</v>
      </c>
      <c r="I3">
        <v>608881</v>
      </c>
      <c r="J3">
        <v>623653</v>
      </c>
      <c r="K3">
        <v>630796</v>
      </c>
      <c r="L3">
        <v>650450</v>
      </c>
      <c r="M3">
        <v>660955</v>
      </c>
      <c r="N3">
        <v>650382</v>
      </c>
      <c r="O3">
        <v>642727</v>
      </c>
      <c r="P3">
        <v>650171</v>
      </c>
      <c r="Q3">
        <v>633826</v>
      </c>
      <c r="R3">
        <v>625706</v>
      </c>
      <c r="S3">
        <v>629729</v>
      </c>
      <c r="T3">
        <v>607690</v>
      </c>
      <c r="U3">
        <v>593746</v>
      </c>
      <c r="V3">
        <v>588129</v>
      </c>
      <c r="W3">
        <v>612518</v>
      </c>
      <c r="X3">
        <v>616613</v>
      </c>
      <c r="Y3">
        <v>599160</v>
      </c>
      <c r="Z3">
        <v>576893</v>
      </c>
      <c r="AA3">
        <v>581400</v>
      </c>
      <c r="AB3">
        <v>603724</v>
      </c>
      <c r="AC3">
        <v>630571</v>
      </c>
      <c r="AD3">
        <v>654561</v>
      </c>
      <c r="AE3">
        <v>696247</v>
      </c>
      <c r="AF3">
        <v>735365</v>
      </c>
      <c r="AG3">
        <v>756225</v>
      </c>
      <c r="AH3">
        <v>750268</v>
      </c>
      <c r="AI3">
        <v>770400</v>
      </c>
      <c r="AJ3">
        <v>777463</v>
      </c>
      <c r="AK3">
        <v>796206</v>
      </c>
      <c r="AL3">
        <v>796931</v>
      </c>
      <c r="AM3">
        <v>798783</v>
      </c>
      <c r="AN3">
        <v>790570</v>
      </c>
      <c r="AO3">
        <v>776545</v>
      </c>
      <c r="AP3">
        <v>756143</v>
      </c>
      <c r="AQ3">
        <v>736326</v>
      </c>
      <c r="AR3">
        <v>708830</v>
      </c>
      <c r="AS3">
        <v>694600</v>
      </c>
      <c r="AT3">
        <v>685074</v>
      </c>
      <c r="AU3">
        <v>663083</v>
      </c>
      <c r="AV3">
        <v>640280</v>
      </c>
      <c r="AW3">
        <v>624378</v>
      </c>
      <c r="AX3">
        <v>627954</v>
      </c>
      <c r="AY3">
        <v>621132</v>
      </c>
      <c r="AZ3">
        <v>615223</v>
      </c>
      <c r="BA3">
        <v>617818</v>
      </c>
      <c r="BB3">
        <v>636516</v>
      </c>
      <c r="BC3">
        <v>657414</v>
      </c>
      <c r="BD3">
        <v>707124</v>
      </c>
      <c r="BE3">
        <v>745951</v>
      </c>
      <c r="BF3">
        <v>607770</v>
      </c>
      <c r="BG3">
        <v>593845</v>
      </c>
      <c r="BH3">
        <v>579578</v>
      </c>
      <c r="BI3">
        <v>553477</v>
      </c>
      <c r="BJ3">
        <v>498114</v>
      </c>
      <c r="BK3">
        <v>467092</v>
      </c>
      <c r="BL3">
        <v>487005</v>
      </c>
      <c r="BM3">
        <v>488071</v>
      </c>
      <c r="BN3">
        <v>482757</v>
      </c>
      <c r="BO3">
        <v>470534</v>
      </c>
      <c r="BP3">
        <v>456222</v>
      </c>
      <c r="BQ3">
        <v>441673</v>
      </c>
      <c r="BR3">
        <v>423029</v>
      </c>
      <c r="BS3">
        <v>419424</v>
      </c>
      <c r="BT3">
        <v>419748</v>
      </c>
      <c r="BU3">
        <v>418497</v>
      </c>
      <c r="BV3">
        <v>406238</v>
      </c>
      <c r="BW3">
        <v>389768</v>
      </c>
      <c r="BX3">
        <v>372608</v>
      </c>
      <c r="BY3">
        <v>365793</v>
      </c>
      <c r="BZ3">
        <v>354946</v>
      </c>
      <c r="CA3">
        <v>339266</v>
      </c>
      <c r="CB3">
        <v>326016</v>
      </c>
      <c r="CC3">
        <v>313336</v>
      </c>
      <c r="CD3">
        <v>311163</v>
      </c>
      <c r="CE3">
        <v>308622</v>
      </c>
      <c r="CF3">
        <v>287067</v>
      </c>
      <c r="CG3">
        <v>200110</v>
      </c>
      <c r="CH3">
        <v>160327</v>
      </c>
      <c r="CI3">
        <v>162830</v>
      </c>
      <c r="CJ3">
        <v>155219</v>
      </c>
      <c r="CK3">
        <v>148434</v>
      </c>
      <c r="CL3">
        <v>130533</v>
      </c>
      <c r="CM3">
        <v>111700</v>
      </c>
      <c r="CN3">
        <v>92390</v>
      </c>
      <c r="CO3">
        <v>320567</v>
      </c>
      <c r="CQ3">
        <f t="shared" ref="CQ3:CQ21" si="0">SUM(C3:CO3)</f>
        <v>49449746</v>
      </c>
    </row>
    <row r="4" spans="1:95" ht="18">
      <c r="A4" s="260">
        <v>49679267</v>
      </c>
      <c r="B4" s="257">
        <f t="shared" ref="B4:B10" si="1">B3+1</f>
        <v>2002</v>
      </c>
      <c r="C4">
        <v>559072</v>
      </c>
      <c r="D4">
        <v>559188</v>
      </c>
      <c r="E4">
        <v>574416</v>
      </c>
      <c r="F4">
        <v>589440</v>
      </c>
      <c r="G4">
        <v>599405</v>
      </c>
      <c r="H4">
        <v>614820</v>
      </c>
      <c r="I4">
        <v>610238</v>
      </c>
      <c r="J4">
        <v>611499</v>
      </c>
      <c r="K4">
        <v>626939</v>
      </c>
      <c r="L4">
        <v>632843</v>
      </c>
      <c r="M4">
        <v>652912</v>
      </c>
      <c r="N4">
        <v>663404</v>
      </c>
      <c r="O4">
        <v>650721</v>
      </c>
      <c r="P4">
        <v>642301</v>
      </c>
      <c r="Q4">
        <v>648646</v>
      </c>
      <c r="R4">
        <v>632470</v>
      </c>
      <c r="S4">
        <v>626288</v>
      </c>
      <c r="T4">
        <v>630897</v>
      </c>
      <c r="U4">
        <v>611942</v>
      </c>
      <c r="V4">
        <v>602402</v>
      </c>
      <c r="W4">
        <v>596031</v>
      </c>
      <c r="X4">
        <v>623727</v>
      </c>
      <c r="Y4">
        <v>631273</v>
      </c>
      <c r="Z4">
        <v>614417</v>
      </c>
      <c r="AA4">
        <v>590051</v>
      </c>
      <c r="AB4">
        <v>592793</v>
      </c>
      <c r="AC4">
        <v>613740</v>
      </c>
      <c r="AD4">
        <v>639044</v>
      </c>
      <c r="AE4">
        <v>662416</v>
      </c>
      <c r="AF4">
        <v>702910</v>
      </c>
      <c r="AG4">
        <v>737388</v>
      </c>
      <c r="AH4">
        <v>758547</v>
      </c>
      <c r="AI4">
        <v>752195</v>
      </c>
      <c r="AJ4">
        <v>771688</v>
      </c>
      <c r="AK4">
        <v>778255</v>
      </c>
      <c r="AL4">
        <v>797150</v>
      </c>
      <c r="AM4">
        <v>798043</v>
      </c>
      <c r="AN4">
        <v>799886</v>
      </c>
      <c r="AO4">
        <v>791707</v>
      </c>
      <c r="AP4">
        <v>777880</v>
      </c>
      <c r="AQ4">
        <v>759053</v>
      </c>
      <c r="AR4">
        <v>738179</v>
      </c>
      <c r="AS4">
        <v>710610</v>
      </c>
      <c r="AT4">
        <v>696153</v>
      </c>
      <c r="AU4">
        <v>686134</v>
      </c>
      <c r="AV4">
        <v>659475</v>
      </c>
      <c r="AW4">
        <v>637082</v>
      </c>
      <c r="AX4">
        <v>620510</v>
      </c>
      <c r="AY4">
        <v>624345</v>
      </c>
      <c r="AZ4">
        <v>618189</v>
      </c>
      <c r="BA4">
        <v>613054</v>
      </c>
      <c r="BB4">
        <v>615886</v>
      </c>
      <c r="BC4">
        <v>634206</v>
      </c>
      <c r="BD4">
        <v>654633</v>
      </c>
      <c r="BE4">
        <v>703103</v>
      </c>
      <c r="BF4">
        <v>743699</v>
      </c>
      <c r="BG4">
        <v>602983</v>
      </c>
      <c r="BH4">
        <v>589067</v>
      </c>
      <c r="BI4">
        <v>576221</v>
      </c>
      <c r="BJ4">
        <v>549000</v>
      </c>
      <c r="BK4">
        <v>494062</v>
      </c>
      <c r="BL4">
        <v>462138</v>
      </c>
      <c r="BM4">
        <v>481872</v>
      </c>
      <c r="BN4">
        <v>482751</v>
      </c>
      <c r="BO4">
        <v>477024</v>
      </c>
      <c r="BP4">
        <v>463742</v>
      </c>
      <c r="BQ4">
        <v>449207</v>
      </c>
      <c r="BR4">
        <v>434613</v>
      </c>
      <c r="BS4">
        <v>415454</v>
      </c>
      <c r="BT4">
        <v>411016</v>
      </c>
      <c r="BU4">
        <v>410775</v>
      </c>
      <c r="BV4">
        <v>408208</v>
      </c>
      <c r="BW4">
        <v>395400</v>
      </c>
      <c r="BX4">
        <v>378019</v>
      </c>
      <c r="BY4">
        <v>360196</v>
      </c>
      <c r="BZ4">
        <v>352165</v>
      </c>
      <c r="CA4">
        <v>340193</v>
      </c>
      <c r="CB4">
        <v>323900</v>
      </c>
      <c r="CC4">
        <v>309949</v>
      </c>
      <c r="CD4">
        <v>296628</v>
      </c>
      <c r="CE4">
        <v>292254</v>
      </c>
      <c r="CF4">
        <v>287985</v>
      </c>
      <c r="CG4">
        <v>265030</v>
      </c>
      <c r="CH4">
        <v>185183</v>
      </c>
      <c r="CI4">
        <v>145996</v>
      </c>
      <c r="CJ4">
        <v>146730</v>
      </c>
      <c r="CK4">
        <v>138062</v>
      </c>
      <c r="CL4">
        <v>130664</v>
      </c>
      <c r="CM4">
        <v>113448</v>
      </c>
      <c r="CN4">
        <v>95465</v>
      </c>
      <c r="CO4">
        <v>330572</v>
      </c>
      <c r="CQ4">
        <f t="shared" si="0"/>
        <v>49679267</v>
      </c>
    </row>
    <row r="5" spans="1:95" ht="18">
      <c r="A5" s="260">
        <v>49925517</v>
      </c>
      <c r="B5" s="257">
        <f t="shared" si="1"/>
        <v>2003</v>
      </c>
      <c r="C5">
        <v>575898</v>
      </c>
      <c r="D5">
        <v>559670</v>
      </c>
      <c r="E5">
        <v>561672</v>
      </c>
      <c r="F5">
        <v>577061</v>
      </c>
      <c r="G5">
        <v>592909</v>
      </c>
      <c r="H5">
        <v>603012</v>
      </c>
      <c r="I5">
        <v>618423</v>
      </c>
      <c r="J5">
        <v>614219</v>
      </c>
      <c r="K5">
        <v>614737</v>
      </c>
      <c r="L5">
        <v>630410</v>
      </c>
      <c r="M5">
        <v>635470</v>
      </c>
      <c r="N5">
        <v>655147</v>
      </c>
      <c r="O5">
        <v>665542</v>
      </c>
      <c r="P5">
        <v>651555</v>
      </c>
      <c r="Q5">
        <v>642784</v>
      </c>
      <c r="R5">
        <v>650495</v>
      </c>
      <c r="S5">
        <v>634417</v>
      </c>
      <c r="T5">
        <v>630318</v>
      </c>
      <c r="U5">
        <v>637983</v>
      </c>
      <c r="V5">
        <v>622459</v>
      </c>
      <c r="W5">
        <v>608883</v>
      </c>
      <c r="X5">
        <v>607081</v>
      </c>
      <c r="Y5">
        <v>636193</v>
      </c>
      <c r="Z5">
        <v>645179</v>
      </c>
      <c r="AA5">
        <v>628006</v>
      </c>
      <c r="AB5">
        <v>600961</v>
      </c>
      <c r="AC5">
        <v>603217</v>
      </c>
      <c r="AD5">
        <v>622938</v>
      </c>
      <c r="AE5">
        <v>647392</v>
      </c>
      <c r="AF5">
        <v>669860</v>
      </c>
      <c r="AG5">
        <v>705708</v>
      </c>
      <c r="AH5">
        <v>739403</v>
      </c>
      <c r="AI5">
        <v>761424</v>
      </c>
      <c r="AJ5">
        <v>753478</v>
      </c>
      <c r="AK5">
        <v>772638</v>
      </c>
      <c r="AL5">
        <v>779044</v>
      </c>
      <c r="AM5">
        <v>797142</v>
      </c>
      <c r="AN5">
        <v>798308</v>
      </c>
      <c r="AO5">
        <v>800337</v>
      </c>
      <c r="AP5">
        <v>792520</v>
      </c>
      <c r="AQ5">
        <v>777246</v>
      </c>
      <c r="AR5">
        <v>758729</v>
      </c>
      <c r="AS5">
        <v>737587</v>
      </c>
      <c r="AT5">
        <v>710041</v>
      </c>
      <c r="AU5">
        <v>695616</v>
      </c>
      <c r="AV5">
        <v>684913</v>
      </c>
      <c r="AW5">
        <v>658477</v>
      </c>
      <c r="AX5">
        <v>636182</v>
      </c>
      <c r="AY5">
        <v>618962</v>
      </c>
      <c r="AZ5">
        <v>622908</v>
      </c>
      <c r="BA5">
        <v>615969</v>
      </c>
      <c r="BB5">
        <v>609813</v>
      </c>
      <c r="BC5">
        <v>612857</v>
      </c>
      <c r="BD5">
        <v>630774</v>
      </c>
      <c r="BE5">
        <v>650785</v>
      </c>
      <c r="BF5">
        <v>696732</v>
      </c>
      <c r="BG5">
        <v>739466</v>
      </c>
      <c r="BH5">
        <v>596688</v>
      </c>
      <c r="BI5">
        <v>583159</v>
      </c>
      <c r="BJ5">
        <v>571623</v>
      </c>
      <c r="BK5">
        <v>544274</v>
      </c>
      <c r="BL5">
        <v>489775</v>
      </c>
      <c r="BM5">
        <v>456714</v>
      </c>
      <c r="BN5">
        <v>476283</v>
      </c>
      <c r="BO5">
        <v>476991</v>
      </c>
      <c r="BP5">
        <v>470131</v>
      </c>
      <c r="BQ5">
        <v>456287</v>
      </c>
      <c r="BR5">
        <v>441787</v>
      </c>
      <c r="BS5">
        <v>427136</v>
      </c>
      <c r="BT5">
        <v>407126</v>
      </c>
      <c r="BU5">
        <v>401983</v>
      </c>
      <c r="BV5">
        <v>401191</v>
      </c>
      <c r="BW5">
        <v>397268</v>
      </c>
      <c r="BX5">
        <v>383808</v>
      </c>
      <c r="BY5">
        <v>365734</v>
      </c>
      <c r="BZ5">
        <v>347254</v>
      </c>
      <c r="CA5">
        <v>337785</v>
      </c>
      <c r="CB5">
        <v>324901</v>
      </c>
      <c r="CC5">
        <v>307977</v>
      </c>
      <c r="CD5">
        <v>293156</v>
      </c>
      <c r="CE5">
        <v>278916</v>
      </c>
      <c r="CF5">
        <v>273151</v>
      </c>
      <c r="CG5">
        <v>266722</v>
      </c>
      <c r="CH5">
        <v>242773</v>
      </c>
      <c r="CI5">
        <v>170294</v>
      </c>
      <c r="CJ5">
        <v>131445</v>
      </c>
      <c r="CK5">
        <v>130797</v>
      </c>
      <c r="CL5">
        <v>121222</v>
      </c>
      <c r="CM5">
        <v>113634</v>
      </c>
      <c r="CN5">
        <v>96967</v>
      </c>
      <c r="CO5">
        <v>339615</v>
      </c>
      <c r="CQ5">
        <f t="shared" si="0"/>
        <v>49925517</v>
      </c>
    </row>
    <row r="6" spans="1:95" ht="18">
      <c r="A6" s="260">
        <v>50194600</v>
      </c>
      <c r="B6" s="257">
        <f t="shared" si="1"/>
        <v>2004</v>
      </c>
      <c r="C6">
        <v>597087</v>
      </c>
      <c r="D6">
        <v>575093</v>
      </c>
      <c r="E6">
        <v>560054</v>
      </c>
      <c r="F6">
        <v>563931</v>
      </c>
      <c r="G6">
        <v>579825</v>
      </c>
      <c r="H6">
        <v>596528</v>
      </c>
      <c r="I6">
        <v>606000</v>
      </c>
      <c r="J6">
        <v>621878</v>
      </c>
      <c r="K6">
        <v>617893</v>
      </c>
      <c r="L6">
        <v>617567</v>
      </c>
      <c r="M6">
        <v>632425</v>
      </c>
      <c r="N6">
        <v>636571</v>
      </c>
      <c r="O6">
        <v>655097</v>
      </c>
      <c r="P6">
        <v>665401</v>
      </c>
      <c r="Q6">
        <v>649740</v>
      </c>
      <c r="R6">
        <v>644054</v>
      </c>
      <c r="S6">
        <v>652594</v>
      </c>
      <c r="T6">
        <v>636158</v>
      </c>
      <c r="U6">
        <v>636682</v>
      </c>
      <c r="V6">
        <v>649084</v>
      </c>
      <c r="W6">
        <v>630928</v>
      </c>
      <c r="X6">
        <v>624523</v>
      </c>
      <c r="Y6">
        <v>627661</v>
      </c>
      <c r="Z6">
        <v>656866</v>
      </c>
      <c r="AA6">
        <v>666626</v>
      </c>
      <c r="AB6">
        <v>641493</v>
      </c>
      <c r="AC6">
        <v>611604</v>
      </c>
      <c r="AD6">
        <v>612991</v>
      </c>
      <c r="AE6">
        <v>632020</v>
      </c>
      <c r="AF6">
        <v>655221</v>
      </c>
      <c r="AG6">
        <v>671763</v>
      </c>
      <c r="AH6">
        <v>707659</v>
      </c>
      <c r="AI6">
        <v>740197</v>
      </c>
      <c r="AJ6">
        <v>762433</v>
      </c>
      <c r="AK6">
        <v>753567</v>
      </c>
      <c r="AL6">
        <v>773674</v>
      </c>
      <c r="AM6">
        <v>779322</v>
      </c>
      <c r="AN6">
        <v>796931</v>
      </c>
      <c r="AO6">
        <v>798103</v>
      </c>
      <c r="AP6">
        <v>800278</v>
      </c>
      <c r="AQ6">
        <v>790918</v>
      </c>
      <c r="AR6">
        <v>775413</v>
      </c>
      <c r="AS6">
        <v>757677</v>
      </c>
      <c r="AT6">
        <v>735705</v>
      </c>
      <c r="AU6">
        <v>708471</v>
      </c>
      <c r="AV6">
        <v>694444</v>
      </c>
      <c r="AW6">
        <v>683283</v>
      </c>
      <c r="AX6">
        <v>656854</v>
      </c>
      <c r="AY6">
        <v>634734</v>
      </c>
      <c r="AZ6">
        <v>616718</v>
      </c>
      <c r="BA6">
        <v>619389</v>
      </c>
      <c r="BB6">
        <v>612944</v>
      </c>
      <c r="BC6">
        <v>605649</v>
      </c>
      <c r="BD6">
        <v>609051</v>
      </c>
      <c r="BE6">
        <v>626331</v>
      </c>
      <c r="BF6">
        <v>646422</v>
      </c>
      <c r="BG6">
        <v>690908</v>
      </c>
      <c r="BH6">
        <v>735994</v>
      </c>
      <c r="BI6">
        <v>591242</v>
      </c>
      <c r="BJ6">
        <v>577547</v>
      </c>
      <c r="BK6">
        <v>567349</v>
      </c>
      <c r="BL6">
        <v>538939</v>
      </c>
      <c r="BM6">
        <v>484664</v>
      </c>
      <c r="BN6">
        <v>450629</v>
      </c>
      <c r="BO6">
        <v>469943</v>
      </c>
      <c r="BP6">
        <v>469704</v>
      </c>
      <c r="BQ6">
        <v>462860</v>
      </c>
      <c r="BR6">
        <v>448542</v>
      </c>
      <c r="BS6">
        <v>433634</v>
      </c>
      <c r="BT6">
        <v>418632</v>
      </c>
      <c r="BU6">
        <v>398479</v>
      </c>
      <c r="BV6">
        <v>392444</v>
      </c>
      <c r="BW6">
        <v>390808</v>
      </c>
      <c r="BX6">
        <v>385862</v>
      </c>
      <c r="BY6">
        <v>371782</v>
      </c>
      <c r="BZ6">
        <v>352724</v>
      </c>
      <c r="CA6">
        <v>333902</v>
      </c>
      <c r="CB6">
        <v>322960</v>
      </c>
      <c r="CC6">
        <v>309201</v>
      </c>
      <c r="CD6">
        <v>291641</v>
      </c>
      <c r="CE6">
        <v>275976</v>
      </c>
      <c r="CF6">
        <v>260834</v>
      </c>
      <c r="CG6">
        <v>253561</v>
      </c>
      <c r="CH6">
        <v>245130</v>
      </c>
      <c r="CI6">
        <v>220242</v>
      </c>
      <c r="CJ6">
        <v>155275</v>
      </c>
      <c r="CK6">
        <v>116735</v>
      </c>
      <c r="CL6">
        <v>115021</v>
      </c>
      <c r="CM6">
        <v>104845</v>
      </c>
      <c r="CN6">
        <v>97353</v>
      </c>
      <c r="CO6">
        <v>347713</v>
      </c>
      <c r="CQ6">
        <f t="shared" si="0"/>
        <v>50194600</v>
      </c>
    </row>
    <row r="7" spans="1:95" ht="18">
      <c r="A7" s="260">
        <v>50606034</v>
      </c>
      <c r="B7" s="257">
        <f t="shared" si="1"/>
        <v>2005</v>
      </c>
      <c r="C7">
        <v>606776</v>
      </c>
      <c r="D7">
        <v>596809</v>
      </c>
      <c r="E7">
        <v>575954</v>
      </c>
      <c r="F7">
        <v>561503</v>
      </c>
      <c r="G7">
        <v>566945</v>
      </c>
      <c r="H7">
        <v>581227</v>
      </c>
      <c r="I7">
        <v>598226</v>
      </c>
      <c r="J7">
        <v>607633</v>
      </c>
      <c r="K7">
        <v>623497</v>
      </c>
      <c r="L7">
        <v>620142</v>
      </c>
      <c r="M7">
        <v>620214</v>
      </c>
      <c r="N7">
        <v>635666</v>
      </c>
      <c r="O7">
        <v>638363</v>
      </c>
      <c r="P7">
        <v>656325</v>
      </c>
      <c r="Q7">
        <v>666445</v>
      </c>
      <c r="R7">
        <v>652454</v>
      </c>
      <c r="S7">
        <v>647480</v>
      </c>
      <c r="T7">
        <v>655938</v>
      </c>
      <c r="U7">
        <v>642597</v>
      </c>
      <c r="V7">
        <v>649820</v>
      </c>
      <c r="W7">
        <v>660529</v>
      </c>
      <c r="X7">
        <v>648643</v>
      </c>
      <c r="Y7">
        <v>649227</v>
      </c>
      <c r="Z7">
        <v>653305</v>
      </c>
      <c r="AA7">
        <v>682023</v>
      </c>
      <c r="AB7">
        <v>687077</v>
      </c>
      <c r="AC7">
        <v>660636</v>
      </c>
      <c r="AD7">
        <v>627065</v>
      </c>
      <c r="AE7">
        <v>628017</v>
      </c>
      <c r="AF7">
        <v>645467</v>
      </c>
      <c r="AG7">
        <v>663500</v>
      </c>
      <c r="AH7">
        <v>678563</v>
      </c>
      <c r="AI7">
        <v>713883</v>
      </c>
      <c r="AJ7">
        <v>744807</v>
      </c>
      <c r="AK7">
        <v>767466</v>
      </c>
      <c r="AL7">
        <v>757863</v>
      </c>
      <c r="AM7">
        <v>777087</v>
      </c>
      <c r="AN7">
        <v>782018</v>
      </c>
      <c r="AO7">
        <v>798556</v>
      </c>
      <c r="AP7">
        <v>799472</v>
      </c>
      <c r="AQ7">
        <v>801371</v>
      </c>
      <c r="AR7">
        <v>791873</v>
      </c>
      <c r="AS7">
        <v>775994</v>
      </c>
      <c r="AT7">
        <v>758661</v>
      </c>
      <c r="AU7">
        <v>735938</v>
      </c>
      <c r="AV7">
        <v>707494</v>
      </c>
      <c r="AW7">
        <v>693468</v>
      </c>
      <c r="AX7">
        <v>681619</v>
      </c>
      <c r="AY7">
        <v>655340</v>
      </c>
      <c r="AZ7">
        <v>633354</v>
      </c>
      <c r="BA7">
        <v>614785</v>
      </c>
      <c r="BB7">
        <v>617608</v>
      </c>
      <c r="BC7">
        <v>611514</v>
      </c>
      <c r="BD7">
        <v>603137</v>
      </c>
      <c r="BE7">
        <v>606763</v>
      </c>
      <c r="BF7">
        <v>623021</v>
      </c>
      <c r="BG7">
        <v>642358</v>
      </c>
      <c r="BH7">
        <v>685536</v>
      </c>
      <c r="BI7">
        <v>733184</v>
      </c>
      <c r="BJ7">
        <v>586025</v>
      </c>
      <c r="BK7">
        <v>571335</v>
      </c>
      <c r="BL7">
        <v>562455</v>
      </c>
      <c r="BM7">
        <v>533152</v>
      </c>
      <c r="BN7">
        <v>478957</v>
      </c>
      <c r="BO7">
        <v>443865</v>
      </c>
      <c r="BP7">
        <v>463364</v>
      </c>
      <c r="BQ7">
        <v>462985</v>
      </c>
      <c r="BR7">
        <v>455864</v>
      </c>
      <c r="BS7">
        <v>440767</v>
      </c>
      <c r="BT7">
        <v>425531</v>
      </c>
      <c r="BU7">
        <v>410500</v>
      </c>
      <c r="BV7">
        <v>389705</v>
      </c>
      <c r="BW7">
        <v>382659</v>
      </c>
      <c r="BX7">
        <v>380378</v>
      </c>
      <c r="BY7">
        <v>374394</v>
      </c>
      <c r="BZ7">
        <v>359766</v>
      </c>
      <c r="CA7">
        <v>339391</v>
      </c>
      <c r="CB7">
        <v>320205</v>
      </c>
      <c r="CC7">
        <v>307929</v>
      </c>
      <c r="CD7">
        <v>292956</v>
      </c>
      <c r="CE7">
        <v>275169</v>
      </c>
      <c r="CF7">
        <v>258609</v>
      </c>
      <c r="CG7">
        <v>243045</v>
      </c>
      <c r="CH7">
        <v>234125</v>
      </c>
      <c r="CI7">
        <v>223963</v>
      </c>
      <c r="CJ7">
        <v>198107</v>
      </c>
      <c r="CK7">
        <v>140498</v>
      </c>
      <c r="CL7">
        <v>103087</v>
      </c>
      <c r="CM7">
        <v>100105</v>
      </c>
      <c r="CN7">
        <v>89456</v>
      </c>
      <c r="CO7">
        <v>355451</v>
      </c>
      <c r="CQ7">
        <f t="shared" si="0"/>
        <v>50606034</v>
      </c>
    </row>
    <row r="8" spans="1:95" ht="18">
      <c r="A8" s="260">
        <v>50965186</v>
      </c>
      <c r="B8" s="257">
        <f t="shared" si="1"/>
        <v>2006</v>
      </c>
      <c r="C8">
        <v>622805</v>
      </c>
      <c r="D8">
        <v>606029</v>
      </c>
      <c r="E8">
        <v>596170</v>
      </c>
      <c r="F8">
        <v>576028</v>
      </c>
      <c r="G8">
        <v>562083</v>
      </c>
      <c r="H8">
        <v>568461</v>
      </c>
      <c r="I8">
        <v>582924</v>
      </c>
      <c r="J8">
        <v>600295</v>
      </c>
      <c r="K8">
        <v>609683</v>
      </c>
      <c r="L8">
        <v>625740</v>
      </c>
      <c r="M8">
        <v>623261</v>
      </c>
      <c r="N8">
        <v>622895</v>
      </c>
      <c r="O8">
        <v>638428</v>
      </c>
      <c r="P8">
        <v>640160</v>
      </c>
      <c r="Q8">
        <v>657231</v>
      </c>
      <c r="R8">
        <v>670744</v>
      </c>
      <c r="S8">
        <v>655753</v>
      </c>
      <c r="T8">
        <v>651137</v>
      </c>
      <c r="U8">
        <v>661906</v>
      </c>
      <c r="V8">
        <v>651489</v>
      </c>
      <c r="W8">
        <v>660461</v>
      </c>
      <c r="X8">
        <v>676690</v>
      </c>
      <c r="Y8">
        <v>669005</v>
      </c>
      <c r="Z8">
        <v>672195</v>
      </c>
      <c r="AA8">
        <v>676996</v>
      </c>
      <c r="AB8">
        <v>695307</v>
      </c>
      <c r="AC8">
        <v>700762</v>
      </c>
      <c r="AD8">
        <v>673249</v>
      </c>
      <c r="AE8">
        <v>637635</v>
      </c>
      <c r="AF8">
        <v>637572</v>
      </c>
      <c r="AG8">
        <v>652469</v>
      </c>
      <c r="AH8">
        <v>668962</v>
      </c>
      <c r="AI8">
        <v>683634</v>
      </c>
      <c r="AJ8">
        <v>717809</v>
      </c>
      <c r="AK8">
        <v>747997</v>
      </c>
      <c r="AL8">
        <v>770690</v>
      </c>
      <c r="AM8">
        <v>759374</v>
      </c>
      <c r="AN8">
        <v>778327</v>
      </c>
      <c r="AO8">
        <v>782627</v>
      </c>
      <c r="AP8">
        <v>798367</v>
      </c>
      <c r="AQ8">
        <v>797231</v>
      </c>
      <c r="AR8">
        <v>798951</v>
      </c>
      <c r="AS8">
        <v>790172</v>
      </c>
      <c r="AT8">
        <v>774066</v>
      </c>
      <c r="AU8">
        <v>757409</v>
      </c>
      <c r="AV8">
        <v>734966</v>
      </c>
      <c r="AW8">
        <v>706645</v>
      </c>
      <c r="AX8">
        <v>692441</v>
      </c>
      <c r="AY8">
        <v>680085</v>
      </c>
      <c r="AZ8">
        <v>653741</v>
      </c>
      <c r="BA8">
        <v>631231</v>
      </c>
      <c r="BB8">
        <v>612050</v>
      </c>
      <c r="BC8">
        <v>614887</v>
      </c>
      <c r="BD8">
        <v>609201</v>
      </c>
      <c r="BE8">
        <v>599663</v>
      </c>
      <c r="BF8">
        <v>603791</v>
      </c>
      <c r="BG8">
        <v>619350</v>
      </c>
      <c r="BH8">
        <v>638471</v>
      </c>
      <c r="BI8">
        <v>680486</v>
      </c>
      <c r="BJ8">
        <v>730216</v>
      </c>
      <c r="BK8">
        <v>579584</v>
      </c>
      <c r="BL8">
        <v>564852</v>
      </c>
      <c r="BM8">
        <v>557605</v>
      </c>
      <c r="BN8">
        <v>527075</v>
      </c>
      <c r="BO8">
        <v>473187</v>
      </c>
      <c r="BP8">
        <v>435523</v>
      </c>
      <c r="BQ8">
        <v>455545</v>
      </c>
      <c r="BR8">
        <v>454725</v>
      </c>
      <c r="BS8">
        <v>447421</v>
      </c>
      <c r="BT8">
        <v>431829</v>
      </c>
      <c r="BU8">
        <v>416695</v>
      </c>
      <c r="BV8">
        <v>401431</v>
      </c>
      <c r="BW8">
        <v>380094</v>
      </c>
      <c r="BX8">
        <v>371897</v>
      </c>
      <c r="BY8">
        <v>369093</v>
      </c>
      <c r="BZ8">
        <v>362127</v>
      </c>
      <c r="CA8">
        <v>346871</v>
      </c>
      <c r="CB8">
        <v>325777</v>
      </c>
      <c r="CC8">
        <v>305750</v>
      </c>
      <c r="CD8">
        <v>292676</v>
      </c>
      <c r="CE8">
        <v>277123</v>
      </c>
      <c r="CF8">
        <v>258574</v>
      </c>
      <c r="CG8">
        <v>241289</v>
      </c>
      <c r="CH8">
        <v>225329</v>
      </c>
      <c r="CI8">
        <v>214767</v>
      </c>
      <c r="CJ8">
        <v>203169</v>
      </c>
      <c r="CK8">
        <v>176896</v>
      </c>
      <c r="CL8">
        <v>126393</v>
      </c>
      <c r="CM8">
        <v>90047</v>
      </c>
      <c r="CN8">
        <v>86262</v>
      </c>
      <c r="CO8">
        <v>357177</v>
      </c>
      <c r="CQ8">
        <f t="shared" si="0"/>
        <v>50965186</v>
      </c>
    </row>
    <row r="9" spans="1:95" ht="18">
      <c r="A9" s="260">
        <v>51381093</v>
      </c>
      <c r="B9" s="257">
        <f t="shared" si="1"/>
        <v>2007</v>
      </c>
      <c r="C9">
        <v>642603</v>
      </c>
      <c r="D9">
        <v>625519</v>
      </c>
      <c r="E9">
        <v>606917</v>
      </c>
      <c r="F9">
        <v>596871</v>
      </c>
      <c r="G9">
        <v>577110</v>
      </c>
      <c r="H9">
        <v>563399</v>
      </c>
      <c r="I9">
        <v>571289</v>
      </c>
      <c r="J9">
        <v>586109</v>
      </c>
      <c r="K9">
        <v>603863</v>
      </c>
      <c r="L9">
        <v>612837</v>
      </c>
      <c r="M9">
        <v>629615</v>
      </c>
      <c r="N9">
        <v>627118</v>
      </c>
      <c r="O9">
        <v>626071</v>
      </c>
      <c r="P9">
        <v>642238</v>
      </c>
      <c r="Q9">
        <v>642426</v>
      </c>
      <c r="R9">
        <v>661568</v>
      </c>
      <c r="S9">
        <v>676298</v>
      </c>
      <c r="T9">
        <v>660933</v>
      </c>
      <c r="U9">
        <v>659283</v>
      </c>
      <c r="V9">
        <v>674484</v>
      </c>
      <c r="W9">
        <v>661604</v>
      </c>
      <c r="X9">
        <v>676793</v>
      </c>
      <c r="Y9">
        <v>696334</v>
      </c>
      <c r="Z9">
        <v>689366</v>
      </c>
      <c r="AA9">
        <v>695019</v>
      </c>
      <c r="AB9">
        <v>694018</v>
      </c>
      <c r="AC9">
        <v>711238</v>
      </c>
      <c r="AD9">
        <v>716409</v>
      </c>
      <c r="AE9">
        <v>688237</v>
      </c>
      <c r="AF9">
        <v>649216</v>
      </c>
      <c r="AG9">
        <v>640284</v>
      </c>
      <c r="AH9">
        <v>654716</v>
      </c>
      <c r="AI9">
        <v>670766</v>
      </c>
      <c r="AJ9">
        <v>684917</v>
      </c>
      <c r="AK9">
        <v>718938</v>
      </c>
      <c r="AL9">
        <v>751774</v>
      </c>
      <c r="AM9">
        <v>774493</v>
      </c>
      <c r="AN9">
        <v>762008</v>
      </c>
      <c r="AO9">
        <v>780268</v>
      </c>
      <c r="AP9">
        <v>783748</v>
      </c>
      <c r="AQ9">
        <v>798042</v>
      </c>
      <c r="AR9">
        <v>797025</v>
      </c>
      <c r="AS9">
        <v>798830</v>
      </c>
      <c r="AT9">
        <v>790147</v>
      </c>
      <c r="AU9">
        <v>773981</v>
      </c>
      <c r="AV9">
        <v>755118</v>
      </c>
      <c r="AW9">
        <v>732169</v>
      </c>
      <c r="AX9">
        <v>704106</v>
      </c>
      <c r="AY9">
        <v>689634</v>
      </c>
      <c r="AZ9">
        <v>676990</v>
      </c>
      <c r="BA9">
        <v>651297</v>
      </c>
      <c r="BB9">
        <v>628945</v>
      </c>
      <c r="BC9">
        <v>609124</v>
      </c>
      <c r="BD9">
        <v>612044</v>
      </c>
      <c r="BE9">
        <v>606779</v>
      </c>
      <c r="BF9">
        <v>596103</v>
      </c>
      <c r="BG9">
        <v>600328</v>
      </c>
      <c r="BH9">
        <v>615591</v>
      </c>
      <c r="BI9">
        <v>634190</v>
      </c>
      <c r="BJ9">
        <v>674871</v>
      </c>
      <c r="BK9">
        <v>724121</v>
      </c>
      <c r="BL9">
        <v>571596</v>
      </c>
      <c r="BM9">
        <v>557174</v>
      </c>
      <c r="BN9">
        <v>551291</v>
      </c>
      <c r="BO9">
        <v>519732</v>
      </c>
      <c r="BP9">
        <v>466875</v>
      </c>
      <c r="BQ9">
        <v>428632</v>
      </c>
      <c r="BR9">
        <v>448203</v>
      </c>
      <c r="BS9">
        <v>447360</v>
      </c>
      <c r="BT9">
        <v>439351</v>
      </c>
      <c r="BU9">
        <v>423642</v>
      </c>
      <c r="BV9">
        <v>408040</v>
      </c>
      <c r="BW9">
        <v>392557</v>
      </c>
      <c r="BX9">
        <v>370667</v>
      </c>
      <c r="BY9">
        <v>361340</v>
      </c>
      <c r="BZ9">
        <v>357959</v>
      </c>
      <c r="CA9">
        <v>349623</v>
      </c>
      <c r="CB9">
        <v>333794</v>
      </c>
      <c r="CC9">
        <v>311924</v>
      </c>
      <c r="CD9">
        <v>291377</v>
      </c>
      <c r="CE9">
        <v>277006</v>
      </c>
      <c r="CF9">
        <v>260900</v>
      </c>
      <c r="CG9">
        <v>241628</v>
      </c>
      <c r="CH9">
        <v>224069</v>
      </c>
      <c r="CI9">
        <v>207387</v>
      </c>
      <c r="CJ9">
        <v>195727</v>
      </c>
      <c r="CK9">
        <v>182561</v>
      </c>
      <c r="CL9">
        <v>156093</v>
      </c>
      <c r="CM9">
        <v>113191</v>
      </c>
      <c r="CN9">
        <v>77687</v>
      </c>
      <c r="CO9">
        <v>357575</v>
      </c>
      <c r="CQ9">
        <f t="shared" si="0"/>
        <v>51381093</v>
      </c>
    </row>
    <row r="10" spans="1:95" ht="18">
      <c r="A10" s="260">
        <v>51815853</v>
      </c>
      <c r="B10" s="257">
        <f t="shared" si="1"/>
        <v>2008</v>
      </c>
      <c r="C10">
        <v>667840</v>
      </c>
      <c r="D10">
        <v>642968</v>
      </c>
      <c r="E10">
        <v>628030</v>
      </c>
      <c r="F10">
        <v>607109</v>
      </c>
      <c r="G10">
        <v>596758</v>
      </c>
      <c r="H10">
        <v>577429</v>
      </c>
      <c r="I10">
        <v>564338</v>
      </c>
      <c r="J10">
        <v>574056</v>
      </c>
      <c r="K10">
        <v>589158</v>
      </c>
      <c r="L10">
        <v>607073</v>
      </c>
      <c r="M10">
        <v>615251</v>
      </c>
      <c r="N10">
        <v>632265</v>
      </c>
      <c r="O10">
        <v>629903</v>
      </c>
      <c r="P10">
        <v>628463</v>
      </c>
      <c r="Q10">
        <v>644860</v>
      </c>
      <c r="R10">
        <v>647366</v>
      </c>
      <c r="S10">
        <v>667013</v>
      </c>
      <c r="T10">
        <v>682497</v>
      </c>
      <c r="U10">
        <v>669058</v>
      </c>
      <c r="V10">
        <v>671235</v>
      </c>
      <c r="W10">
        <v>682677</v>
      </c>
      <c r="X10">
        <v>673354</v>
      </c>
      <c r="Y10">
        <v>692690</v>
      </c>
      <c r="Z10">
        <v>711948</v>
      </c>
      <c r="AA10">
        <v>704736</v>
      </c>
      <c r="AB10">
        <v>706740</v>
      </c>
      <c r="AC10">
        <v>706571</v>
      </c>
      <c r="AD10">
        <v>722727</v>
      </c>
      <c r="AE10">
        <v>728572</v>
      </c>
      <c r="AF10">
        <v>699436</v>
      </c>
      <c r="AG10">
        <v>658120</v>
      </c>
      <c r="AH10">
        <v>647908</v>
      </c>
      <c r="AI10">
        <v>661884</v>
      </c>
      <c r="AJ10">
        <v>676727</v>
      </c>
      <c r="AK10">
        <v>690266</v>
      </c>
      <c r="AL10">
        <v>721128</v>
      </c>
      <c r="AM10">
        <v>753134</v>
      </c>
      <c r="AN10">
        <v>776715</v>
      </c>
      <c r="AO10">
        <v>762872</v>
      </c>
      <c r="AP10">
        <v>780683</v>
      </c>
      <c r="AQ10">
        <v>781558</v>
      </c>
      <c r="AR10">
        <v>795176</v>
      </c>
      <c r="AS10">
        <v>794225</v>
      </c>
      <c r="AT10">
        <v>796317</v>
      </c>
      <c r="AU10">
        <v>788196</v>
      </c>
      <c r="AV10">
        <v>772995</v>
      </c>
      <c r="AW10">
        <v>754697</v>
      </c>
      <c r="AX10">
        <v>731051</v>
      </c>
      <c r="AY10">
        <v>703178</v>
      </c>
      <c r="AZ10">
        <v>688599</v>
      </c>
      <c r="BA10">
        <v>675850</v>
      </c>
      <c r="BB10">
        <v>650546</v>
      </c>
      <c r="BC10">
        <v>628438</v>
      </c>
      <c r="BD10">
        <v>607793</v>
      </c>
      <c r="BE10">
        <v>610722</v>
      </c>
      <c r="BF10">
        <v>603081</v>
      </c>
      <c r="BG10">
        <v>591226</v>
      </c>
      <c r="BH10">
        <v>595777</v>
      </c>
      <c r="BI10">
        <v>610853</v>
      </c>
      <c r="BJ10">
        <v>628757</v>
      </c>
      <c r="BK10">
        <v>669571</v>
      </c>
      <c r="BL10">
        <v>720854</v>
      </c>
      <c r="BM10">
        <v>566122</v>
      </c>
      <c r="BN10">
        <v>551714</v>
      </c>
      <c r="BO10">
        <v>547018</v>
      </c>
      <c r="BP10">
        <v>514758</v>
      </c>
      <c r="BQ10">
        <v>461965</v>
      </c>
      <c r="BR10">
        <v>422664</v>
      </c>
      <c r="BS10">
        <v>441885</v>
      </c>
      <c r="BT10">
        <v>440593</v>
      </c>
      <c r="BU10">
        <v>431893</v>
      </c>
      <c r="BV10">
        <v>415560</v>
      </c>
      <c r="BW10">
        <v>399592</v>
      </c>
      <c r="BX10">
        <v>383708</v>
      </c>
      <c r="BY10">
        <v>361230</v>
      </c>
      <c r="BZ10">
        <v>350622</v>
      </c>
      <c r="CA10">
        <v>346458</v>
      </c>
      <c r="CB10">
        <v>336963</v>
      </c>
      <c r="CC10">
        <v>320317</v>
      </c>
      <c r="CD10">
        <v>297842</v>
      </c>
      <c r="CE10">
        <v>276465</v>
      </c>
      <c r="CF10">
        <v>260970</v>
      </c>
      <c r="CG10">
        <v>243979</v>
      </c>
      <c r="CH10">
        <v>224452</v>
      </c>
      <c r="CI10">
        <v>206451</v>
      </c>
      <c r="CJ10">
        <v>189325</v>
      </c>
      <c r="CK10">
        <v>176676</v>
      </c>
      <c r="CL10">
        <v>162598</v>
      </c>
      <c r="CM10">
        <v>135494</v>
      </c>
      <c r="CN10">
        <v>100172</v>
      </c>
      <c r="CO10">
        <v>347349</v>
      </c>
      <c r="CQ10">
        <f t="shared" si="0"/>
        <v>51815853</v>
      </c>
    </row>
    <row r="11" spans="1:95" ht="18">
      <c r="A11" s="260">
        <v>52196381</v>
      </c>
      <c r="B11" s="257">
        <f>[177]Sheet1!C35</f>
        <v>2009</v>
      </c>
      <c r="C11">
        <v>662806</v>
      </c>
      <c r="D11">
        <v>667271</v>
      </c>
      <c r="E11">
        <v>643986</v>
      </c>
      <c r="F11">
        <v>630621</v>
      </c>
      <c r="G11">
        <v>607221</v>
      </c>
      <c r="H11">
        <v>597452</v>
      </c>
      <c r="I11">
        <v>578513</v>
      </c>
      <c r="J11">
        <v>566002</v>
      </c>
      <c r="K11">
        <v>577340</v>
      </c>
      <c r="L11">
        <v>592465</v>
      </c>
      <c r="M11">
        <v>610274</v>
      </c>
      <c r="N11">
        <v>618336</v>
      </c>
      <c r="O11">
        <v>635554</v>
      </c>
      <c r="P11">
        <v>633426</v>
      </c>
      <c r="Q11">
        <v>631249</v>
      </c>
      <c r="R11">
        <v>651381</v>
      </c>
      <c r="S11">
        <v>653819</v>
      </c>
      <c r="T11">
        <v>673880</v>
      </c>
      <c r="U11">
        <v>693106</v>
      </c>
      <c r="V11">
        <v>682829</v>
      </c>
      <c r="W11">
        <v>675117</v>
      </c>
      <c r="X11">
        <v>689349</v>
      </c>
      <c r="Y11">
        <v>680751</v>
      </c>
      <c r="Z11">
        <v>700960</v>
      </c>
      <c r="AA11">
        <v>719890</v>
      </c>
      <c r="AB11">
        <v>707422</v>
      </c>
      <c r="AC11">
        <v>712010</v>
      </c>
      <c r="AD11">
        <v>712828</v>
      </c>
      <c r="AE11">
        <v>728405</v>
      </c>
      <c r="AF11">
        <v>735033</v>
      </c>
      <c r="AG11">
        <v>706521</v>
      </c>
      <c r="AH11">
        <v>662684</v>
      </c>
      <c r="AI11">
        <v>652679</v>
      </c>
      <c r="AJ11">
        <v>666024</v>
      </c>
      <c r="AK11">
        <v>680264</v>
      </c>
      <c r="AL11">
        <v>692103</v>
      </c>
      <c r="AM11">
        <v>722633</v>
      </c>
      <c r="AN11">
        <v>754152</v>
      </c>
      <c r="AO11">
        <v>778379</v>
      </c>
      <c r="AP11">
        <v>762999</v>
      </c>
      <c r="AQ11">
        <v>781846</v>
      </c>
      <c r="AR11">
        <v>781924</v>
      </c>
      <c r="AS11">
        <v>794641</v>
      </c>
      <c r="AT11">
        <v>793740</v>
      </c>
      <c r="AU11">
        <v>795865</v>
      </c>
      <c r="AV11">
        <v>787620</v>
      </c>
      <c r="AW11">
        <v>772191</v>
      </c>
      <c r="AX11">
        <v>754557</v>
      </c>
      <c r="AY11">
        <v>730132</v>
      </c>
      <c r="AZ11">
        <v>702356</v>
      </c>
      <c r="BA11">
        <v>687234</v>
      </c>
      <c r="BB11">
        <v>673930</v>
      </c>
      <c r="BC11">
        <v>648682</v>
      </c>
      <c r="BD11">
        <v>626960</v>
      </c>
      <c r="BE11">
        <v>605507</v>
      </c>
      <c r="BF11">
        <v>608658</v>
      </c>
      <c r="BG11">
        <v>601154</v>
      </c>
      <c r="BH11">
        <v>588229</v>
      </c>
      <c r="BI11">
        <v>592936</v>
      </c>
      <c r="BJ11">
        <v>607393</v>
      </c>
      <c r="BK11">
        <v>624614</v>
      </c>
      <c r="BL11">
        <v>664134</v>
      </c>
      <c r="BM11">
        <v>717487</v>
      </c>
      <c r="BN11">
        <v>560648</v>
      </c>
      <c r="BO11">
        <v>545922</v>
      </c>
      <c r="BP11">
        <v>542642</v>
      </c>
      <c r="BQ11">
        <v>509094</v>
      </c>
      <c r="BR11">
        <v>456511</v>
      </c>
      <c r="BS11">
        <v>416018</v>
      </c>
      <c r="BT11">
        <v>434993</v>
      </c>
      <c r="BU11">
        <v>433226</v>
      </c>
      <c r="BV11">
        <v>423966</v>
      </c>
      <c r="BW11">
        <v>406875</v>
      </c>
      <c r="BX11">
        <v>390342</v>
      </c>
      <c r="BY11">
        <v>374108</v>
      </c>
      <c r="BZ11">
        <v>351142</v>
      </c>
      <c r="CA11">
        <v>339242</v>
      </c>
      <c r="CB11">
        <v>334297</v>
      </c>
      <c r="CC11">
        <v>323746</v>
      </c>
      <c r="CD11">
        <v>306159</v>
      </c>
      <c r="CE11">
        <v>282925</v>
      </c>
      <c r="CF11">
        <v>260739</v>
      </c>
      <c r="CG11">
        <v>244427</v>
      </c>
      <c r="CH11">
        <v>227204</v>
      </c>
      <c r="CI11">
        <v>206894</v>
      </c>
      <c r="CJ11">
        <v>188533</v>
      </c>
      <c r="CK11">
        <v>171171</v>
      </c>
      <c r="CL11">
        <v>157676</v>
      </c>
      <c r="CM11">
        <v>142549</v>
      </c>
      <c r="CN11">
        <v>115690</v>
      </c>
      <c r="CO11">
        <v>360118</v>
      </c>
      <c r="CQ11">
        <f t="shared" si="0"/>
        <v>52196381</v>
      </c>
    </row>
    <row r="12" spans="1:95" ht="18">
      <c r="A12" s="260">
        <v>52642452</v>
      </c>
      <c r="B12" s="257">
        <f>[177]Sheet1!C36</f>
        <v>2010</v>
      </c>
      <c r="C12">
        <v>672051</v>
      </c>
      <c r="D12">
        <v>661491</v>
      </c>
      <c r="E12">
        <v>667806</v>
      </c>
      <c r="F12">
        <v>645584</v>
      </c>
      <c r="G12">
        <v>633562</v>
      </c>
      <c r="H12">
        <v>608246</v>
      </c>
      <c r="I12">
        <v>598113</v>
      </c>
      <c r="J12">
        <v>579655</v>
      </c>
      <c r="K12">
        <v>567722</v>
      </c>
      <c r="L12">
        <v>580615</v>
      </c>
      <c r="M12">
        <v>596097</v>
      </c>
      <c r="N12">
        <v>614236</v>
      </c>
      <c r="O12">
        <v>622005</v>
      </c>
      <c r="P12">
        <v>639481</v>
      </c>
      <c r="Q12">
        <v>637420</v>
      </c>
      <c r="R12">
        <v>636708</v>
      </c>
      <c r="S12">
        <v>658326</v>
      </c>
      <c r="T12">
        <v>660308</v>
      </c>
      <c r="U12">
        <v>682632</v>
      </c>
      <c r="V12">
        <v>705157</v>
      </c>
      <c r="W12">
        <v>695081</v>
      </c>
      <c r="X12">
        <v>691930</v>
      </c>
      <c r="Y12">
        <v>709439</v>
      </c>
      <c r="Z12">
        <v>699184</v>
      </c>
      <c r="AA12">
        <v>719904</v>
      </c>
      <c r="AB12">
        <v>727356</v>
      </c>
      <c r="AC12">
        <v>714706</v>
      </c>
      <c r="AD12">
        <v>721095</v>
      </c>
      <c r="AE12">
        <v>723034</v>
      </c>
      <c r="AF12">
        <v>737413</v>
      </c>
      <c r="AG12">
        <v>739813</v>
      </c>
      <c r="AH12">
        <v>710894</v>
      </c>
      <c r="AI12">
        <v>665180</v>
      </c>
      <c r="AJ12">
        <v>654907</v>
      </c>
      <c r="AK12">
        <v>668279</v>
      </c>
      <c r="AL12">
        <v>681595</v>
      </c>
      <c r="AM12">
        <v>693230</v>
      </c>
      <c r="AN12">
        <v>723461</v>
      </c>
      <c r="AO12">
        <v>754304</v>
      </c>
      <c r="AP12">
        <v>779278</v>
      </c>
      <c r="AQ12">
        <v>761581</v>
      </c>
      <c r="AR12">
        <v>780107</v>
      </c>
      <c r="AS12">
        <v>779771</v>
      </c>
      <c r="AT12">
        <v>791841</v>
      </c>
      <c r="AU12">
        <v>791139</v>
      </c>
      <c r="AV12">
        <v>794889</v>
      </c>
      <c r="AW12">
        <v>787069</v>
      </c>
      <c r="AX12">
        <v>771413</v>
      </c>
      <c r="AY12">
        <v>754346</v>
      </c>
      <c r="AZ12">
        <v>729121</v>
      </c>
      <c r="BA12">
        <v>700214</v>
      </c>
      <c r="BB12">
        <v>684929</v>
      </c>
      <c r="BC12">
        <v>670745</v>
      </c>
      <c r="BD12">
        <v>645874</v>
      </c>
      <c r="BE12">
        <v>624274</v>
      </c>
      <c r="BF12">
        <v>603185</v>
      </c>
      <c r="BG12">
        <v>606033</v>
      </c>
      <c r="BH12">
        <v>598956</v>
      </c>
      <c r="BI12">
        <v>584766</v>
      </c>
      <c r="BJ12">
        <v>589740</v>
      </c>
      <c r="BK12">
        <v>603719</v>
      </c>
      <c r="BL12">
        <v>620421</v>
      </c>
      <c r="BM12">
        <v>658433</v>
      </c>
      <c r="BN12">
        <v>713933</v>
      </c>
      <c r="BO12">
        <v>555040</v>
      </c>
      <c r="BP12">
        <v>540459</v>
      </c>
      <c r="BQ12">
        <v>538283</v>
      </c>
      <c r="BR12">
        <v>503365</v>
      </c>
      <c r="BS12">
        <v>451108</v>
      </c>
      <c r="BT12">
        <v>409360</v>
      </c>
      <c r="BU12">
        <v>427710</v>
      </c>
      <c r="BV12">
        <v>425685</v>
      </c>
      <c r="BW12">
        <v>415802</v>
      </c>
      <c r="BX12">
        <v>397929</v>
      </c>
      <c r="BY12">
        <v>380763</v>
      </c>
      <c r="BZ12">
        <v>364343</v>
      </c>
      <c r="CA12">
        <v>340677</v>
      </c>
      <c r="CB12">
        <v>327501</v>
      </c>
      <c r="CC12">
        <v>322052</v>
      </c>
      <c r="CD12">
        <v>310175</v>
      </c>
      <c r="CE12">
        <v>291867</v>
      </c>
      <c r="CF12">
        <v>267769</v>
      </c>
      <c r="CG12">
        <v>245377</v>
      </c>
      <c r="CH12">
        <v>227987</v>
      </c>
      <c r="CI12">
        <v>210353</v>
      </c>
      <c r="CJ12">
        <v>189767</v>
      </c>
      <c r="CK12">
        <v>171355</v>
      </c>
      <c r="CL12">
        <v>153741</v>
      </c>
      <c r="CM12">
        <v>139940</v>
      </c>
      <c r="CN12">
        <v>123979</v>
      </c>
      <c r="CO12">
        <v>386268</v>
      </c>
      <c r="CQ12">
        <f t="shared" si="0"/>
        <v>52642452</v>
      </c>
    </row>
    <row r="13" spans="1:95" ht="18">
      <c r="A13" s="260">
        <v>53107169</v>
      </c>
      <c r="B13" s="257">
        <f>[177]Sheet1!C37</f>
        <v>2011</v>
      </c>
      <c r="C13">
        <v>679102</v>
      </c>
      <c r="D13">
        <v>669858</v>
      </c>
      <c r="E13">
        <v>661891</v>
      </c>
      <c r="F13">
        <v>669484</v>
      </c>
      <c r="G13">
        <v>648411</v>
      </c>
      <c r="H13">
        <v>635925</v>
      </c>
      <c r="I13">
        <v>608280</v>
      </c>
      <c r="J13">
        <v>597679</v>
      </c>
      <c r="K13">
        <v>579791</v>
      </c>
      <c r="L13">
        <v>568460</v>
      </c>
      <c r="M13">
        <v>583192</v>
      </c>
      <c r="N13">
        <v>599021</v>
      </c>
      <c r="O13">
        <v>617326</v>
      </c>
      <c r="P13">
        <v>625128</v>
      </c>
      <c r="Q13">
        <v>642744</v>
      </c>
      <c r="R13">
        <v>643838</v>
      </c>
      <c r="S13">
        <v>643625</v>
      </c>
      <c r="T13">
        <v>666996</v>
      </c>
      <c r="U13">
        <v>671694</v>
      </c>
      <c r="V13">
        <v>698117</v>
      </c>
      <c r="W13">
        <v>719878</v>
      </c>
      <c r="X13">
        <v>713864</v>
      </c>
      <c r="Y13">
        <v>714692</v>
      </c>
      <c r="Z13">
        <v>730305</v>
      </c>
      <c r="AA13">
        <v>717522</v>
      </c>
      <c r="AB13">
        <v>730255</v>
      </c>
      <c r="AC13">
        <v>736817</v>
      </c>
      <c r="AD13">
        <v>723383</v>
      </c>
      <c r="AE13">
        <v>732154</v>
      </c>
      <c r="AF13">
        <v>734618</v>
      </c>
      <c r="AG13">
        <v>741904</v>
      </c>
      <c r="AH13">
        <v>745069</v>
      </c>
      <c r="AI13">
        <v>716022</v>
      </c>
      <c r="AJ13">
        <v>668117</v>
      </c>
      <c r="AK13">
        <v>658038</v>
      </c>
      <c r="AL13">
        <v>668977</v>
      </c>
      <c r="AM13">
        <v>682056</v>
      </c>
      <c r="AN13">
        <v>693562</v>
      </c>
      <c r="AO13">
        <v>723729</v>
      </c>
      <c r="AP13">
        <v>754048</v>
      </c>
      <c r="AQ13">
        <v>778527</v>
      </c>
      <c r="AR13">
        <v>759492</v>
      </c>
      <c r="AS13">
        <v>777911</v>
      </c>
      <c r="AT13">
        <v>777050</v>
      </c>
      <c r="AU13">
        <v>788503</v>
      </c>
      <c r="AV13">
        <v>789225</v>
      </c>
      <c r="AW13">
        <v>793306</v>
      </c>
      <c r="AX13">
        <v>786015</v>
      </c>
      <c r="AY13">
        <v>770056</v>
      </c>
      <c r="AZ13">
        <v>753474</v>
      </c>
      <c r="BA13">
        <v>727736</v>
      </c>
      <c r="BB13">
        <v>698861</v>
      </c>
      <c r="BC13">
        <v>683438</v>
      </c>
      <c r="BD13">
        <v>668589</v>
      </c>
      <c r="BE13">
        <v>643955</v>
      </c>
      <c r="BF13">
        <v>622322</v>
      </c>
      <c r="BG13">
        <v>600440</v>
      </c>
      <c r="BH13">
        <v>603239</v>
      </c>
      <c r="BI13">
        <v>596488</v>
      </c>
      <c r="BJ13">
        <v>581012</v>
      </c>
      <c r="BK13">
        <v>585854</v>
      </c>
      <c r="BL13">
        <v>599145</v>
      </c>
      <c r="BM13">
        <v>615642</v>
      </c>
      <c r="BN13">
        <v>652004</v>
      </c>
      <c r="BO13">
        <v>709646</v>
      </c>
      <c r="BP13">
        <v>548640</v>
      </c>
      <c r="BQ13">
        <v>533894</v>
      </c>
      <c r="BR13">
        <v>533167</v>
      </c>
      <c r="BS13">
        <v>497039</v>
      </c>
      <c r="BT13">
        <v>444880</v>
      </c>
      <c r="BU13">
        <v>401964</v>
      </c>
      <c r="BV13">
        <v>419739</v>
      </c>
      <c r="BW13">
        <v>417439</v>
      </c>
      <c r="BX13">
        <v>406955</v>
      </c>
      <c r="BY13">
        <v>388454</v>
      </c>
      <c r="BZ13">
        <v>370663</v>
      </c>
      <c r="CA13">
        <v>353894</v>
      </c>
      <c r="CB13">
        <v>329623</v>
      </c>
      <c r="CC13">
        <v>315300</v>
      </c>
      <c r="CD13">
        <v>308851</v>
      </c>
      <c r="CE13">
        <v>295917</v>
      </c>
      <c r="CF13">
        <v>277110</v>
      </c>
      <c r="CG13">
        <v>252303</v>
      </c>
      <c r="CH13">
        <v>229424</v>
      </c>
      <c r="CI13">
        <v>211093</v>
      </c>
      <c r="CJ13">
        <v>193088</v>
      </c>
      <c r="CK13">
        <v>172522</v>
      </c>
      <c r="CL13">
        <v>154122</v>
      </c>
      <c r="CM13">
        <v>136775</v>
      </c>
      <c r="CN13">
        <v>122397</v>
      </c>
      <c r="CO13">
        <v>414414</v>
      </c>
      <c r="CQ13">
        <f t="shared" si="0"/>
        <v>53107169</v>
      </c>
    </row>
    <row r="14" spans="1:95" ht="18">
      <c r="A14" s="260">
        <v>53493729</v>
      </c>
      <c r="B14" s="257">
        <f>[177]Sheet1!C38</f>
        <v>2012</v>
      </c>
      <c r="C14">
        <v>696441</v>
      </c>
      <c r="D14">
        <v>684026</v>
      </c>
      <c r="E14">
        <v>674386</v>
      </c>
      <c r="F14">
        <v>665744</v>
      </c>
      <c r="G14">
        <v>672759</v>
      </c>
      <c r="H14">
        <v>651473</v>
      </c>
      <c r="I14">
        <v>638419</v>
      </c>
      <c r="J14">
        <v>610955</v>
      </c>
      <c r="K14">
        <v>600238</v>
      </c>
      <c r="L14">
        <v>582497</v>
      </c>
      <c r="M14">
        <v>571373</v>
      </c>
      <c r="N14">
        <v>586219</v>
      </c>
      <c r="O14">
        <v>601871</v>
      </c>
      <c r="P14">
        <v>620278</v>
      </c>
      <c r="Q14">
        <v>628130</v>
      </c>
      <c r="R14">
        <v>645417</v>
      </c>
      <c r="S14">
        <v>646317</v>
      </c>
      <c r="T14">
        <v>646767</v>
      </c>
      <c r="U14">
        <v>670895</v>
      </c>
      <c r="V14">
        <v>676910</v>
      </c>
      <c r="W14">
        <v>705163</v>
      </c>
      <c r="X14">
        <v>728804</v>
      </c>
      <c r="Y14">
        <v>725244</v>
      </c>
      <c r="Z14">
        <v>725112</v>
      </c>
      <c r="AA14">
        <v>737228</v>
      </c>
      <c r="AB14">
        <v>723675</v>
      </c>
      <c r="AC14">
        <v>734767</v>
      </c>
      <c r="AD14">
        <v>740472</v>
      </c>
      <c r="AE14">
        <v>726009</v>
      </c>
      <c r="AF14">
        <v>734654</v>
      </c>
      <c r="AG14">
        <v>735633</v>
      </c>
      <c r="AH14">
        <v>742920</v>
      </c>
      <c r="AI14">
        <v>745426</v>
      </c>
      <c r="AJ14">
        <v>715532</v>
      </c>
      <c r="AK14">
        <v>667706</v>
      </c>
      <c r="AL14">
        <v>657268</v>
      </c>
      <c r="AM14">
        <v>668419</v>
      </c>
      <c r="AN14">
        <v>681331</v>
      </c>
      <c r="AO14">
        <v>693126</v>
      </c>
      <c r="AP14">
        <v>723209</v>
      </c>
      <c r="AQ14">
        <v>753237</v>
      </c>
      <c r="AR14">
        <v>777487</v>
      </c>
      <c r="AS14">
        <v>759000</v>
      </c>
      <c r="AT14">
        <v>776811</v>
      </c>
      <c r="AU14">
        <v>776181</v>
      </c>
      <c r="AV14">
        <v>787707</v>
      </c>
      <c r="AW14">
        <v>788277</v>
      </c>
      <c r="AX14">
        <v>792104</v>
      </c>
      <c r="AY14">
        <v>784876</v>
      </c>
      <c r="AZ14">
        <v>768644</v>
      </c>
      <c r="BA14">
        <v>752093</v>
      </c>
      <c r="BB14">
        <v>726090</v>
      </c>
      <c r="BC14">
        <v>697011</v>
      </c>
      <c r="BD14">
        <v>681684</v>
      </c>
      <c r="BE14">
        <v>666643</v>
      </c>
      <c r="BF14">
        <v>642045</v>
      </c>
      <c r="BG14">
        <v>620038</v>
      </c>
      <c r="BH14">
        <v>598032</v>
      </c>
      <c r="BI14">
        <v>600224</v>
      </c>
      <c r="BJ14">
        <v>593330</v>
      </c>
      <c r="BK14">
        <v>577472</v>
      </c>
      <c r="BL14">
        <v>582109</v>
      </c>
      <c r="BM14">
        <v>595184</v>
      </c>
      <c r="BN14">
        <v>611352</v>
      </c>
      <c r="BO14">
        <v>646777</v>
      </c>
      <c r="BP14">
        <v>703319</v>
      </c>
      <c r="BQ14">
        <v>543322</v>
      </c>
      <c r="BR14">
        <v>528218</v>
      </c>
      <c r="BS14">
        <v>526877</v>
      </c>
      <c r="BT14">
        <v>490321</v>
      </c>
      <c r="BU14">
        <v>438272</v>
      </c>
      <c r="BV14">
        <v>395063</v>
      </c>
      <c r="BW14">
        <v>411871</v>
      </c>
      <c r="BX14">
        <v>408958</v>
      </c>
      <c r="BY14">
        <v>398269</v>
      </c>
      <c r="BZ14">
        <v>378905</v>
      </c>
      <c r="CA14">
        <v>360580</v>
      </c>
      <c r="CB14">
        <v>343085</v>
      </c>
      <c r="CC14">
        <v>318237</v>
      </c>
      <c r="CD14">
        <v>303283</v>
      </c>
      <c r="CE14">
        <v>295355</v>
      </c>
      <c r="CF14">
        <v>281244</v>
      </c>
      <c r="CG14">
        <v>261569</v>
      </c>
      <c r="CH14">
        <v>236408</v>
      </c>
      <c r="CI14">
        <v>212846</v>
      </c>
      <c r="CJ14">
        <v>194386</v>
      </c>
      <c r="CK14">
        <v>175771</v>
      </c>
      <c r="CL14">
        <v>155360</v>
      </c>
      <c r="CM14">
        <v>137232</v>
      </c>
      <c r="CN14">
        <v>119676</v>
      </c>
      <c r="CO14">
        <v>438081</v>
      </c>
      <c r="CQ14">
        <f t="shared" si="0"/>
        <v>53493729</v>
      </c>
    </row>
    <row r="15" spans="1:95" ht="18">
      <c r="A15" s="260">
        <v>53865817</v>
      </c>
      <c r="B15" s="257">
        <f>[177]Sheet1!C39</f>
        <v>2013</v>
      </c>
      <c r="C15">
        <v>676531</v>
      </c>
      <c r="D15">
        <v>701281</v>
      </c>
      <c r="E15">
        <v>688777</v>
      </c>
      <c r="F15">
        <v>678113</v>
      </c>
      <c r="G15">
        <v>669428</v>
      </c>
      <c r="H15">
        <v>676035</v>
      </c>
      <c r="I15">
        <v>654334</v>
      </c>
      <c r="J15">
        <v>641065</v>
      </c>
      <c r="K15">
        <v>613614</v>
      </c>
      <c r="L15">
        <v>602871</v>
      </c>
      <c r="M15">
        <v>585128</v>
      </c>
      <c r="N15">
        <v>574278</v>
      </c>
      <c r="O15">
        <v>589178</v>
      </c>
      <c r="P15">
        <v>604563</v>
      </c>
      <c r="Q15">
        <v>623246</v>
      </c>
      <c r="R15">
        <v>630796</v>
      </c>
      <c r="S15">
        <v>647865</v>
      </c>
      <c r="T15">
        <v>649348</v>
      </c>
      <c r="U15">
        <v>650210</v>
      </c>
      <c r="V15">
        <v>676533</v>
      </c>
      <c r="W15">
        <v>685020</v>
      </c>
      <c r="X15">
        <v>712611</v>
      </c>
      <c r="Y15">
        <v>738885</v>
      </c>
      <c r="Z15">
        <v>735438</v>
      </c>
      <c r="AA15">
        <v>731784</v>
      </c>
      <c r="AB15">
        <v>743135</v>
      </c>
      <c r="AC15">
        <v>729067</v>
      </c>
      <c r="AD15">
        <v>739435</v>
      </c>
      <c r="AE15">
        <v>743968</v>
      </c>
      <c r="AF15">
        <v>729727</v>
      </c>
      <c r="AG15">
        <v>737246</v>
      </c>
      <c r="AH15">
        <v>737807</v>
      </c>
      <c r="AI15">
        <v>744529</v>
      </c>
      <c r="AJ15">
        <v>746160</v>
      </c>
      <c r="AK15">
        <v>716283</v>
      </c>
      <c r="AL15">
        <v>667971</v>
      </c>
      <c r="AM15">
        <v>657506</v>
      </c>
      <c r="AN15">
        <v>668412</v>
      </c>
      <c r="AO15">
        <v>681869</v>
      </c>
      <c r="AP15">
        <v>693416</v>
      </c>
      <c r="AQ15">
        <v>723557</v>
      </c>
      <c r="AR15">
        <v>753328</v>
      </c>
      <c r="AS15">
        <v>777647</v>
      </c>
      <c r="AT15">
        <v>758751</v>
      </c>
      <c r="AU15">
        <v>776610</v>
      </c>
      <c r="AV15">
        <v>775854</v>
      </c>
      <c r="AW15">
        <v>787082</v>
      </c>
      <c r="AX15">
        <v>787762</v>
      </c>
      <c r="AY15">
        <v>791234</v>
      </c>
      <c r="AZ15">
        <v>783842</v>
      </c>
      <c r="BA15">
        <v>767490</v>
      </c>
      <c r="BB15">
        <v>750609</v>
      </c>
      <c r="BC15">
        <v>724408</v>
      </c>
      <c r="BD15">
        <v>695250</v>
      </c>
      <c r="BE15">
        <v>679756</v>
      </c>
      <c r="BF15">
        <v>664642</v>
      </c>
      <c r="BG15">
        <v>639761</v>
      </c>
      <c r="BH15">
        <v>617562</v>
      </c>
      <c r="BI15">
        <v>595109</v>
      </c>
      <c r="BJ15">
        <v>597150</v>
      </c>
      <c r="BK15">
        <v>589930</v>
      </c>
      <c r="BL15">
        <v>573886</v>
      </c>
      <c r="BM15">
        <v>578185</v>
      </c>
      <c r="BN15">
        <v>591007</v>
      </c>
      <c r="BO15">
        <v>606763</v>
      </c>
      <c r="BP15">
        <v>641210</v>
      </c>
      <c r="BQ15">
        <v>696729</v>
      </c>
      <c r="BR15">
        <v>537844</v>
      </c>
      <c r="BS15">
        <v>521990</v>
      </c>
      <c r="BT15">
        <v>520026</v>
      </c>
      <c r="BU15">
        <v>483169</v>
      </c>
      <c r="BV15">
        <v>431292</v>
      </c>
      <c r="BW15">
        <v>387792</v>
      </c>
      <c r="BX15">
        <v>403415</v>
      </c>
      <c r="BY15">
        <v>400106</v>
      </c>
      <c r="BZ15">
        <v>388543</v>
      </c>
      <c r="CA15">
        <v>368394</v>
      </c>
      <c r="CB15">
        <v>349506</v>
      </c>
      <c r="CC15">
        <v>331226</v>
      </c>
      <c r="CD15">
        <v>305805</v>
      </c>
      <c r="CE15">
        <v>289971</v>
      </c>
      <c r="CF15">
        <v>280858</v>
      </c>
      <c r="CG15">
        <v>265171</v>
      </c>
      <c r="CH15">
        <v>245045</v>
      </c>
      <c r="CI15">
        <v>219220</v>
      </c>
      <c r="CJ15">
        <v>195323</v>
      </c>
      <c r="CK15">
        <v>176725</v>
      </c>
      <c r="CL15">
        <v>157983</v>
      </c>
      <c r="CM15">
        <v>137840</v>
      </c>
      <c r="CN15">
        <v>119583</v>
      </c>
      <c r="CO15">
        <v>450413</v>
      </c>
      <c r="CQ15">
        <f t="shared" si="0"/>
        <v>53865817</v>
      </c>
    </row>
    <row r="16" spans="1:95" ht="18">
      <c r="A16" s="260">
        <v>54316618</v>
      </c>
      <c r="B16" s="257">
        <f>[177]Sheet1!C40</f>
        <v>2014</v>
      </c>
      <c r="C16">
        <v>664183</v>
      </c>
      <c r="D16">
        <v>682703</v>
      </c>
      <c r="E16">
        <v>707024</v>
      </c>
      <c r="F16">
        <v>694107</v>
      </c>
      <c r="G16">
        <v>682940</v>
      </c>
      <c r="H16">
        <v>673956</v>
      </c>
      <c r="I16">
        <v>679645</v>
      </c>
      <c r="J16">
        <v>657784</v>
      </c>
      <c r="K16">
        <v>644277</v>
      </c>
      <c r="L16">
        <v>616703</v>
      </c>
      <c r="M16">
        <v>605945</v>
      </c>
      <c r="N16">
        <v>588343</v>
      </c>
      <c r="O16">
        <v>577811</v>
      </c>
      <c r="P16">
        <v>592716</v>
      </c>
      <c r="Q16">
        <v>608240</v>
      </c>
      <c r="R16">
        <v>627179</v>
      </c>
      <c r="S16">
        <v>634876</v>
      </c>
      <c r="T16">
        <v>653269</v>
      </c>
      <c r="U16">
        <v>655753</v>
      </c>
      <c r="V16">
        <v>659877</v>
      </c>
      <c r="W16">
        <v>688589</v>
      </c>
      <c r="X16">
        <v>696363</v>
      </c>
      <c r="Y16">
        <v>725657</v>
      </c>
      <c r="Z16">
        <v>751543</v>
      </c>
      <c r="AA16">
        <v>744265</v>
      </c>
      <c r="AB16">
        <v>739681</v>
      </c>
      <c r="AC16">
        <v>750246</v>
      </c>
      <c r="AD16">
        <v>734985</v>
      </c>
      <c r="AE16">
        <v>744417</v>
      </c>
      <c r="AF16">
        <v>749053</v>
      </c>
      <c r="AG16">
        <v>733085</v>
      </c>
      <c r="AH16">
        <v>740124</v>
      </c>
      <c r="AI16">
        <v>739988</v>
      </c>
      <c r="AJ16">
        <v>746297</v>
      </c>
      <c r="AK16">
        <v>747715</v>
      </c>
      <c r="AL16">
        <v>717222</v>
      </c>
      <c r="AM16">
        <v>668867</v>
      </c>
      <c r="AN16">
        <v>658257</v>
      </c>
      <c r="AO16">
        <v>669407</v>
      </c>
      <c r="AP16">
        <v>682251</v>
      </c>
      <c r="AQ16">
        <v>693835</v>
      </c>
      <c r="AR16">
        <v>723529</v>
      </c>
      <c r="AS16">
        <v>753580</v>
      </c>
      <c r="AT16">
        <v>777644</v>
      </c>
      <c r="AU16">
        <v>758816</v>
      </c>
      <c r="AV16">
        <v>776700</v>
      </c>
      <c r="AW16">
        <v>775852</v>
      </c>
      <c r="AX16">
        <v>787049</v>
      </c>
      <c r="AY16">
        <v>787545</v>
      </c>
      <c r="AZ16">
        <v>791217</v>
      </c>
      <c r="BA16">
        <v>783475</v>
      </c>
      <c r="BB16">
        <v>766662</v>
      </c>
      <c r="BC16">
        <v>749793</v>
      </c>
      <c r="BD16">
        <v>723407</v>
      </c>
      <c r="BE16">
        <v>693951</v>
      </c>
      <c r="BF16">
        <v>678012</v>
      </c>
      <c r="BG16">
        <v>662868</v>
      </c>
      <c r="BH16">
        <v>637850</v>
      </c>
      <c r="BI16">
        <v>615181</v>
      </c>
      <c r="BJ16">
        <v>592670</v>
      </c>
      <c r="BK16">
        <v>594213</v>
      </c>
      <c r="BL16">
        <v>586924</v>
      </c>
      <c r="BM16">
        <v>570678</v>
      </c>
      <c r="BN16">
        <v>574970</v>
      </c>
      <c r="BO16">
        <v>587146</v>
      </c>
      <c r="BP16">
        <v>601943</v>
      </c>
      <c r="BQ16">
        <v>635751</v>
      </c>
      <c r="BR16">
        <v>690209</v>
      </c>
      <c r="BS16">
        <v>531985</v>
      </c>
      <c r="BT16">
        <v>515573</v>
      </c>
      <c r="BU16">
        <v>512750</v>
      </c>
      <c r="BV16">
        <v>475767</v>
      </c>
      <c r="BW16">
        <v>423577</v>
      </c>
      <c r="BX16">
        <v>380351</v>
      </c>
      <c r="BY16">
        <v>394967</v>
      </c>
      <c r="BZ16">
        <v>390814</v>
      </c>
      <c r="CA16">
        <v>378656</v>
      </c>
      <c r="CB16">
        <v>357814</v>
      </c>
      <c r="CC16">
        <v>338316</v>
      </c>
      <c r="CD16">
        <v>319358</v>
      </c>
      <c r="CE16">
        <v>293318</v>
      </c>
      <c r="CF16">
        <v>276571</v>
      </c>
      <c r="CG16">
        <v>266116</v>
      </c>
      <c r="CH16">
        <v>249473</v>
      </c>
      <c r="CI16">
        <v>228883</v>
      </c>
      <c r="CJ16">
        <v>202900</v>
      </c>
      <c r="CK16">
        <v>179149</v>
      </c>
      <c r="CL16">
        <v>160080</v>
      </c>
      <c r="CM16">
        <v>141345</v>
      </c>
      <c r="CN16">
        <v>121637</v>
      </c>
      <c r="CO16">
        <v>470405</v>
      </c>
      <c r="CQ16">
        <f t="shared" si="0"/>
        <v>54316618</v>
      </c>
    </row>
    <row r="17" spans="1:95" ht="18">
      <c r="A17" s="260">
        <v>54786327</v>
      </c>
      <c r="B17" s="257">
        <f>[177]Sheet1!C41</f>
        <v>2015</v>
      </c>
      <c r="C17">
        <v>662977</v>
      </c>
      <c r="D17">
        <v>670993</v>
      </c>
      <c r="E17">
        <v>688932</v>
      </c>
      <c r="F17">
        <v>712587</v>
      </c>
      <c r="G17">
        <v>699191</v>
      </c>
      <c r="H17">
        <v>687611</v>
      </c>
      <c r="I17">
        <v>677724</v>
      </c>
      <c r="J17">
        <v>683397</v>
      </c>
      <c r="K17">
        <v>661182</v>
      </c>
      <c r="L17">
        <v>647549</v>
      </c>
      <c r="M17">
        <v>620073</v>
      </c>
      <c r="N17">
        <v>609790</v>
      </c>
      <c r="O17">
        <v>592130</v>
      </c>
      <c r="P17">
        <v>581609</v>
      </c>
      <c r="Q17">
        <v>596693</v>
      </c>
      <c r="R17">
        <v>612676</v>
      </c>
      <c r="S17">
        <v>631635</v>
      </c>
      <c r="T17">
        <v>641107</v>
      </c>
      <c r="U17">
        <v>661031</v>
      </c>
      <c r="V17">
        <v>666840</v>
      </c>
      <c r="W17">
        <v>673761</v>
      </c>
      <c r="X17">
        <v>701685</v>
      </c>
      <c r="Y17">
        <v>712095</v>
      </c>
      <c r="Z17">
        <v>740862</v>
      </c>
      <c r="AA17">
        <v>763854</v>
      </c>
      <c r="AB17">
        <v>754595</v>
      </c>
      <c r="AC17">
        <v>749216</v>
      </c>
      <c r="AD17">
        <v>759356</v>
      </c>
      <c r="AE17">
        <v>742544</v>
      </c>
      <c r="AF17">
        <v>752257</v>
      </c>
      <c r="AG17">
        <v>754383</v>
      </c>
      <c r="AH17">
        <v>737768</v>
      </c>
      <c r="AI17">
        <v>744176</v>
      </c>
      <c r="AJ17">
        <v>742944</v>
      </c>
      <c r="AK17">
        <v>748757</v>
      </c>
      <c r="AL17">
        <v>749992</v>
      </c>
      <c r="AM17">
        <v>719287</v>
      </c>
      <c r="AN17">
        <v>670798</v>
      </c>
      <c r="AO17">
        <v>660061</v>
      </c>
      <c r="AP17">
        <v>670780</v>
      </c>
      <c r="AQ17">
        <v>683903</v>
      </c>
      <c r="AR17">
        <v>694559</v>
      </c>
      <c r="AS17">
        <v>724677</v>
      </c>
      <c r="AT17">
        <v>754561</v>
      </c>
      <c r="AU17">
        <v>778754</v>
      </c>
      <c r="AV17">
        <v>759786</v>
      </c>
      <c r="AW17">
        <v>777437</v>
      </c>
      <c r="AX17">
        <v>776611</v>
      </c>
      <c r="AY17">
        <v>787611</v>
      </c>
      <c r="AZ17">
        <v>787915</v>
      </c>
      <c r="BA17">
        <v>791066</v>
      </c>
      <c r="BB17">
        <v>783305</v>
      </c>
      <c r="BC17">
        <v>765857</v>
      </c>
      <c r="BD17">
        <v>748704</v>
      </c>
      <c r="BE17">
        <v>722068</v>
      </c>
      <c r="BF17">
        <v>692374</v>
      </c>
      <c r="BG17">
        <v>676158</v>
      </c>
      <c r="BH17">
        <v>661089</v>
      </c>
      <c r="BI17">
        <v>635797</v>
      </c>
      <c r="BJ17">
        <v>612904</v>
      </c>
      <c r="BK17">
        <v>590280</v>
      </c>
      <c r="BL17">
        <v>591581</v>
      </c>
      <c r="BM17">
        <v>583991</v>
      </c>
      <c r="BN17">
        <v>567596</v>
      </c>
      <c r="BO17">
        <v>571273</v>
      </c>
      <c r="BP17">
        <v>582595</v>
      </c>
      <c r="BQ17">
        <v>596441</v>
      </c>
      <c r="BR17">
        <v>629564</v>
      </c>
      <c r="BS17">
        <v>682834</v>
      </c>
      <c r="BT17">
        <v>525701</v>
      </c>
      <c r="BU17">
        <v>508499</v>
      </c>
      <c r="BV17">
        <v>504922</v>
      </c>
      <c r="BW17">
        <v>467555</v>
      </c>
      <c r="BX17">
        <v>415572</v>
      </c>
      <c r="BY17">
        <v>372072</v>
      </c>
      <c r="BZ17">
        <v>385501</v>
      </c>
      <c r="CA17">
        <v>380304</v>
      </c>
      <c r="CB17">
        <v>367100</v>
      </c>
      <c r="CC17">
        <v>345778</v>
      </c>
      <c r="CD17">
        <v>325545</v>
      </c>
      <c r="CE17">
        <v>305377</v>
      </c>
      <c r="CF17">
        <v>278932</v>
      </c>
      <c r="CG17">
        <v>261228</v>
      </c>
      <c r="CH17">
        <v>249194</v>
      </c>
      <c r="CI17">
        <v>231569</v>
      </c>
      <c r="CJ17">
        <v>210446</v>
      </c>
      <c r="CK17">
        <v>184425</v>
      </c>
      <c r="CL17">
        <v>160779</v>
      </c>
      <c r="CM17">
        <v>141595</v>
      </c>
      <c r="CN17">
        <v>123076</v>
      </c>
      <c r="CO17">
        <v>474968</v>
      </c>
      <c r="CQ17">
        <f t="shared" si="0"/>
        <v>54786327</v>
      </c>
    </row>
    <row r="18" spans="1:95" ht="18">
      <c r="A18" s="260">
        <v>55268067</v>
      </c>
      <c r="B18" s="257">
        <f>[177]Sheet1!C42</f>
        <v>2016</v>
      </c>
      <c r="C18">
        <v>669103</v>
      </c>
      <c r="D18">
        <v>669817</v>
      </c>
      <c r="E18">
        <v>677469</v>
      </c>
      <c r="F18">
        <v>694761</v>
      </c>
      <c r="G18">
        <v>717896</v>
      </c>
      <c r="H18">
        <v>703755</v>
      </c>
      <c r="I18">
        <v>691506</v>
      </c>
      <c r="J18">
        <v>681478</v>
      </c>
      <c r="K18">
        <v>686819</v>
      </c>
      <c r="L18">
        <v>664708</v>
      </c>
      <c r="M18">
        <v>651144</v>
      </c>
      <c r="N18">
        <v>623877</v>
      </c>
      <c r="O18">
        <v>613777</v>
      </c>
      <c r="P18">
        <v>595930</v>
      </c>
      <c r="Q18">
        <v>585526</v>
      </c>
      <c r="R18">
        <v>601534</v>
      </c>
      <c r="S18">
        <v>617703</v>
      </c>
      <c r="T18">
        <v>638474</v>
      </c>
      <c r="U18">
        <v>648918</v>
      </c>
      <c r="V18">
        <v>672781</v>
      </c>
      <c r="W18">
        <v>680387</v>
      </c>
      <c r="X18">
        <v>685748</v>
      </c>
      <c r="Y18">
        <v>715536</v>
      </c>
      <c r="Z18">
        <v>726123</v>
      </c>
      <c r="AA18">
        <v>752162</v>
      </c>
      <c r="AB18">
        <v>773554</v>
      </c>
      <c r="AC18">
        <v>763613</v>
      </c>
      <c r="AD18">
        <v>757456</v>
      </c>
      <c r="AE18">
        <v>767042</v>
      </c>
      <c r="AF18">
        <v>749922</v>
      </c>
      <c r="AG18">
        <v>757634</v>
      </c>
      <c r="AH18">
        <v>758621</v>
      </c>
      <c r="AI18">
        <v>741533</v>
      </c>
      <c r="AJ18">
        <v>746768</v>
      </c>
      <c r="AK18">
        <v>745067</v>
      </c>
      <c r="AL18">
        <v>750423</v>
      </c>
      <c r="AM18">
        <v>751937</v>
      </c>
      <c r="AN18">
        <v>721171</v>
      </c>
      <c r="AO18">
        <v>672364</v>
      </c>
      <c r="AP18">
        <v>661116</v>
      </c>
      <c r="AQ18">
        <v>672257</v>
      </c>
      <c r="AR18">
        <v>684648</v>
      </c>
      <c r="AS18">
        <v>696493</v>
      </c>
      <c r="AT18">
        <v>725840</v>
      </c>
      <c r="AU18">
        <v>756028</v>
      </c>
      <c r="AV18">
        <v>779687</v>
      </c>
      <c r="AW18">
        <v>760798</v>
      </c>
      <c r="AX18">
        <v>777816</v>
      </c>
      <c r="AY18">
        <v>776814</v>
      </c>
      <c r="AZ18">
        <v>787964</v>
      </c>
      <c r="BA18">
        <v>787783</v>
      </c>
      <c r="BB18">
        <v>790516</v>
      </c>
      <c r="BC18">
        <v>782476</v>
      </c>
      <c r="BD18">
        <v>764921</v>
      </c>
      <c r="BE18">
        <v>747399</v>
      </c>
      <c r="BF18">
        <v>720501</v>
      </c>
      <c r="BG18">
        <v>690480</v>
      </c>
      <c r="BH18">
        <v>674170</v>
      </c>
      <c r="BI18">
        <v>658879</v>
      </c>
      <c r="BJ18">
        <v>633630</v>
      </c>
      <c r="BK18">
        <v>610494</v>
      </c>
      <c r="BL18">
        <v>587509</v>
      </c>
      <c r="BM18">
        <v>588568</v>
      </c>
      <c r="BN18">
        <v>580671</v>
      </c>
      <c r="BO18">
        <v>563731</v>
      </c>
      <c r="BP18">
        <v>566478</v>
      </c>
      <c r="BQ18">
        <v>577281</v>
      </c>
      <c r="BR18">
        <v>590764</v>
      </c>
      <c r="BS18">
        <v>622899</v>
      </c>
      <c r="BT18">
        <v>674633</v>
      </c>
      <c r="BU18">
        <v>518596</v>
      </c>
      <c r="BV18">
        <v>500806</v>
      </c>
      <c r="BW18">
        <v>496588</v>
      </c>
      <c r="BX18">
        <v>458582</v>
      </c>
      <c r="BY18">
        <v>406717</v>
      </c>
      <c r="BZ18">
        <v>363263</v>
      </c>
      <c r="CA18">
        <v>375407</v>
      </c>
      <c r="CB18">
        <v>369087</v>
      </c>
      <c r="CC18">
        <v>354957</v>
      </c>
      <c r="CD18">
        <v>333332</v>
      </c>
      <c r="CE18">
        <v>312214</v>
      </c>
      <c r="CF18">
        <v>291144</v>
      </c>
      <c r="CG18">
        <v>264161</v>
      </c>
      <c r="CH18">
        <v>245530</v>
      </c>
      <c r="CI18">
        <v>232310</v>
      </c>
      <c r="CJ18">
        <v>213876</v>
      </c>
      <c r="CK18">
        <v>192240</v>
      </c>
      <c r="CL18">
        <v>166582</v>
      </c>
      <c r="CM18">
        <v>143201</v>
      </c>
      <c r="CN18">
        <v>124347</v>
      </c>
      <c r="CO18">
        <v>487846</v>
      </c>
      <c r="CQ18">
        <f t="shared" si="0"/>
        <v>55268067</v>
      </c>
    </row>
    <row r="19" spans="1:95" ht="18">
      <c r="A19" s="260">
        <v>55619430</v>
      </c>
      <c r="B19" s="257">
        <f>[177]Sheet1!C43</f>
        <v>2017</v>
      </c>
      <c r="C19">
        <v>653467</v>
      </c>
      <c r="D19">
        <v>674807</v>
      </c>
      <c r="E19">
        <v>675045</v>
      </c>
      <c r="F19">
        <v>682356</v>
      </c>
      <c r="G19">
        <v>699250</v>
      </c>
      <c r="H19">
        <v>721708</v>
      </c>
      <c r="I19">
        <v>707075</v>
      </c>
      <c r="J19">
        <v>694480</v>
      </c>
      <c r="K19">
        <v>684370</v>
      </c>
      <c r="L19">
        <v>689769</v>
      </c>
      <c r="M19">
        <v>667818</v>
      </c>
      <c r="N19">
        <v>654366</v>
      </c>
      <c r="O19">
        <v>627407</v>
      </c>
      <c r="P19">
        <v>616975</v>
      </c>
      <c r="Q19">
        <v>599472</v>
      </c>
      <c r="R19">
        <v>589606</v>
      </c>
      <c r="S19">
        <v>605724</v>
      </c>
      <c r="T19">
        <v>623262</v>
      </c>
      <c r="U19">
        <v>645133</v>
      </c>
      <c r="V19">
        <v>657005</v>
      </c>
      <c r="W19">
        <v>683225</v>
      </c>
      <c r="X19">
        <v>689511</v>
      </c>
      <c r="Y19">
        <v>696484</v>
      </c>
      <c r="Z19">
        <v>725250</v>
      </c>
      <c r="AA19">
        <v>731671</v>
      </c>
      <c r="AB19">
        <v>757328</v>
      </c>
      <c r="AC19">
        <v>777368</v>
      </c>
      <c r="AD19">
        <v>766804</v>
      </c>
      <c r="AE19">
        <v>760183</v>
      </c>
      <c r="AF19">
        <v>769941</v>
      </c>
      <c r="AG19">
        <v>750908</v>
      </c>
      <c r="AH19">
        <v>758385</v>
      </c>
      <c r="AI19">
        <v>759405</v>
      </c>
      <c r="AJ19">
        <v>742057</v>
      </c>
      <c r="AK19">
        <v>746645</v>
      </c>
      <c r="AL19">
        <v>745156</v>
      </c>
      <c r="AM19">
        <v>751170</v>
      </c>
      <c r="AN19">
        <v>751999</v>
      </c>
      <c r="AO19">
        <v>721545</v>
      </c>
      <c r="AP19">
        <v>672773</v>
      </c>
      <c r="AQ19">
        <v>661552</v>
      </c>
      <c r="AR19">
        <v>672434</v>
      </c>
      <c r="AS19">
        <v>685495</v>
      </c>
      <c r="AT19">
        <v>696865</v>
      </c>
      <c r="AU19">
        <v>726412</v>
      </c>
      <c r="AV19">
        <v>756155</v>
      </c>
      <c r="AW19">
        <v>779708</v>
      </c>
      <c r="AX19">
        <v>760419</v>
      </c>
      <c r="AY19">
        <v>777432</v>
      </c>
      <c r="AZ19">
        <v>776394</v>
      </c>
      <c r="BA19">
        <v>787115</v>
      </c>
      <c r="BB19">
        <v>786693</v>
      </c>
      <c r="BC19">
        <v>789137</v>
      </c>
      <c r="BD19">
        <v>781098</v>
      </c>
      <c r="BE19">
        <v>763153</v>
      </c>
      <c r="BF19">
        <v>745219</v>
      </c>
      <c r="BG19">
        <v>718187</v>
      </c>
      <c r="BH19">
        <v>688112</v>
      </c>
      <c r="BI19">
        <v>671436</v>
      </c>
      <c r="BJ19">
        <v>656080</v>
      </c>
      <c r="BK19">
        <v>630542</v>
      </c>
      <c r="BL19">
        <v>607135</v>
      </c>
      <c r="BM19">
        <v>584177</v>
      </c>
      <c r="BN19">
        <v>584568</v>
      </c>
      <c r="BO19">
        <v>576498</v>
      </c>
      <c r="BP19">
        <v>558618</v>
      </c>
      <c r="BQ19">
        <v>561050</v>
      </c>
      <c r="BR19">
        <v>571179</v>
      </c>
      <c r="BS19">
        <v>584410</v>
      </c>
      <c r="BT19">
        <v>615389</v>
      </c>
      <c r="BU19">
        <v>665499</v>
      </c>
      <c r="BV19">
        <v>510863</v>
      </c>
      <c r="BW19">
        <v>492182</v>
      </c>
      <c r="BX19">
        <v>487021</v>
      </c>
      <c r="BY19">
        <v>448970</v>
      </c>
      <c r="BZ19">
        <v>396976</v>
      </c>
      <c r="CA19">
        <v>353696</v>
      </c>
      <c r="CB19">
        <v>364242</v>
      </c>
      <c r="CC19">
        <v>356752</v>
      </c>
      <c r="CD19">
        <v>341754</v>
      </c>
      <c r="CE19">
        <v>319364</v>
      </c>
      <c r="CF19">
        <v>297652</v>
      </c>
      <c r="CG19">
        <v>275694</v>
      </c>
      <c r="CH19">
        <v>248408</v>
      </c>
      <c r="CI19">
        <v>228736</v>
      </c>
      <c r="CJ19">
        <v>214145</v>
      </c>
      <c r="CK19">
        <v>195523</v>
      </c>
      <c r="CL19">
        <v>173368</v>
      </c>
      <c r="CM19">
        <v>148227</v>
      </c>
      <c r="CN19">
        <v>125549</v>
      </c>
      <c r="CO19">
        <v>495244</v>
      </c>
      <c r="CQ19">
        <f t="shared" si="0"/>
        <v>55619430</v>
      </c>
    </row>
    <row r="20" spans="1:95" ht="18">
      <c r="A20" s="260">
        <v>55977178</v>
      </c>
      <c r="B20" s="257">
        <f>[177]Sheet1!C44</f>
        <v>2018</v>
      </c>
      <c r="C20">
        <v>637834</v>
      </c>
      <c r="D20">
        <v>659890</v>
      </c>
      <c r="E20">
        <v>681032</v>
      </c>
      <c r="F20">
        <v>680758</v>
      </c>
      <c r="G20">
        <v>687213</v>
      </c>
      <c r="H20">
        <v>703391</v>
      </c>
      <c r="I20">
        <v>725210</v>
      </c>
      <c r="J20">
        <v>710174</v>
      </c>
      <c r="K20">
        <v>697777</v>
      </c>
      <c r="L20">
        <v>687314</v>
      </c>
      <c r="M20">
        <v>693071</v>
      </c>
      <c r="N20">
        <v>671108</v>
      </c>
      <c r="O20">
        <v>658113</v>
      </c>
      <c r="P20">
        <v>630959</v>
      </c>
      <c r="Q20">
        <v>620868</v>
      </c>
      <c r="R20">
        <v>603746</v>
      </c>
      <c r="S20">
        <v>593955</v>
      </c>
      <c r="T20">
        <v>612205</v>
      </c>
      <c r="U20">
        <v>630236</v>
      </c>
      <c r="V20">
        <v>656433</v>
      </c>
      <c r="W20">
        <v>669694</v>
      </c>
      <c r="X20">
        <v>694390</v>
      </c>
      <c r="Y20">
        <v>703885</v>
      </c>
      <c r="Z20">
        <v>710202</v>
      </c>
      <c r="AA20">
        <v>734483</v>
      </c>
      <c r="AB20">
        <v>739076</v>
      </c>
      <c r="AC20">
        <v>762933</v>
      </c>
      <c r="AD20">
        <v>781262</v>
      </c>
      <c r="AE20">
        <v>769510</v>
      </c>
      <c r="AF20">
        <v>763143</v>
      </c>
      <c r="AG20">
        <v>771626</v>
      </c>
      <c r="AH20">
        <v>752425</v>
      </c>
      <c r="AI20">
        <v>760433</v>
      </c>
      <c r="AJ20">
        <v>760467</v>
      </c>
      <c r="AK20">
        <v>742646</v>
      </c>
      <c r="AL20">
        <v>747355</v>
      </c>
      <c r="AM20">
        <v>745970</v>
      </c>
      <c r="AN20">
        <v>750994</v>
      </c>
      <c r="AO20">
        <v>751689</v>
      </c>
      <c r="AP20">
        <v>721475</v>
      </c>
      <c r="AQ20">
        <v>672988</v>
      </c>
      <c r="AR20">
        <v>661587</v>
      </c>
      <c r="AS20">
        <v>673229</v>
      </c>
      <c r="AT20">
        <v>685692</v>
      </c>
      <c r="AU20">
        <v>697088</v>
      </c>
      <c r="AV20">
        <v>726278</v>
      </c>
      <c r="AW20">
        <v>756102</v>
      </c>
      <c r="AX20">
        <v>779456</v>
      </c>
      <c r="AY20">
        <v>760189</v>
      </c>
      <c r="AZ20">
        <v>777217</v>
      </c>
      <c r="BA20">
        <v>775934</v>
      </c>
      <c r="BB20">
        <v>786339</v>
      </c>
      <c r="BC20">
        <v>785536</v>
      </c>
      <c r="BD20">
        <v>787954</v>
      </c>
      <c r="BE20">
        <v>779688</v>
      </c>
      <c r="BF20">
        <v>761252</v>
      </c>
      <c r="BG20">
        <v>742901</v>
      </c>
      <c r="BH20">
        <v>715910</v>
      </c>
      <c r="BI20">
        <v>685060</v>
      </c>
      <c r="BJ20">
        <v>668206</v>
      </c>
      <c r="BK20">
        <v>652943</v>
      </c>
      <c r="BL20">
        <v>626944</v>
      </c>
      <c r="BM20">
        <v>603322</v>
      </c>
      <c r="BN20">
        <v>580433</v>
      </c>
      <c r="BO20">
        <v>580732</v>
      </c>
      <c r="BP20">
        <v>571303</v>
      </c>
      <c r="BQ20">
        <v>553421</v>
      </c>
      <c r="BR20">
        <v>555379</v>
      </c>
      <c r="BS20">
        <v>565071</v>
      </c>
      <c r="BT20">
        <v>577419</v>
      </c>
      <c r="BU20">
        <v>607104</v>
      </c>
      <c r="BV20">
        <v>655698</v>
      </c>
      <c r="BW20">
        <v>502223</v>
      </c>
      <c r="BX20">
        <v>482933</v>
      </c>
      <c r="BY20">
        <v>476842</v>
      </c>
      <c r="BZ20">
        <v>438272</v>
      </c>
      <c r="CA20">
        <v>386454</v>
      </c>
      <c r="CB20">
        <v>342915</v>
      </c>
      <c r="CC20">
        <v>352025</v>
      </c>
      <c r="CD20">
        <v>343460</v>
      </c>
      <c r="CE20">
        <v>327252</v>
      </c>
      <c r="CF20">
        <v>304265</v>
      </c>
      <c r="CG20">
        <v>281645</v>
      </c>
      <c r="CH20">
        <v>259280</v>
      </c>
      <c r="CI20">
        <v>231314</v>
      </c>
      <c r="CJ20">
        <v>211152</v>
      </c>
      <c r="CK20">
        <v>195247</v>
      </c>
      <c r="CL20">
        <v>175993</v>
      </c>
      <c r="CM20">
        <v>153958</v>
      </c>
      <c r="CN20">
        <v>129352</v>
      </c>
      <c r="CO20">
        <v>499276</v>
      </c>
      <c r="CQ20">
        <f t="shared" si="0"/>
        <v>55977178</v>
      </c>
    </row>
    <row r="21" spans="1:95" ht="18">
      <c r="A21" s="260">
        <v>56286961</v>
      </c>
      <c r="B21" s="257">
        <f>[177]Sheet1!C45</f>
        <v>2019</v>
      </c>
      <c r="C21">
        <v>618858</v>
      </c>
      <c r="D21">
        <v>644056</v>
      </c>
      <c r="E21">
        <v>665596</v>
      </c>
      <c r="F21">
        <v>686135</v>
      </c>
      <c r="G21">
        <v>684992</v>
      </c>
      <c r="H21">
        <v>691122</v>
      </c>
      <c r="I21">
        <v>706742</v>
      </c>
      <c r="J21">
        <v>727938</v>
      </c>
      <c r="K21">
        <v>712204</v>
      </c>
      <c r="L21">
        <v>700200</v>
      </c>
      <c r="M21">
        <v>689733</v>
      </c>
      <c r="N21">
        <v>695753</v>
      </c>
      <c r="O21">
        <v>673789</v>
      </c>
      <c r="P21">
        <v>660928</v>
      </c>
      <c r="Q21">
        <v>634043</v>
      </c>
      <c r="R21">
        <v>624590</v>
      </c>
      <c r="S21">
        <v>607496</v>
      </c>
      <c r="T21">
        <v>599393</v>
      </c>
      <c r="U21">
        <v>618873</v>
      </c>
      <c r="V21">
        <v>639880</v>
      </c>
      <c r="W21">
        <v>668129</v>
      </c>
      <c r="X21">
        <v>679576</v>
      </c>
      <c r="Y21">
        <v>706968</v>
      </c>
      <c r="Z21">
        <v>715442</v>
      </c>
      <c r="AA21">
        <v>717748</v>
      </c>
      <c r="AB21">
        <v>740656</v>
      </c>
      <c r="AC21">
        <v>742735</v>
      </c>
      <c r="AD21">
        <v>765411</v>
      </c>
      <c r="AE21">
        <v>782363</v>
      </c>
      <c r="AF21">
        <v>770244</v>
      </c>
      <c r="AG21">
        <v>762666</v>
      </c>
      <c r="AH21">
        <v>771667</v>
      </c>
      <c r="AI21">
        <v>752937</v>
      </c>
      <c r="AJ21">
        <v>760681</v>
      </c>
      <c r="AK21">
        <v>760003</v>
      </c>
      <c r="AL21">
        <v>741443</v>
      </c>
      <c r="AM21">
        <v>746952</v>
      </c>
      <c r="AN21">
        <v>745065</v>
      </c>
      <c r="AO21">
        <v>749311</v>
      </c>
      <c r="AP21">
        <v>750871</v>
      </c>
      <c r="AQ21">
        <v>721254</v>
      </c>
      <c r="AR21">
        <v>672514</v>
      </c>
      <c r="AS21">
        <v>661799</v>
      </c>
      <c r="AT21">
        <v>673246</v>
      </c>
      <c r="AU21">
        <v>685484</v>
      </c>
      <c r="AV21">
        <v>696569</v>
      </c>
      <c r="AW21">
        <v>725600</v>
      </c>
      <c r="AX21">
        <v>755206</v>
      </c>
      <c r="AY21">
        <v>778729</v>
      </c>
      <c r="AZ21">
        <v>759708</v>
      </c>
      <c r="BA21">
        <v>776578</v>
      </c>
      <c r="BB21">
        <v>775173</v>
      </c>
      <c r="BC21">
        <v>785471</v>
      </c>
      <c r="BD21">
        <v>784074</v>
      </c>
      <c r="BE21">
        <v>786165</v>
      </c>
      <c r="BF21">
        <v>777616</v>
      </c>
      <c r="BG21">
        <v>758665</v>
      </c>
      <c r="BH21">
        <v>740085</v>
      </c>
      <c r="BI21">
        <v>712624</v>
      </c>
      <c r="BJ21">
        <v>681661</v>
      </c>
      <c r="BK21">
        <v>664457</v>
      </c>
      <c r="BL21">
        <v>649021</v>
      </c>
      <c r="BM21">
        <v>622905</v>
      </c>
      <c r="BN21">
        <v>599252</v>
      </c>
      <c r="BO21">
        <v>576200</v>
      </c>
      <c r="BP21">
        <v>575744</v>
      </c>
      <c r="BQ21">
        <v>566050</v>
      </c>
      <c r="BR21">
        <v>547827</v>
      </c>
      <c r="BS21">
        <v>549233</v>
      </c>
      <c r="BT21">
        <v>557886</v>
      </c>
      <c r="BU21">
        <v>569617</v>
      </c>
      <c r="BV21">
        <v>598038</v>
      </c>
      <c r="BW21">
        <v>645078</v>
      </c>
      <c r="BX21">
        <v>493261</v>
      </c>
      <c r="BY21">
        <v>473332</v>
      </c>
      <c r="BZ21">
        <v>466239</v>
      </c>
      <c r="CA21">
        <v>427207</v>
      </c>
      <c r="CB21">
        <v>375723</v>
      </c>
      <c r="CC21">
        <v>332047</v>
      </c>
      <c r="CD21">
        <v>339470</v>
      </c>
      <c r="CE21">
        <v>329713</v>
      </c>
      <c r="CF21">
        <v>312737</v>
      </c>
      <c r="CG21">
        <v>289092</v>
      </c>
      <c r="CH21">
        <v>265631</v>
      </c>
      <c r="CI21">
        <v>242740</v>
      </c>
      <c r="CJ21">
        <v>214727</v>
      </c>
      <c r="CK21">
        <v>194007</v>
      </c>
      <c r="CL21">
        <v>177399</v>
      </c>
      <c r="CM21">
        <v>157770</v>
      </c>
      <c r="CN21">
        <v>135875</v>
      </c>
      <c r="CO21">
        <v>517273</v>
      </c>
      <c r="CP21" s="172"/>
      <c r="CQ21">
        <f t="shared" si="0"/>
        <v>56286961</v>
      </c>
    </row>
    <row r="22" spans="1:95" ht="18">
      <c r="A22" s="260"/>
      <c r="B22" s="257"/>
      <c r="CP22" s="172"/>
    </row>
    <row r="23" spans="1:95">
      <c r="B23" s="172"/>
      <c r="C23" s="259">
        <v>0</v>
      </c>
      <c r="D23">
        <v>1</v>
      </c>
      <c r="E23">
        <v>2</v>
      </c>
      <c r="F23">
        <v>3</v>
      </c>
      <c r="G23">
        <v>4</v>
      </c>
      <c r="H23">
        <v>5</v>
      </c>
      <c r="I23">
        <v>6</v>
      </c>
      <c r="J23">
        <v>7</v>
      </c>
      <c r="K23">
        <v>8</v>
      </c>
      <c r="L23">
        <v>9</v>
      </c>
      <c r="M23">
        <v>10</v>
      </c>
      <c r="N23">
        <v>11</v>
      </c>
      <c r="O23">
        <v>12</v>
      </c>
      <c r="P23">
        <v>13</v>
      </c>
      <c r="Q23">
        <v>14</v>
      </c>
      <c r="R23">
        <v>15</v>
      </c>
      <c r="S23">
        <v>16</v>
      </c>
      <c r="T23">
        <v>17</v>
      </c>
      <c r="U23">
        <v>18</v>
      </c>
      <c r="V23">
        <v>19</v>
      </c>
      <c r="W23">
        <v>20</v>
      </c>
      <c r="X23">
        <v>21</v>
      </c>
      <c r="Y23">
        <v>22</v>
      </c>
      <c r="Z23">
        <v>23</v>
      </c>
      <c r="AA23">
        <v>24</v>
      </c>
      <c r="AB23">
        <v>25</v>
      </c>
      <c r="AC23">
        <v>26</v>
      </c>
      <c r="AD23">
        <v>27</v>
      </c>
      <c r="AE23">
        <v>28</v>
      </c>
      <c r="AF23">
        <v>29</v>
      </c>
      <c r="AG23">
        <v>30</v>
      </c>
      <c r="AH23">
        <v>31</v>
      </c>
      <c r="AI23">
        <v>32</v>
      </c>
      <c r="AJ23">
        <v>33</v>
      </c>
      <c r="AK23">
        <v>34</v>
      </c>
      <c r="AL23">
        <v>35</v>
      </c>
      <c r="AM23">
        <v>36</v>
      </c>
      <c r="AN23">
        <v>37</v>
      </c>
      <c r="AO23">
        <v>38</v>
      </c>
      <c r="AP23">
        <v>39</v>
      </c>
      <c r="AQ23">
        <v>40</v>
      </c>
      <c r="AR23">
        <v>41</v>
      </c>
      <c r="AS23">
        <v>42</v>
      </c>
      <c r="AT23">
        <v>43</v>
      </c>
      <c r="AU23">
        <v>44</v>
      </c>
      <c r="AV23">
        <v>45</v>
      </c>
      <c r="AW23">
        <v>46</v>
      </c>
      <c r="AX23">
        <v>47</v>
      </c>
      <c r="AY23">
        <v>48</v>
      </c>
      <c r="AZ23">
        <v>49</v>
      </c>
      <c r="BA23">
        <v>50</v>
      </c>
      <c r="BB23">
        <v>51</v>
      </c>
      <c r="BC23">
        <v>52</v>
      </c>
      <c r="BD23">
        <v>53</v>
      </c>
      <c r="BE23">
        <v>54</v>
      </c>
      <c r="BF23">
        <v>55</v>
      </c>
      <c r="BG23">
        <v>56</v>
      </c>
      <c r="BH23">
        <v>57</v>
      </c>
      <c r="BI23">
        <v>58</v>
      </c>
      <c r="BJ23">
        <v>59</v>
      </c>
      <c r="BK23">
        <v>60</v>
      </c>
      <c r="BL23">
        <v>61</v>
      </c>
      <c r="BM23">
        <v>62</v>
      </c>
      <c r="BN23">
        <v>63</v>
      </c>
      <c r="BO23">
        <v>64</v>
      </c>
      <c r="BP23">
        <v>65</v>
      </c>
      <c r="BQ23">
        <v>66</v>
      </c>
      <c r="BR23">
        <v>67</v>
      </c>
      <c r="BS23">
        <v>68</v>
      </c>
      <c r="BT23">
        <v>69</v>
      </c>
      <c r="BU23">
        <v>70</v>
      </c>
      <c r="BV23">
        <v>71</v>
      </c>
      <c r="BW23">
        <v>72</v>
      </c>
      <c r="BX23">
        <v>73</v>
      </c>
      <c r="BY23">
        <v>74</v>
      </c>
      <c r="BZ23">
        <v>75</v>
      </c>
      <c r="CA23">
        <v>76</v>
      </c>
      <c r="CB23">
        <v>77</v>
      </c>
      <c r="CC23">
        <v>78</v>
      </c>
      <c r="CD23">
        <v>79</v>
      </c>
      <c r="CE23">
        <v>80</v>
      </c>
      <c r="CF23">
        <v>81</v>
      </c>
      <c r="CG23">
        <v>82</v>
      </c>
      <c r="CH23">
        <v>83</v>
      </c>
      <c r="CI23">
        <v>84</v>
      </c>
      <c r="CJ23">
        <v>85</v>
      </c>
      <c r="CK23">
        <v>86</v>
      </c>
      <c r="CL23">
        <v>87</v>
      </c>
      <c r="CM23">
        <v>88</v>
      </c>
      <c r="CN23">
        <v>89</v>
      </c>
      <c r="CO23" t="s">
        <v>1792</v>
      </c>
    </row>
    <row r="24" spans="1:95">
      <c r="B24" t="s">
        <v>404</v>
      </c>
      <c r="C24" s="258">
        <v>3.3931426482653544</v>
      </c>
      <c r="D24" s="258">
        <v>3.2679050407622903</v>
      </c>
      <c r="E24" s="258">
        <v>3.0913430549081613</v>
      </c>
      <c r="F24" s="258">
        <v>2.8654191224183192</v>
      </c>
      <c r="G24" s="258">
        <v>2.5928465404135275</v>
      </c>
      <c r="H24" s="258">
        <v>2.259297906000151</v>
      </c>
      <c r="I24" s="258">
        <v>2.0119773144098989</v>
      </c>
      <c r="J24" s="258">
        <v>1.7816106393161202</v>
      </c>
      <c r="K24" s="258">
        <v>1.5711164751496161</v>
      </c>
      <c r="L24" s="258">
        <v>1.3827065387451942</v>
      </c>
      <c r="M24" s="258">
        <v>1.2355512311080041</v>
      </c>
      <c r="N24" s="258">
        <v>1.1123120051756465</v>
      </c>
      <c r="O24" s="258">
        <v>1.0127190981351355</v>
      </c>
      <c r="P24" s="258">
        <v>0.93591652389848223</v>
      </c>
      <c r="Q24" s="258">
        <v>0.8805789305236329</v>
      </c>
      <c r="R24" s="258">
        <v>0.85166851791096754</v>
      </c>
      <c r="S24" s="258">
        <v>0.84706540658122298</v>
      </c>
      <c r="T24" s="258">
        <v>0.85767768708267234</v>
      </c>
      <c r="U24" s="258">
        <v>0.88096573072541984</v>
      </c>
      <c r="V24" s="258">
        <v>0.9143934679059933</v>
      </c>
      <c r="W24" s="258">
        <v>0.94880536259666448</v>
      </c>
      <c r="X24" s="258">
        <v>0.98195096342417698</v>
      </c>
      <c r="Y24" s="258">
        <v>1.018453566321412</v>
      </c>
      <c r="Z24" s="258">
        <v>1.0565848817599961</v>
      </c>
      <c r="AA24" s="258">
        <v>1.0949644343912683</v>
      </c>
      <c r="AB24" s="258">
        <v>1.1359476128375143</v>
      </c>
      <c r="AC24" s="258">
        <v>1.1753745949169818</v>
      </c>
      <c r="AD24" s="258">
        <v>1.2128308522512017</v>
      </c>
      <c r="AE24" s="258">
        <v>1.247981023064175</v>
      </c>
      <c r="AF24" s="258">
        <v>1.2805267307211188</v>
      </c>
      <c r="AG24" s="258">
        <v>1.3067545960262081</v>
      </c>
      <c r="AH24" s="258">
        <v>1.3296953466060333</v>
      </c>
      <c r="AI24" s="258">
        <v>1.3487016051237268</v>
      </c>
      <c r="AJ24" s="258">
        <v>1.3630473141347927</v>
      </c>
      <c r="AK24" s="258">
        <v>1.3719415787681593</v>
      </c>
      <c r="AL24" s="258">
        <v>1.3838308457862698</v>
      </c>
      <c r="AM24" s="258">
        <v>1.3890210933072338</v>
      </c>
      <c r="AN24" s="258">
        <v>1.3872072911255648</v>
      </c>
      <c r="AO24" s="258">
        <v>1.3781953707274002</v>
      </c>
      <c r="AP24" s="258">
        <v>1.3619913600684845</v>
      </c>
      <c r="AQ24" s="258">
        <v>1.3295967264853543</v>
      </c>
      <c r="AR24" s="258">
        <v>1.2904122473920805</v>
      </c>
      <c r="AS24" s="258">
        <v>1.244917922275397</v>
      </c>
      <c r="AT24" s="258">
        <v>1.1939439081949448</v>
      </c>
      <c r="AU24" s="258">
        <v>1.1385033639968249</v>
      </c>
      <c r="AV24" s="258">
        <v>1.3055947538374764</v>
      </c>
      <c r="AW24" s="258">
        <v>1.4839162081406614</v>
      </c>
      <c r="AX24" s="258">
        <v>1.6747089409251106</v>
      </c>
      <c r="AY24" s="258">
        <v>1.8788149100620821</v>
      </c>
      <c r="AZ24" s="258">
        <v>2.096708354575942</v>
      </c>
      <c r="BA24" s="258">
        <v>2.1026707638745092</v>
      </c>
      <c r="BB24" s="258">
        <v>2.1091834582815117</v>
      </c>
      <c r="BC24" s="258">
        <v>2.1160650187891883</v>
      </c>
      <c r="BD24" s="258">
        <v>2.1231804687565901</v>
      </c>
      <c r="BE24" s="258">
        <v>2.1304167237659857</v>
      </c>
      <c r="BF24" s="258">
        <v>2.1667426992292347</v>
      </c>
      <c r="BG24" s="258">
        <v>2.203111477593509</v>
      </c>
      <c r="BH24" s="258">
        <v>2.2394074422890897</v>
      </c>
      <c r="BI24" s="258">
        <v>2.2755424387628969</v>
      </c>
      <c r="BJ24" s="258">
        <v>2.3115603179662463</v>
      </c>
      <c r="BK24" s="258">
        <v>2.3185327576159893</v>
      </c>
      <c r="BL24" s="258">
        <v>2.3255532505639649</v>
      </c>
      <c r="BM24" s="258">
        <v>2.3327599746334555</v>
      </c>
      <c r="BN24" s="258">
        <v>2.3402947418638451</v>
      </c>
      <c r="BO24" s="258">
        <v>2.3480243811133432</v>
      </c>
      <c r="BP24" s="258">
        <v>2.6946484994072248</v>
      </c>
      <c r="BQ24" s="258">
        <v>3.0409974862499958</v>
      </c>
      <c r="BR24" s="258">
        <v>3.3869075406726354</v>
      </c>
      <c r="BS24" s="258">
        <v>3.7323818493328345</v>
      </c>
      <c r="BT24" s="258">
        <v>4.0777182768164506</v>
      </c>
      <c r="BU24" s="258">
        <v>4.0846988368980899</v>
      </c>
      <c r="BV24" s="258">
        <v>4.0931698222922908</v>
      </c>
      <c r="BW24" s="258">
        <v>4.1042242563269777</v>
      </c>
      <c r="BX24" s="258">
        <v>4.1190735608739661</v>
      </c>
      <c r="BY24" s="258">
        <v>4.138957177250056</v>
      </c>
      <c r="BZ24" s="258">
        <v>4.5296234596599261</v>
      </c>
      <c r="CA24" s="258">
        <v>4.927329309026649</v>
      </c>
      <c r="CB24" s="258">
        <v>5.3328660805067098</v>
      </c>
      <c r="CC24" s="258">
        <v>5.7466058711624948</v>
      </c>
      <c r="CD24" s="258">
        <v>6.1683574868972837</v>
      </c>
      <c r="CE24" s="258">
        <v>6.2323094779169645</v>
      </c>
      <c r="CF24" s="258">
        <v>6.300578834104634</v>
      </c>
      <c r="CG24" s="258">
        <v>6.3696595228265274</v>
      </c>
      <c r="CH24" s="258">
        <v>6.4358069422503448</v>
      </c>
      <c r="CI24" s="258">
        <v>6.495649816253386</v>
      </c>
      <c r="CJ24" s="258">
        <v>7.2641808725706714</v>
      </c>
      <c r="CK24" s="258">
        <v>8.0230232757977884</v>
      </c>
      <c r="CL24" s="258">
        <v>8.7723848817404964</v>
      </c>
      <c r="CM24" s="258">
        <v>9.5131564681121343</v>
      </c>
      <c r="CN24" s="258">
        <v>10.246593000749646</v>
      </c>
      <c r="CO24" s="258">
        <v>10.256592572479571</v>
      </c>
      <c r="CP24" s="258"/>
      <c r="CQ24" s="258"/>
    </row>
    <row r="25" spans="1:95">
      <c r="B25" t="s">
        <v>405</v>
      </c>
      <c r="C25" s="96">
        <f t="shared" ref="C25:AH25" si="2">C24/$AG$24</f>
        <v>2.5966181091566654</v>
      </c>
      <c r="D25" s="96">
        <f t="shared" si="2"/>
        <v>2.5007794506327872</v>
      </c>
      <c r="E25" s="96">
        <f t="shared" si="2"/>
        <v>2.3656645741356641</v>
      </c>
      <c r="F25" s="96">
        <f t="shared" si="2"/>
        <v>2.1927752396141948</v>
      </c>
      <c r="G25" s="96">
        <f t="shared" si="2"/>
        <v>1.9841878102424715</v>
      </c>
      <c r="H25" s="96">
        <f t="shared" si="2"/>
        <v>1.7289381746738</v>
      </c>
      <c r="I25" s="96">
        <f t="shared" si="2"/>
        <v>1.5396749477891616</v>
      </c>
      <c r="J25" s="96">
        <f t="shared" si="2"/>
        <v>1.3633857839367327</v>
      </c>
      <c r="K25" s="96">
        <f t="shared" si="2"/>
        <v>1.2023041510068704</v>
      </c>
      <c r="L25" s="96">
        <f t="shared" si="2"/>
        <v>1.0581225755393959</v>
      </c>
      <c r="M25" s="96">
        <f t="shared" si="2"/>
        <v>0.94551129559082414</v>
      </c>
      <c r="N25" s="96">
        <f t="shared" si="2"/>
        <v>0.85120190780896865</v>
      </c>
      <c r="O25" s="96">
        <f t="shared" si="2"/>
        <v>0.77498797495319816</v>
      </c>
      <c r="P25" s="96">
        <f t="shared" si="2"/>
        <v>0.71621444970966197</v>
      </c>
      <c r="Q25" s="96">
        <f t="shared" si="2"/>
        <v>0.67386710037327624</v>
      </c>
      <c r="R25" s="96">
        <f t="shared" si="2"/>
        <v>0.65174327337425075</v>
      </c>
      <c r="S25" s="96">
        <f t="shared" si="2"/>
        <v>0.64822072113395823</v>
      </c>
      <c r="T25" s="96">
        <f t="shared" si="2"/>
        <v>0.65634181788289714</v>
      </c>
      <c r="U25" s="96">
        <f t="shared" si="2"/>
        <v>0.67416310101713339</v>
      </c>
      <c r="V25" s="96">
        <f t="shared" si="2"/>
        <v>0.69974383154008379</v>
      </c>
      <c r="W25" s="96">
        <f t="shared" si="2"/>
        <v>0.72607769315060844</v>
      </c>
      <c r="X25" s="96">
        <f t="shared" si="2"/>
        <v>0.75144251752414193</v>
      </c>
      <c r="Y25" s="96">
        <f t="shared" si="2"/>
        <v>0.77937630326190643</v>
      </c>
      <c r="Z25" s="96">
        <f t="shared" si="2"/>
        <v>0.80855646880679144</v>
      </c>
      <c r="AA25" s="96">
        <f t="shared" si="2"/>
        <v>0.83792659901179167</v>
      </c>
      <c r="AB25" s="96">
        <f t="shared" si="2"/>
        <v>0.86928916591675942</v>
      </c>
      <c r="AC25" s="96">
        <f t="shared" si="2"/>
        <v>0.89946084635267554</v>
      </c>
      <c r="AD25" s="96">
        <f t="shared" si="2"/>
        <v>0.92812442056019928</v>
      </c>
      <c r="AE25" s="96">
        <f t="shared" si="2"/>
        <v>0.95502325138877542</v>
      </c>
      <c r="AF25" s="96">
        <f t="shared" si="2"/>
        <v>0.97992900473826738</v>
      </c>
      <c r="AG25" s="96">
        <f t="shared" si="2"/>
        <v>1</v>
      </c>
      <c r="AH25" s="96">
        <f t="shared" si="2"/>
        <v>1.0175555155111657</v>
      </c>
      <c r="AI25" s="96">
        <f t="shared" ref="AI25:BN25" si="3">AI24/$AG$24</f>
        <v>1.0321001427697887</v>
      </c>
      <c r="AJ25" s="96">
        <f t="shared" si="3"/>
        <v>1.0430782629575353</v>
      </c>
      <c r="AK25" s="96">
        <f t="shared" si="3"/>
        <v>1.0498846401154296</v>
      </c>
      <c r="AL25" s="96">
        <f t="shared" si="3"/>
        <v>1.0589829567039195</v>
      </c>
      <c r="AM25" s="96">
        <f t="shared" si="3"/>
        <v>1.0629548176307893</v>
      </c>
      <c r="AN25" s="96">
        <f t="shared" si="3"/>
        <v>1.0615667971201406</v>
      </c>
      <c r="AO25" s="96">
        <f t="shared" si="3"/>
        <v>1.0546703833439275</v>
      </c>
      <c r="AP25" s="96">
        <f t="shared" si="3"/>
        <v>1.0422701892231712</v>
      </c>
      <c r="AQ25" s="96">
        <f t="shared" si="3"/>
        <v>1.0174800460075735</v>
      </c>
      <c r="AR25" s="96">
        <f t="shared" si="3"/>
        <v>0.98749394210372465</v>
      </c>
      <c r="AS25" s="96">
        <f t="shared" si="3"/>
        <v>0.952679199339452</v>
      </c>
      <c r="AT25" s="96">
        <f t="shared" si="3"/>
        <v>0.91367109924517087</v>
      </c>
      <c r="AU25" s="96">
        <f t="shared" si="3"/>
        <v>0.87124496631499981</v>
      </c>
      <c r="AV25" s="96">
        <f t="shared" si="3"/>
        <v>0.99911242539933753</v>
      </c>
      <c r="AW25" s="96">
        <f t="shared" si="3"/>
        <v>1.1355737432668651</v>
      </c>
      <c r="AX25" s="96">
        <f t="shared" si="3"/>
        <v>1.2815787646875991</v>
      </c>
      <c r="AY25" s="96">
        <f t="shared" si="3"/>
        <v>1.4377718018176389</v>
      </c>
      <c r="AZ25" s="96">
        <f t="shared" si="3"/>
        <v>1.604515768264335</v>
      </c>
      <c r="BA25" s="96">
        <f t="shared" si="3"/>
        <v>1.6090785295637393</v>
      </c>
      <c r="BB25" s="96">
        <f t="shared" si="3"/>
        <v>1.6140623990881378</v>
      </c>
      <c r="BC25" s="96">
        <f t="shared" si="3"/>
        <v>1.6193285451025485</v>
      </c>
      <c r="BD25" s="96">
        <f t="shared" si="3"/>
        <v>1.6247736761080485</v>
      </c>
      <c r="BE25" s="96">
        <f t="shared" si="3"/>
        <v>1.6303112537308102</v>
      </c>
      <c r="BF25" s="96">
        <f t="shared" si="3"/>
        <v>1.6581098745075917</v>
      </c>
      <c r="BG25" s="96">
        <f t="shared" si="3"/>
        <v>1.6859412504024005</v>
      </c>
      <c r="BH25" s="96">
        <f t="shared" si="3"/>
        <v>1.7137169053003862</v>
      </c>
      <c r="BI25" s="96">
        <f t="shared" si="3"/>
        <v>1.7413693785219784</v>
      </c>
      <c r="BJ25" s="96">
        <f t="shared" si="3"/>
        <v>1.7689322272105372</v>
      </c>
      <c r="BK25" s="96">
        <f t="shared" si="3"/>
        <v>1.7742679189088455</v>
      </c>
      <c r="BL25" s="96">
        <f t="shared" si="3"/>
        <v>1.7796403836159331</v>
      </c>
      <c r="BM25" s="96">
        <f t="shared" si="3"/>
        <v>1.7851553625503147</v>
      </c>
      <c r="BN25" s="96">
        <f t="shared" si="3"/>
        <v>1.7909213780311881</v>
      </c>
      <c r="BO25" s="96">
        <f t="shared" ref="BO25:CO25" si="4">BO24/$AG$24</f>
        <v>1.7968365202262135</v>
      </c>
      <c r="BP25" s="96">
        <f t="shared" si="4"/>
        <v>2.0620922303250744</v>
      </c>
      <c r="BQ25" s="96">
        <f t="shared" si="4"/>
        <v>2.3271373948081417</v>
      </c>
      <c r="BR25" s="96">
        <f t="shared" si="4"/>
        <v>2.5918466642260869</v>
      </c>
      <c r="BS25" s="96">
        <f t="shared" si="4"/>
        <v>2.8562224771834499</v>
      </c>
      <c r="BT25" s="96">
        <f t="shared" si="4"/>
        <v>3.1204927759325578</v>
      </c>
      <c r="BU25" s="96">
        <f t="shared" si="4"/>
        <v>3.125834681828942</v>
      </c>
      <c r="BV25" s="96">
        <f t="shared" si="4"/>
        <v>3.1323171425908636</v>
      </c>
      <c r="BW25" s="96">
        <f t="shared" si="4"/>
        <v>3.1407765993766312</v>
      </c>
      <c r="BX25" s="96">
        <f t="shared" si="4"/>
        <v>3.1521400983780081</v>
      </c>
      <c r="BY25" s="96">
        <f t="shared" si="4"/>
        <v>3.1673561277966575</v>
      </c>
      <c r="BZ25" s="96">
        <f t="shared" si="4"/>
        <v>3.4663153077359294</v>
      </c>
      <c r="CA25" s="96">
        <f t="shared" si="4"/>
        <v>3.7706615488558244</v>
      </c>
      <c r="CB25" s="96">
        <f t="shared" si="4"/>
        <v>4.0810004393508592</v>
      </c>
      <c r="CC25" s="96">
        <f t="shared" si="4"/>
        <v>4.397616728219444</v>
      </c>
      <c r="CD25" s="96">
        <f t="shared" si="4"/>
        <v>4.7203641032945498</v>
      </c>
      <c r="CE25" s="96">
        <f t="shared" si="4"/>
        <v>4.769303660281115</v>
      </c>
      <c r="CF25" s="96">
        <f t="shared" si="4"/>
        <v>4.821547100935752</v>
      </c>
      <c r="CG25" s="96">
        <f t="shared" si="4"/>
        <v>4.8744114175656419</v>
      </c>
      <c r="CH25" s="96">
        <f t="shared" si="4"/>
        <v>4.9250310362951035</v>
      </c>
      <c r="CI25" s="96">
        <f t="shared" si="4"/>
        <v>4.9708260724748277</v>
      </c>
      <c r="CJ25" s="96">
        <f t="shared" si="4"/>
        <v>5.5589480187487181</v>
      </c>
      <c r="CK25" s="96">
        <f t="shared" si="4"/>
        <v>6.1396556784230967</v>
      </c>
      <c r="CL25" s="96">
        <f t="shared" si="4"/>
        <v>6.7131081141149158</v>
      </c>
      <c r="CM25" s="96">
        <f t="shared" si="4"/>
        <v>7.2799869975902798</v>
      </c>
      <c r="CN25" s="96">
        <f t="shared" si="4"/>
        <v>7.841252697261714</v>
      </c>
      <c r="CO25" s="96">
        <f t="shared" si="4"/>
        <v>7.8489049157886912</v>
      </c>
    </row>
    <row r="26" spans="1:95">
      <c r="C26">
        <v>2.5966181091566654</v>
      </c>
      <c r="D26">
        <v>2.5007794506327872</v>
      </c>
      <c r="E26">
        <v>2.3656645741356641</v>
      </c>
      <c r="F26">
        <v>2.1927752396141948</v>
      </c>
      <c r="G26">
        <v>1.9841878102424715</v>
      </c>
      <c r="H26">
        <v>1.7289381746738</v>
      </c>
      <c r="I26">
        <v>1.5396749477891616</v>
      </c>
      <c r="J26">
        <v>1.3633857839367327</v>
      </c>
      <c r="K26">
        <v>1.2023041510068704</v>
      </c>
      <c r="L26">
        <v>1.0581225755393959</v>
      </c>
      <c r="M26">
        <v>0.94551129559082414</v>
      </c>
      <c r="N26">
        <v>0.85120190780896865</v>
      </c>
      <c r="O26">
        <v>0.77498797495319816</v>
      </c>
      <c r="P26">
        <v>0.71621444970966197</v>
      </c>
      <c r="Q26">
        <v>0.67386710037327624</v>
      </c>
      <c r="R26">
        <v>0.65174327337425075</v>
      </c>
      <c r="S26">
        <v>0.64822072113395823</v>
      </c>
      <c r="T26">
        <v>0.65634181788289714</v>
      </c>
      <c r="U26">
        <v>0.67416310101713339</v>
      </c>
      <c r="V26">
        <v>0.69974383154008379</v>
      </c>
      <c r="W26">
        <v>0.72607769315060844</v>
      </c>
      <c r="X26">
        <v>0.75144251752414193</v>
      </c>
      <c r="Y26">
        <v>0.77937630326190643</v>
      </c>
      <c r="Z26">
        <v>0.80855646880679144</v>
      </c>
      <c r="AA26">
        <v>0.83792659901179167</v>
      </c>
      <c r="AB26">
        <v>0.86928916591675942</v>
      </c>
      <c r="AC26">
        <v>0.89946084635267554</v>
      </c>
      <c r="AD26">
        <v>0.92812442056019928</v>
      </c>
      <c r="AE26">
        <v>0.95502325138877542</v>
      </c>
      <c r="AF26">
        <v>0.97992900473826738</v>
      </c>
      <c r="AG26">
        <v>1</v>
      </c>
      <c r="AH26">
        <v>1.0175555155111657</v>
      </c>
      <c r="AI26">
        <v>1.0321001427697887</v>
      </c>
      <c r="AJ26">
        <v>1.0430782629575353</v>
      </c>
      <c r="AK26">
        <v>1.0498846401154296</v>
      </c>
      <c r="AL26">
        <v>1.0589829567039195</v>
      </c>
      <c r="AM26">
        <v>1.0629548176307893</v>
      </c>
      <c r="AN26">
        <v>1.0615667971201406</v>
      </c>
      <c r="AO26">
        <v>1.0546703833439275</v>
      </c>
      <c r="AP26">
        <v>1.0422701892231712</v>
      </c>
      <c r="AQ26">
        <v>1.0174800460075735</v>
      </c>
      <c r="AR26">
        <v>0.98749394210372465</v>
      </c>
      <c r="AS26">
        <v>0.952679199339452</v>
      </c>
      <c r="AT26">
        <v>0.91367109924517087</v>
      </c>
      <c r="AU26">
        <v>0.87124496631499981</v>
      </c>
      <c r="AV26">
        <v>0.99911242539933753</v>
      </c>
      <c r="AW26">
        <v>1.1355737432668651</v>
      </c>
      <c r="AX26">
        <v>1.2815787646875991</v>
      </c>
      <c r="AY26">
        <v>1.4377718018176389</v>
      </c>
      <c r="AZ26">
        <v>1.604515768264335</v>
      </c>
      <c r="BA26">
        <v>1.6090785295637393</v>
      </c>
      <c r="BB26">
        <v>1.6140623990881378</v>
      </c>
      <c r="BC26">
        <v>1.6193285451025485</v>
      </c>
      <c r="BD26">
        <v>1.6247736761080485</v>
      </c>
      <c r="BE26">
        <v>1.6303112537308102</v>
      </c>
      <c r="BF26">
        <v>1.6581098745075917</v>
      </c>
      <c r="BG26">
        <v>1.6859412504024005</v>
      </c>
      <c r="BH26">
        <v>1.7137169053003862</v>
      </c>
      <c r="BI26">
        <v>1.7413693785219784</v>
      </c>
      <c r="BJ26">
        <v>1.7689322272105372</v>
      </c>
      <c r="BK26">
        <v>1.7742679189088455</v>
      </c>
      <c r="BL26">
        <v>1.7796403836159331</v>
      </c>
      <c r="BM26">
        <v>1.7851553625503147</v>
      </c>
      <c r="BN26">
        <v>1.7909213780311881</v>
      </c>
      <c r="BO26">
        <v>1.7968365202262135</v>
      </c>
      <c r="BP26">
        <v>2.0620922303250744</v>
      </c>
      <c r="BQ26">
        <v>2.3271373948081417</v>
      </c>
      <c r="BR26">
        <v>2.5918466642260869</v>
      </c>
      <c r="BS26">
        <v>2.8562224771834499</v>
      </c>
      <c r="BT26">
        <v>3.1204927759325578</v>
      </c>
      <c r="BU26">
        <v>3.125834681828942</v>
      </c>
      <c r="BV26">
        <v>3.1323171425908636</v>
      </c>
      <c r="BW26">
        <v>3.1407765993766312</v>
      </c>
      <c r="BX26">
        <v>3.1521400983780081</v>
      </c>
      <c r="BY26">
        <v>3.1673561277966575</v>
      </c>
      <c r="BZ26">
        <v>3.4663153077359294</v>
      </c>
      <c r="CA26">
        <v>3.7706615488558244</v>
      </c>
      <c r="CB26">
        <v>4.0810004393508592</v>
      </c>
      <c r="CC26">
        <v>4.397616728219444</v>
      </c>
      <c r="CD26">
        <v>4.7203641032945498</v>
      </c>
      <c r="CE26">
        <v>4.769303660281115</v>
      </c>
      <c r="CF26">
        <v>4.821547100935752</v>
      </c>
      <c r="CG26">
        <v>4.8744114175656419</v>
      </c>
      <c r="CH26">
        <v>4.9250310362951035</v>
      </c>
      <c r="CI26">
        <v>4.9708260724748277</v>
      </c>
      <c r="CJ26">
        <v>5.5589480187487181</v>
      </c>
      <c r="CK26">
        <v>6.1396556784230967</v>
      </c>
      <c r="CL26">
        <v>6.7131081141149158</v>
      </c>
      <c r="CM26">
        <v>7.2799869975902798</v>
      </c>
      <c r="CN26">
        <v>7.841252697261714</v>
      </c>
      <c r="CO26">
        <v>7.8489049157886912</v>
      </c>
    </row>
    <row r="28" spans="1:95" ht="18">
      <c r="B28" s="257">
        <v>2001</v>
      </c>
      <c r="C28">
        <f t="shared" ref="C28:AH28" si="5">C$25*C3</f>
        <v>1447619.7890910592</v>
      </c>
      <c r="D28">
        <f t="shared" si="5"/>
        <v>1430705.92682482</v>
      </c>
      <c r="E28">
        <f t="shared" si="5"/>
        <v>1387571.0933009773</v>
      </c>
      <c r="F28">
        <f t="shared" si="5"/>
        <v>1307510.2126523918</v>
      </c>
      <c r="G28">
        <f t="shared" si="5"/>
        <v>1213144.3323091085</v>
      </c>
      <c r="H28">
        <f t="shared" si="5"/>
        <v>1049479.3035323939</v>
      </c>
      <c r="I28">
        <f t="shared" si="5"/>
        <v>937478.82188481244</v>
      </c>
      <c r="J28">
        <f t="shared" si="5"/>
        <v>850279.63430949522</v>
      </c>
      <c r="K28">
        <f t="shared" si="5"/>
        <v>758408.64923852985</v>
      </c>
      <c r="L28">
        <f t="shared" si="5"/>
        <v>688255.82925960002</v>
      </c>
      <c r="M28">
        <f t="shared" si="5"/>
        <v>624940.4183772332</v>
      </c>
      <c r="N28">
        <f t="shared" si="5"/>
        <v>553606.39920461259</v>
      </c>
      <c r="O28">
        <f t="shared" si="5"/>
        <v>498105.69617774419</v>
      </c>
      <c r="P28">
        <f t="shared" si="5"/>
        <v>465661.86498218065</v>
      </c>
      <c r="Q28">
        <f t="shared" si="5"/>
        <v>427114.48876119219</v>
      </c>
      <c r="R28">
        <f t="shared" si="5"/>
        <v>407799.67660990893</v>
      </c>
      <c r="S28">
        <f t="shared" si="5"/>
        <v>408203.38649896637</v>
      </c>
      <c r="T28">
        <f t="shared" si="5"/>
        <v>398852.35930925776</v>
      </c>
      <c r="U28">
        <f t="shared" si="5"/>
        <v>400281.64457651885</v>
      </c>
      <c r="V28">
        <f t="shared" si="5"/>
        <v>411539.63989983796</v>
      </c>
      <c r="W28">
        <f t="shared" si="5"/>
        <v>444735.65645322436</v>
      </c>
      <c r="X28">
        <f t="shared" si="5"/>
        <v>463349.22505811375</v>
      </c>
      <c r="Y28">
        <f t="shared" si="5"/>
        <v>466971.10586240387</v>
      </c>
      <c r="Z28">
        <f t="shared" si="5"/>
        <v>466450.56695935631</v>
      </c>
      <c r="AA28">
        <f t="shared" si="5"/>
        <v>487170.52466545568</v>
      </c>
      <c r="AB28">
        <f t="shared" si="5"/>
        <v>524810.73240392969</v>
      </c>
      <c r="AC28">
        <f t="shared" si="5"/>
        <v>567173.92534545297</v>
      </c>
      <c r="AD28">
        <f t="shared" si="5"/>
        <v>607514.04884630465</v>
      </c>
      <c r="AE28">
        <f t="shared" si="5"/>
        <v>664932.0737096807</v>
      </c>
      <c r="AF28">
        <f t="shared" si="5"/>
        <v>720605.49256935599</v>
      </c>
      <c r="AG28">
        <f t="shared" si="5"/>
        <v>756225</v>
      </c>
      <c r="AH28">
        <f t="shared" si="5"/>
        <v>763439.34151153127</v>
      </c>
      <c r="AI28">
        <f t="shared" ref="AI28:BN28" si="6">AI$25*AI3</f>
        <v>795129.94998984516</v>
      </c>
      <c r="AJ28">
        <f t="shared" si="6"/>
        <v>810954.75555375428</v>
      </c>
      <c r="AK28">
        <f t="shared" si="6"/>
        <v>835924.44976774568</v>
      </c>
      <c r="AL28">
        <f t="shared" si="6"/>
        <v>843936.34666901128</v>
      </c>
      <c r="AM28">
        <f t="shared" si="6"/>
        <v>849070.23809157475</v>
      </c>
      <c r="AN28">
        <f t="shared" si="6"/>
        <v>839242.8627992695</v>
      </c>
      <c r="AO28">
        <f t="shared" si="6"/>
        <v>818999.01283381018</v>
      </c>
      <c r="AP28">
        <f t="shared" si="6"/>
        <v>788105.30768977629</v>
      </c>
      <c r="AQ28">
        <f t="shared" si="6"/>
        <v>749197.01235657255</v>
      </c>
      <c r="AR28">
        <f t="shared" si="6"/>
        <v>699965.3309813831</v>
      </c>
      <c r="AS28">
        <f t="shared" si="6"/>
        <v>661730.97186118341</v>
      </c>
      <c r="AT28">
        <f t="shared" si="6"/>
        <v>625932.31464428618</v>
      </c>
      <c r="AU28">
        <f t="shared" si="6"/>
        <v>577707.72599904903</v>
      </c>
      <c r="AV28">
        <f t="shared" si="6"/>
        <v>639711.70373468788</v>
      </c>
      <c r="AW28">
        <f t="shared" si="6"/>
        <v>709027.26267347869</v>
      </c>
      <c r="AX28">
        <f t="shared" si="6"/>
        <v>804772.51160063664</v>
      </c>
      <c r="AY28">
        <f t="shared" si="6"/>
        <v>893046.07480659371</v>
      </c>
      <c r="AZ28">
        <f t="shared" si="6"/>
        <v>987135.00449888897</v>
      </c>
      <c r="BA28">
        <f t="shared" si="6"/>
        <v>994117.67897801031</v>
      </c>
      <c r="BB28">
        <f t="shared" si="6"/>
        <v>1027376.5420179851</v>
      </c>
      <c r="BC28">
        <f t="shared" si="6"/>
        <v>1064569.2561500468</v>
      </c>
      <c r="BD28">
        <f t="shared" si="6"/>
        <v>1148916.4609442276</v>
      </c>
      <c r="BE28">
        <f t="shared" si="6"/>
        <v>1216132.3100317516</v>
      </c>
      <c r="BF28">
        <f t="shared" si="6"/>
        <v>1007749.438429479</v>
      </c>
      <c r="BG28">
        <f t="shared" si="6"/>
        <v>1001187.7818452135</v>
      </c>
      <c r="BH28">
        <f t="shared" si="6"/>
        <v>993232.61654018727</v>
      </c>
      <c r="BI28">
        <f t="shared" si="6"/>
        <v>963807.89951620903</v>
      </c>
      <c r="BJ28">
        <f t="shared" si="6"/>
        <v>881129.90742474957</v>
      </c>
      <c r="BK28">
        <f t="shared" si="6"/>
        <v>828746.35077897052</v>
      </c>
      <c r="BL28">
        <f t="shared" si="6"/>
        <v>866693.76502287749</v>
      </c>
      <c r="BM28">
        <f t="shared" si="6"/>
        <v>871282.56295529462</v>
      </c>
      <c r="BN28">
        <f t="shared" si="6"/>
        <v>864579.83169420226</v>
      </c>
      <c r="BO28">
        <f t="shared" ref="BO28:CO28" si="7">BO$25*BO3</f>
        <v>845472.67520812119</v>
      </c>
      <c r="BP28">
        <f t="shared" si="7"/>
        <v>940771.84150336613</v>
      </c>
      <c r="BQ28">
        <f t="shared" si="7"/>
        <v>1027833.7545770964</v>
      </c>
      <c r="BR28">
        <f t="shared" si="7"/>
        <v>1096426.3025208972</v>
      </c>
      <c r="BS28">
        <f t="shared" si="7"/>
        <v>1197968.2562701914</v>
      </c>
      <c r="BT28">
        <f t="shared" si="7"/>
        <v>1309820.6017121393</v>
      </c>
      <c r="BU28">
        <f t="shared" si="7"/>
        <v>1308152.4368413668</v>
      </c>
      <c r="BV28">
        <f t="shared" si="7"/>
        <v>1272466.2513718272</v>
      </c>
      <c r="BW28">
        <f t="shared" si="7"/>
        <v>1224174.2135858308</v>
      </c>
      <c r="BX28">
        <f t="shared" si="7"/>
        <v>1174512.6177764328</v>
      </c>
      <c r="BY28">
        <f t="shared" si="7"/>
        <v>1158596.7000551228</v>
      </c>
      <c r="BZ28">
        <f t="shared" si="7"/>
        <v>1230354.7532196373</v>
      </c>
      <c r="CA28">
        <f t="shared" si="7"/>
        <v>1279257.2610341201</v>
      </c>
      <c r="CB28">
        <f t="shared" si="7"/>
        <v>1330471.4392354097</v>
      </c>
      <c r="CC28">
        <f t="shared" si="7"/>
        <v>1377931.6351533676</v>
      </c>
      <c r="CD28">
        <f t="shared" si="7"/>
        <v>1468802.655473442</v>
      </c>
      <c r="CE28">
        <f t="shared" si="7"/>
        <v>1471912.0342432782</v>
      </c>
      <c r="CF28">
        <f t="shared" si="7"/>
        <v>1384107.0616243235</v>
      </c>
      <c r="CG28">
        <f t="shared" si="7"/>
        <v>975418.46876906056</v>
      </c>
      <c r="CH28">
        <f t="shared" si="7"/>
        <v>789615.45095608511</v>
      </c>
      <c r="CI28">
        <f t="shared" si="7"/>
        <v>809399.60938107618</v>
      </c>
      <c r="CJ28">
        <f t="shared" si="7"/>
        <v>862854.35252215725</v>
      </c>
      <c r="CK28">
        <f t="shared" si="7"/>
        <v>911333.65097105398</v>
      </c>
      <c r="CL28">
        <f t="shared" si="7"/>
        <v>876282.14145976235</v>
      </c>
      <c r="CM28">
        <f t="shared" si="7"/>
        <v>813174.54763083428</v>
      </c>
      <c r="CN28">
        <f t="shared" si="7"/>
        <v>724453.33670000976</v>
      </c>
      <c r="CO28">
        <f t="shared" si="7"/>
        <v>2516099.9021396334</v>
      </c>
      <c r="CQ28">
        <f t="shared" ref="CQ28:CQ46" si="8">SUM(C28:CO28)</f>
        <v>81636712.051001847</v>
      </c>
    </row>
    <row r="29" spans="1:95" ht="18">
      <c r="B29" s="257">
        <v>2002</v>
      </c>
      <c r="C29">
        <f t="shared" ref="C29:AH29" si="9">C$25*C4</f>
        <v>1451696.4795224352</v>
      </c>
      <c r="D29">
        <f t="shared" si="9"/>
        <v>1398405.8594404471</v>
      </c>
      <c r="E29">
        <f t="shared" si="9"/>
        <v>1358875.5820167116</v>
      </c>
      <c r="F29">
        <f t="shared" si="9"/>
        <v>1292509.437238191</v>
      </c>
      <c r="G29">
        <f t="shared" si="9"/>
        <v>1189332.0943983886</v>
      </c>
      <c r="H29">
        <f t="shared" si="9"/>
        <v>1062985.7685529457</v>
      </c>
      <c r="I29">
        <f t="shared" si="9"/>
        <v>939568.16078896238</v>
      </c>
      <c r="J29">
        <f t="shared" si="9"/>
        <v>833709.04349152814</v>
      </c>
      <c r="K29">
        <f t="shared" si="9"/>
        <v>753771.36212809628</v>
      </c>
      <c r="L29">
        <f t="shared" si="9"/>
        <v>669625.46507207793</v>
      </c>
      <c r="M29">
        <f t="shared" si="9"/>
        <v>617335.67102679622</v>
      </c>
      <c r="N29">
        <f t="shared" si="9"/>
        <v>564690.75044810108</v>
      </c>
      <c r="O29">
        <f t="shared" si="9"/>
        <v>504300.95004952006</v>
      </c>
      <c r="P29">
        <f t="shared" si="9"/>
        <v>460025.25726296561</v>
      </c>
      <c r="Q29">
        <f t="shared" si="9"/>
        <v>437101.19918872416</v>
      </c>
      <c r="R29">
        <f t="shared" si="9"/>
        <v>412208.0681110124</v>
      </c>
      <c r="S29">
        <f t="shared" si="9"/>
        <v>405972.85899754445</v>
      </c>
      <c r="T29">
        <f t="shared" si="9"/>
        <v>414084.08387686615</v>
      </c>
      <c r="U29">
        <f t="shared" si="9"/>
        <v>412548.71636262664</v>
      </c>
      <c r="V29">
        <f t="shared" si="9"/>
        <v>421527.08360740956</v>
      </c>
      <c r="W29">
        <f t="shared" si="9"/>
        <v>432764.81352625031</v>
      </c>
      <c r="X29">
        <f t="shared" si="9"/>
        <v>468694.98712778045</v>
      </c>
      <c r="Y29">
        <f t="shared" si="9"/>
        <v>491999.21708905348</v>
      </c>
      <c r="Z29">
        <f t="shared" si="9"/>
        <v>496790.83989486238</v>
      </c>
      <c r="AA29">
        <f t="shared" si="9"/>
        <v>494419.42767350667</v>
      </c>
      <c r="AB29">
        <f t="shared" si="9"/>
        <v>515308.53253129357</v>
      </c>
      <c r="AC29">
        <f t="shared" si="9"/>
        <v>552035.09984049108</v>
      </c>
      <c r="AD29">
        <f t="shared" si="9"/>
        <v>593112.34221247199</v>
      </c>
      <c r="AE29">
        <f t="shared" si="9"/>
        <v>632622.68209194706</v>
      </c>
      <c r="AF29">
        <f t="shared" si="9"/>
        <v>688801.89672057552</v>
      </c>
      <c r="AG29">
        <f t="shared" si="9"/>
        <v>737388</v>
      </c>
      <c r="AH29">
        <f t="shared" si="9"/>
        <v>771863.68362444825</v>
      </c>
      <c r="AI29">
        <f t="shared" ref="AI29:BN29" si="10">AI$25*AI4</f>
        <v>776340.56689072121</v>
      </c>
      <c r="AJ29">
        <f t="shared" si="10"/>
        <v>804930.97858517442</v>
      </c>
      <c r="AK29">
        <f t="shared" si="10"/>
        <v>817077.97059303371</v>
      </c>
      <c r="AL29">
        <f t="shared" si="10"/>
        <v>844168.2639365294</v>
      </c>
      <c r="AM29">
        <f t="shared" si="10"/>
        <v>848283.65152652794</v>
      </c>
      <c r="AN29">
        <f t="shared" si="10"/>
        <v>849132.41908124078</v>
      </c>
      <c r="AO29">
        <f t="shared" si="10"/>
        <v>834989.92518607085</v>
      </c>
      <c r="AP29">
        <f t="shared" si="10"/>
        <v>810761.13479292043</v>
      </c>
      <c r="AQ29">
        <f t="shared" si="10"/>
        <v>772321.28136218665</v>
      </c>
      <c r="AR29">
        <f t="shared" si="10"/>
        <v>728947.29068818537</v>
      </c>
      <c r="AS29">
        <f t="shared" si="10"/>
        <v>676983.36584260804</v>
      </c>
      <c r="AT29">
        <f t="shared" si="10"/>
        <v>636054.87675282347</v>
      </c>
      <c r="AU29">
        <f t="shared" si="10"/>
        <v>597790.79371757607</v>
      </c>
      <c r="AV29">
        <f t="shared" si="10"/>
        <v>658889.66674022807</v>
      </c>
      <c r="AW29">
        <f t="shared" si="10"/>
        <v>723453.5915079409</v>
      </c>
      <c r="AX29">
        <f t="shared" si="10"/>
        <v>795232.43927630212</v>
      </c>
      <c r="AY29">
        <f t="shared" si="10"/>
        <v>897665.63560583373</v>
      </c>
      <c r="AZ29">
        <f t="shared" si="10"/>
        <v>991893.99826756096</v>
      </c>
      <c r="BA29">
        <f t="shared" si="10"/>
        <v>986452.02886316867</v>
      </c>
      <c r="BB29">
        <f t="shared" si="10"/>
        <v>994078.4347247968</v>
      </c>
      <c r="BC29">
        <f t="shared" si="10"/>
        <v>1026987.8792753069</v>
      </c>
      <c r="BD29">
        <f t="shared" si="10"/>
        <v>1063630.4659116401</v>
      </c>
      <c r="BE29">
        <f t="shared" si="10"/>
        <v>1146276.7334318939</v>
      </c>
      <c r="BF29">
        <f t="shared" si="10"/>
        <v>1233134.6555614215</v>
      </c>
      <c r="BG29">
        <f t="shared" si="10"/>
        <v>1016593.9129913907</v>
      </c>
      <c r="BH29">
        <f t="shared" si="10"/>
        <v>1009494.0762545826</v>
      </c>
      <c r="BI29">
        <f t="shared" si="10"/>
        <v>1003413.6046613129</v>
      </c>
      <c r="BJ29">
        <f t="shared" si="10"/>
        <v>971143.79273858492</v>
      </c>
      <c r="BK29">
        <f t="shared" si="10"/>
        <v>876598.35655194207</v>
      </c>
      <c r="BL29">
        <f t="shared" si="10"/>
        <v>822439.4476035001</v>
      </c>
      <c r="BM29">
        <f t="shared" si="10"/>
        <v>860216.3848628453</v>
      </c>
      <c r="BN29">
        <f t="shared" si="10"/>
        <v>864569.0861659341</v>
      </c>
      <c r="BO29">
        <f t="shared" ref="BO29:CO29" si="11">BO$25*BO4</f>
        <v>857134.14422438934</v>
      </c>
      <c r="BP29">
        <f t="shared" si="11"/>
        <v>956278.77507541061</v>
      </c>
      <c r="BQ29">
        <f t="shared" si="11"/>
        <v>1045366.407709581</v>
      </c>
      <c r="BR29">
        <f t="shared" si="11"/>
        <v>1126450.2542792922</v>
      </c>
      <c r="BS29">
        <f t="shared" si="11"/>
        <v>1186629.0530357731</v>
      </c>
      <c r="BT29">
        <f t="shared" si="11"/>
        <v>1282572.4587926962</v>
      </c>
      <c r="BU29">
        <f t="shared" si="11"/>
        <v>1284014.7414282837</v>
      </c>
      <c r="BV29">
        <f t="shared" si="11"/>
        <v>1278636.9161427312</v>
      </c>
      <c r="BW29">
        <f t="shared" si="11"/>
        <v>1241863.0673935199</v>
      </c>
      <c r="BX29">
        <f t="shared" si="11"/>
        <v>1191568.8478487562</v>
      </c>
      <c r="BY29">
        <f t="shared" si="11"/>
        <v>1140869.0078078448</v>
      </c>
      <c r="BZ29">
        <f t="shared" si="11"/>
        <v>1220714.9303488235</v>
      </c>
      <c r="CA29">
        <f t="shared" si="11"/>
        <v>1282752.6642899094</v>
      </c>
      <c r="CB29">
        <f t="shared" si="11"/>
        <v>1321836.0423057433</v>
      </c>
      <c r="CC29">
        <f t="shared" si="11"/>
        <v>1363036.9072948885</v>
      </c>
      <c r="CD29">
        <f t="shared" si="11"/>
        <v>1400192.1632320557</v>
      </c>
      <c r="CE29">
        <f t="shared" si="11"/>
        <v>1393848.0719317971</v>
      </c>
      <c r="CF29">
        <f t="shared" si="11"/>
        <v>1388533.2418629825</v>
      </c>
      <c r="CG29">
        <f t="shared" si="11"/>
        <v>1291865.257997422</v>
      </c>
      <c r="CH29">
        <f t="shared" si="11"/>
        <v>912032.02239423618</v>
      </c>
      <c r="CI29">
        <f t="shared" si="11"/>
        <v>725720.72327703494</v>
      </c>
      <c r="CJ29">
        <f t="shared" si="11"/>
        <v>815664.44279099943</v>
      </c>
      <c r="CK29">
        <f t="shared" si="11"/>
        <v>847653.14227444958</v>
      </c>
      <c r="CL29">
        <f t="shared" si="11"/>
        <v>877161.55862271134</v>
      </c>
      <c r="CM29">
        <f t="shared" si="11"/>
        <v>825899.96490262204</v>
      </c>
      <c r="CN29">
        <f t="shared" si="11"/>
        <v>748565.18874408957</v>
      </c>
      <c r="CO29">
        <f t="shared" si="11"/>
        <v>2594628.1958220992</v>
      </c>
      <c r="CQ29">
        <f t="shared" si="8"/>
        <v>82017510.315696001</v>
      </c>
    </row>
    <row r="30" spans="1:95" ht="18">
      <c r="B30" s="257">
        <v>2003</v>
      </c>
      <c r="C30">
        <f t="shared" ref="C30:AH30" si="12">C$25*C5</f>
        <v>1495387.1758271053</v>
      </c>
      <c r="D30">
        <f t="shared" si="12"/>
        <v>1399611.2351356519</v>
      </c>
      <c r="E30">
        <f t="shared" si="12"/>
        <v>1328727.5526839267</v>
      </c>
      <c r="F30">
        <f t="shared" si="12"/>
        <v>1265365.0725470069</v>
      </c>
      <c r="G30">
        <f t="shared" si="12"/>
        <v>1176442.8103830535</v>
      </c>
      <c r="H30">
        <f t="shared" si="12"/>
        <v>1042570.4665863975</v>
      </c>
      <c r="I30">
        <f t="shared" si="12"/>
        <v>952170.40023661673</v>
      </c>
      <c r="J30">
        <f t="shared" si="12"/>
        <v>837417.45282383601</v>
      </c>
      <c r="K30">
        <f t="shared" si="12"/>
        <v>739100.84687751043</v>
      </c>
      <c r="L30">
        <f t="shared" si="12"/>
        <v>667051.05284579063</v>
      </c>
      <c r="M30">
        <f t="shared" si="12"/>
        <v>600844.06300910097</v>
      </c>
      <c r="N30">
        <f t="shared" si="12"/>
        <v>557662.37629532244</v>
      </c>
      <c r="O30">
        <f t="shared" si="12"/>
        <v>515787.04682630143</v>
      </c>
      <c r="P30">
        <f t="shared" si="12"/>
        <v>466653.1057805788</v>
      </c>
      <c r="Q30">
        <f t="shared" si="12"/>
        <v>433150.99024633598</v>
      </c>
      <c r="R30">
        <f t="shared" si="12"/>
        <v>423955.74061358324</v>
      </c>
      <c r="S30">
        <f t="shared" si="12"/>
        <v>411242.24523964239</v>
      </c>
      <c r="T30">
        <f t="shared" si="12"/>
        <v>413704.06196431199</v>
      </c>
      <c r="U30">
        <f t="shared" si="12"/>
        <v>430104.59767621383</v>
      </c>
      <c r="V30">
        <f t="shared" si="12"/>
        <v>435561.84563660901</v>
      </c>
      <c r="W30">
        <f t="shared" si="12"/>
        <v>442096.36403862189</v>
      </c>
      <c r="X30">
        <f t="shared" si="12"/>
        <v>456186.47498107358</v>
      </c>
      <c r="Y30">
        <f t="shared" si="12"/>
        <v>495833.74850110203</v>
      </c>
      <c r="Z30">
        <f t="shared" si="12"/>
        <v>521663.65398829692</v>
      </c>
      <c r="AA30">
        <f t="shared" si="12"/>
        <v>526222.93173899921</v>
      </c>
      <c r="AB30">
        <f t="shared" si="12"/>
        <v>522408.88643850165</v>
      </c>
      <c r="AC30">
        <f t="shared" si="12"/>
        <v>542570.07335432188</v>
      </c>
      <c r="AD30">
        <f t="shared" si="12"/>
        <v>578163.97029492946</v>
      </c>
      <c r="AE30">
        <f t="shared" si="12"/>
        <v>618274.41276308207</v>
      </c>
      <c r="AF30">
        <f t="shared" si="12"/>
        <v>656415.24311397574</v>
      </c>
      <c r="AG30">
        <f t="shared" si="12"/>
        <v>705708</v>
      </c>
      <c r="AH30">
        <f t="shared" si="12"/>
        <v>752383.6008355025</v>
      </c>
      <c r="AI30">
        <f t="shared" ref="AI30:BN30" si="13">AI$25*AI5</f>
        <v>785865.81910834357</v>
      </c>
      <c r="AJ30">
        <f t="shared" si="13"/>
        <v>785936.52341671777</v>
      </c>
      <c r="AK30">
        <f t="shared" si="13"/>
        <v>811180.76856950531</v>
      </c>
      <c r="AL30">
        <f t="shared" si="13"/>
        <v>824994.3185224483</v>
      </c>
      <c r="AM30">
        <f t="shared" si="13"/>
        <v>847325.92923584266</v>
      </c>
      <c r="AN30">
        <f t="shared" si="13"/>
        <v>847457.26667538518</v>
      </c>
      <c r="AO30">
        <f t="shared" si="13"/>
        <v>844091.73059432884</v>
      </c>
      <c r="AP30">
        <f t="shared" si="13"/>
        <v>826019.97036314756</v>
      </c>
      <c r="AQ30">
        <f t="shared" si="13"/>
        <v>790832.29583920247</v>
      </c>
      <c r="AR30">
        <f t="shared" si="13"/>
        <v>749240.29119841685</v>
      </c>
      <c r="AS30">
        <f t="shared" si="13"/>
        <v>702683.79260318843</v>
      </c>
      <c r="AT30">
        <f t="shared" si="13"/>
        <v>648743.94097914035</v>
      </c>
      <c r="AU30">
        <f t="shared" si="13"/>
        <v>606051.93848817493</v>
      </c>
      <c r="AV30">
        <f t="shared" si="13"/>
        <v>684305.08861753647</v>
      </c>
      <c r="AW30">
        <f t="shared" si="13"/>
        <v>747749.19174513558</v>
      </c>
      <c r="AX30">
        <f t="shared" si="13"/>
        <v>815317.34167648619</v>
      </c>
      <c r="AY30">
        <f t="shared" si="13"/>
        <v>889926.10999664944</v>
      </c>
      <c r="AZ30">
        <f t="shared" si="13"/>
        <v>999465.70817800041</v>
      </c>
      <c r="BA30">
        <f t="shared" si="13"/>
        <v>991142.49277684698</v>
      </c>
      <c r="BB30">
        <f t="shared" si="13"/>
        <v>984276.23377513455</v>
      </c>
      <c r="BC30">
        <f t="shared" si="13"/>
        <v>992416.83416591259</v>
      </c>
      <c r="BD30">
        <f t="shared" si="13"/>
        <v>1024864.9907733782</v>
      </c>
      <c r="BE30">
        <f t="shared" si="13"/>
        <v>1060982.1092592054</v>
      </c>
      <c r="BF30">
        <f t="shared" si="13"/>
        <v>1155258.2090854235</v>
      </c>
      <c r="BG30">
        <f t="shared" si="13"/>
        <v>1246696.2326700615</v>
      </c>
      <c r="BH30">
        <f t="shared" si="13"/>
        <v>1022554.3127898768</v>
      </c>
      <c r="BI30">
        <f t="shared" si="13"/>
        <v>1015495.2254094984</v>
      </c>
      <c r="BJ30">
        <f t="shared" si="13"/>
        <v>1011162.3465147689</v>
      </c>
      <c r="BK30">
        <f t="shared" si="13"/>
        <v>965687.89729619294</v>
      </c>
      <c r="BL30">
        <f t="shared" si="13"/>
        <v>871623.3688854936</v>
      </c>
      <c r="BM30">
        <f t="shared" si="13"/>
        <v>815305.44625180447</v>
      </c>
      <c r="BN30">
        <f t="shared" si="13"/>
        <v>852985.4066928284</v>
      </c>
      <c r="BO30">
        <f t="shared" ref="BO30:CO30" si="14">BO$25*BO5</f>
        <v>857074.84861922183</v>
      </c>
      <c r="BP30">
        <f t="shared" si="14"/>
        <v>969453.48233495757</v>
      </c>
      <c r="BQ30">
        <f t="shared" si="14"/>
        <v>1061842.5404648227</v>
      </c>
      <c r="BR30">
        <f t="shared" si="14"/>
        <v>1145044.1622484503</v>
      </c>
      <c r="BS30">
        <f t="shared" si="14"/>
        <v>1219995.44401423</v>
      </c>
      <c r="BT30">
        <f t="shared" si="14"/>
        <v>1270433.7418943185</v>
      </c>
      <c r="BU30">
        <f t="shared" si="14"/>
        <v>1256532.4029056437</v>
      </c>
      <c r="BV30">
        <f t="shared" si="14"/>
        <v>1256657.446753171</v>
      </c>
      <c r="BW30">
        <f t="shared" si="14"/>
        <v>1247730.0380811556</v>
      </c>
      <c r="BX30">
        <f t="shared" si="14"/>
        <v>1209816.5868782667</v>
      </c>
      <c r="BY30">
        <f t="shared" si="14"/>
        <v>1158409.8260435828</v>
      </c>
      <c r="BZ30">
        <f t="shared" si="14"/>
        <v>1203691.8558725324</v>
      </c>
      <c r="CA30">
        <f t="shared" si="14"/>
        <v>1273672.9112802646</v>
      </c>
      <c r="CB30">
        <f t="shared" si="14"/>
        <v>1325921.1237455334</v>
      </c>
      <c r="CC30">
        <f t="shared" si="14"/>
        <v>1354364.8071068397</v>
      </c>
      <c r="CD30">
        <f t="shared" si="14"/>
        <v>1383803.0590654172</v>
      </c>
      <c r="CE30">
        <f t="shared" si="14"/>
        <v>1330235.0997109674</v>
      </c>
      <c r="CF30">
        <f t="shared" si="14"/>
        <v>1317010.4121677016</v>
      </c>
      <c r="CG30">
        <f t="shared" si="14"/>
        <v>1300112.7621159432</v>
      </c>
      <c r="CH30">
        <f t="shared" si="14"/>
        <v>1195664.5597744712</v>
      </c>
      <c r="CI30">
        <f t="shared" si="14"/>
        <v>846501.85518602829</v>
      </c>
      <c r="CJ30">
        <f t="shared" si="14"/>
        <v>730695.92232442531</v>
      </c>
      <c r="CK30">
        <f t="shared" si="14"/>
        <v>803048.54377070582</v>
      </c>
      <c r="CL30">
        <f t="shared" si="14"/>
        <v>813776.39180923835</v>
      </c>
      <c r="CM30">
        <f t="shared" si="14"/>
        <v>827254.0424841739</v>
      </c>
      <c r="CN30">
        <f t="shared" si="14"/>
        <v>760342.75029537664</v>
      </c>
      <c r="CO30">
        <f t="shared" si="14"/>
        <v>2665605.8429755764</v>
      </c>
      <c r="CQ30">
        <f t="shared" si="8"/>
        <v>82412769.09136039</v>
      </c>
    </row>
    <row r="31" spans="1:95" ht="18">
      <c r="B31" s="257">
        <v>2004</v>
      </c>
      <c r="C31">
        <f t="shared" ref="C31:AH31" si="15">C$25*C6</f>
        <v>1550406.9169420258</v>
      </c>
      <c r="D31">
        <f t="shared" si="15"/>
        <v>1438180.7566027616</v>
      </c>
      <c r="E31">
        <f t="shared" si="15"/>
        <v>1324899.9074029753</v>
      </c>
      <c r="F31">
        <f t="shared" si="15"/>
        <v>1236573.9336508724</v>
      </c>
      <c r="G31">
        <f t="shared" si="15"/>
        <v>1150481.697073841</v>
      </c>
      <c r="H31">
        <f t="shared" si="15"/>
        <v>1031360.0314618126</v>
      </c>
      <c r="I31">
        <f t="shared" si="15"/>
        <v>933043.01836023189</v>
      </c>
      <c r="J31">
        <f t="shared" si="15"/>
        <v>847859.62454300746</v>
      </c>
      <c r="K31">
        <f t="shared" si="15"/>
        <v>742895.3187780882</v>
      </c>
      <c r="L31">
        <f t="shared" si="15"/>
        <v>653461.58460813807</v>
      </c>
      <c r="M31">
        <f t="shared" si="15"/>
        <v>597964.98111402697</v>
      </c>
      <c r="N31">
        <f t="shared" si="15"/>
        <v>541850.44965586299</v>
      </c>
      <c r="O31">
        <f t="shared" si="15"/>
        <v>507692.29742791527</v>
      </c>
      <c r="P31">
        <f t="shared" si="15"/>
        <v>476569.81105125876</v>
      </c>
      <c r="Q31">
        <f t="shared" si="15"/>
        <v>437838.40979653248</v>
      </c>
      <c r="R31">
        <f t="shared" si="15"/>
        <v>419757.8621897797</v>
      </c>
      <c r="S31">
        <f t="shared" si="15"/>
        <v>423024.95328769431</v>
      </c>
      <c r="T31">
        <f t="shared" si="15"/>
        <v>417537.09818074806</v>
      </c>
      <c r="U31">
        <f t="shared" si="15"/>
        <v>429227.51148179051</v>
      </c>
      <c r="V31">
        <f t="shared" si="15"/>
        <v>454192.52515136375</v>
      </c>
      <c r="W31">
        <f t="shared" si="15"/>
        <v>458102.74678412708</v>
      </c>
      <c r="X31">
        <f t="shared" si="15"/>
        <v>469293.13537172967</v>
      </c>
      <c r="Y31">
        <f t="shared" si="15"/>
        <v>489184.10988167144</v>
      </c>
      <c r="Z31">
        <f t="shared" si="15"/>
        <v>531113.2534392419</v>
      </c>
      <c r="AA31">
        <f t="shared" si="15"/>
        <v>558583.65699283464</v>
      </c>
      <c r="AB31">
        <f t="shared" si="15"/>
        <v>557642.91491143976</v>
      </c>
      <c r="AC31">
        <f t="shared" si="15"/>
        <v>550113.85147268174</v>
      </c>
      <c r="AD31">
        <f t="shared" si="15"/>
        <v>568931.91668361716</v>
      </c>
      <c r="AE31">
        <f t="shared" si="15"/>
        <v>603593.79534273385</v>
      </c>
      <c r="AF31">
        <f t="shared" si="15"/>
        <v>642070.06241361226</v>
      </c>
      <c r="AG31">
        <f t="shared" si="15"/>
        <v>671763</v>
      </c>
      <c r="AH31">
        <f t="shared" si="15"/>
        <v>720082.31855111604</v>
      </c>
      <c r="AI31">
        <f t="shared" ref="AI31:BN31" si="16">AI$25*AI6</f>
        <v>763957.42937776924</v>
      </c>
      <c r="AJ31">
        <f t="shared" si="16"/>
        <v>795277.28926150245</v>
      </c>
      <c r="AK31">
        <f t="shared" si="16"/>
        <v>791158.41859786399</v>
      </c>
      <c r="AL31">
        <f t="shared" si="16"/>
        <v>819307.58004494826</v>
      </c>
      <c r="AM31">
        <f t="shared" si="16"/>
        <v>828384.07438566198</v>
      </c>
      <c r="AN31">
        <f t="shared" si="16"/>
        <v>845995.48919575079</v>
      </c>
      <c r="AO31">
        <f t="shared" si="16"/>
        <v>841735.59695793851</v>
      </c>
      <c r="AP31">
        <f t="shared" si="16"/>
        <v>834105.90249114099</v>
      </c>
      <c r="AQ31">
        <f t="shared" si="16"/>
        <v>804743.28302821796</v>
      </c>
      <c r="AR31">
        <f t="shared" si="16"/>
        <v>765715.6401284755</v>
      </c>
      <c r="AS31">
        <f t="shared" si="16"/>
        <v>721823.11771791801</v>
      </c>
      <c r="AT31">
        <f t="shared" si="16"/>
        <v>672192.39607016847</v>
      </c>
      <c r="AU31">
        <f t="shared" si="16"/>
        <v>617251.79253015423</v>
      </c>
      <c r="AV31">
        <f t="shared" si="16"/>
        <v>693827.62914401758</v>
      </c>
      <c r="AW31">
        <f t="shared" si="16"/>
        <v>775918.23402061337</v>
      </c>
      <c r="AX31">
        <f t="shared" si="16"/>
        <v>841810.13790010824</v>
      </c>
      <c r="AY31">
        <f t="shared" si="16"/>
        <v>912602.64685491717</v>
      </c>
      <c r="AZ31">
        <f t="shared" si="16"/>
        <v>989533.75557244418</v>
      </c>
      <c r="BA31">
        <f t="shared" si="16"/>
        <v>996645.54134795489</v>
      </c>
      <c r="BB31">
        <f t="shared" si="16"/>
        <v>989329.86314667948</v>
      </c>
      <c r="BC31">
        <f t="shared" si="16"/>
        <v>980744.71401281341</v>
      </c>
      <c r="BD31">
        <f t="shared" si="16"/>
        <v>989570.03220728307</v>
      </c>
      <c r="BE31">
        <f t="shared" si="16"/>
        <v>1021114.477860472</v>
      </c>
      <c r="BF31">
        <f t="shared" si="16"/>
        <v>1071838.7012989465</v>
      </c>
      <c r="BG31">
        <f t="shared" si="16"/>
        <v>1164830.2974330217</v>
      </c>
      <c r="BH31">
        <f t="shared" si="16"/>
        <v>1261285.3599996525</v>
      </c>
      <c r="BI31">
        <f t="shared" si="16"/>
        <v>1029570.7140960916</v>
      </c>
      <c r="BJ31">
        <f t="shared" si="16"/>
        <v>1021641.5010287642</v>
      </c>
      <c r="BK31">
        <f t="shared" si="16"/>
        <v>1006629.1295250145</v>
      </c>
      <c r="BL31">
        <f t="shared" si="16"/>
        <v>959117.60870558734</v>
      </c>
      <c r="BM31">
        <f t="shared" si="16"/>
        <v>865200.53863508569</v>
      </c>
      <c r="BN31">
        <f t="shared" si="16"/>
        <v>807041.10966081626</v>
      </c>
      <c r="BO31">
        <f t="shared" ref="BO31:CO31" si="17">BO$25*BO6</f>
        <v>844410.74482466746</v>
      </c>
      <c r="BP31">
        <f t="shared" si="17"/>
        <v>968572.96895260876</v>
      </c>
      <c r="BQ31">
        <f t="shared" si="17"/>
        <v>1077138.8145608965</v>
      </c>
      <c r="BR31">
        <f t="shared" si="17"/>
        <v>1162552.0864652975</v>
      </c>
      <c r="BS31">
        <f t="shared" si="17"/>
        <v>1238555.1776709682</v>
      </c>
      <c r="BT31">
        <f t="shared" si="17"/>
        <v>1306338.1317741985</v>
      </c>
      <c r="BU31">
        <f t="shared" si="17"/>
        <v>1245579.4781805149</v>
      </c>
      <c r="BV31">
        <f t="shared" si="17"/>
        <v>1229259.0687069288</v>
      </c>
      <c r="BW31">
        <f t="shared" si="17"/>
        <v>1227440.6212491824</v>
      </c>
      <c r="BX31">
        <f t="shared" si="17"/>
        <v>1216291.082640335</v>
      </c>
      <c r="BY31">
        <f t="shared" si="17"/>
        <v>1177565.9959044969</v>
      </c>
      <c r="BZ31">
        <f t="shared" si="17"/>
        <v>1222652.600605848</v>
      </c>
      <c r="CA31">
        <f t="shared" si="17"/>
        <v>1259031.4324860575</v>
      </c>
      <c r="CB31">
        <f t="shared" si="17"/>
        <v>1317999.9018927536</v>
      </c>
      <c r="CC31">
        <f t="shared" si="17"/>
        <v>1359747.4899821803</v>
      </c>
      <c r="CD31">
        <f t="shared" si="17"/>
        <v>1376651.7074489258</v>
      </c>
      <c r="CE31">
        <f t="shared" si="17"/>
        <v>1316213.346949741</v>
      </c>
      <c r="CF31">
        <f t="shared" si="17"/>
        <v>1257623.4165254759</v>
      </c>
      <c r="CG31">
        <f t="shared" si="17"/>
        <v>1235960.6334493617</v>
      </c>
      <c r="CH31">
        <f t="shared" si="17"/>
        <v>1207272.8579270188</v>
      </c>
      <c r="CI31">
        <f t="shared" si="17"/>
        <v>1094784.675854001</v>
      </c>
      <c r="CJ31">
        <f t="shared" si="17"/>
        <v>863165.65361120726</v>
      </c>
      <c r="CK31">
        <f t="shared" si="17"/>
        <v>716712.70562072017</v>
      </c>
      <c r="CL31">
        <f t="shared" si="17"/>
        <v>772148.40839361178</v>
      </c>
      <c r="CM31">
        <f t="shared" si="17"/>
        <v>763270.23676235287</v>
      </c>
      <c r="CN31">
        <f t="shared" si="17"/>
        <v>763369.47383651964</v>
      </c>
      <c r="CO31">
        <f t="shared" si="17"/>
        <v>2729166.2749836333</v>
      </c>
      <c r="CQ31">
        <f t="shared" si="8"/>
        <v>82864668.440102831</v>
      </c>
    </row>
    <row r="32" spans="1:95" ht="18">
      <c r="B32" s="257">
        <v>2005</v>
      </c>
      <c r="C32">
        <f t="shared" ref="C32:AH32" si="18">C$25*C7</f>
        <v>1575565.5498016449</v>
      </c>
      <c r="D32">
        <f t="shared" si="18"/>
        <v>1492487.6831527031</v>
      </c>
      <c r="E32">
        <f t="shared" si="18"/>
        <v>1362513.9741317322</v>
      </c>
      <c r="F32">
        <f t="shared" si="18"/>
        <v>1231249.8753690892</v>
      </c>
      <c r="G32">
        <f t="shared" si="18"/>
        <v>1124925.3580779179</v>
      </c>
      <c r="H32">
        <f t="shared" si="18"/>
        <v>1004905.5484511288</v>
      </c>
      <c r="I32">
        <f t="shared" si="18"/>
        <v>921073.58531611902</v>
      </c>
      <c r="J32">
        <f t="shared" si="18"/>
        <v>828438.19405082869</v>
      </c>
      <c r="K32">
        <f t="shared" si="18"/>
        <v>749633.03124033066</v>
      </c>
      <c r="L32">
        <f t="shared" si="18"/>
        <v>656186.25024015212</v>
      </c>
      <c r="M32">
        <f t="shared" si="18"/>
        <v>586419.34268356743</v>
      </c>
      <c r="N32">
        <f t="shared" si="18"/>
        <v>541080.11192929582</v>
      </c>
      <c r="O32">
        <f t="shared" si="18"/>
        <v>494723.64865504846</v>
      </c>
      <c r="P32">
        <f t="shared" si="18"/>
        <v>470069.44870569388</v>
      </c>
      <c r="Q32">
        <f t="shared" si="18"/>
        <v>449095.35970826808</v>
      </c>
      <c r="R32">
        <f t="shared" si="18"/>
        <v>425232.50568612339</v>
      </c>
      <c r="S32">
        <f t="shared" si="18"/>
        <v>419709.9525198153</v>
      </c>
      <c r="T32">
        <f t="shared" si="18"/>
        <v>430519.53933847178</v>
      </c>
      <c r="U32">
        <f t="shared" si="18"/>
        <v>433215.18622430688</v>
      </c>
      <c r="V32">
        <f t="shared" si="18"/>
        <v>454707.53661137726</v>
      </c>
      <c r="W32">
        <f t="shared" si="18"/>
        <v>479595.37257907825</v>
      </c>
      <c r="X32">
        <f t="shared" si="18"/>
        <v>487417.92889441201</v>
      </c>
      <c r="Y32">
        <f t="shared" si="18"/>
        <v>505992.13923781773</v>
      </c>
      <c r="Z32">
        <f t="shared" si="18"/>
        <v>528233.98385382083</v>
      </c>
      <c r="AA32">
        <f t="shared" si="18"/>
        <v>571485.21283781924</v>
      </c>
      <c r="AB32">
        <f t="shared" si="18"/>
        <v>597268.59225058928</v>
      </c>
      <c r="AC32">
        <f t="shared" si="18"/>
        <v>594216.21569104621</v>
      </c>
      <c r="AD32">
        <f t="shared" si="18"/>
        <v>581994.3397785814</v>
      </c>
      <c r="AE32">
        <f t="shared" si="18"/>
        <v>599770.83726742456</v>
      </c>
      <c r="AF32">
        <f t="shared" si="18"/>
        <v>632511.83490139525</v>
      </c>
      <c r="AG32">
        <f t="shared" si="18"/>
        <v>663500</v>
      </c>
      <c r="AH32">
        <f t="shared" si="18"/>
        <v>690475.52327180316</v>
      </c>
      <c r="AI32">
        <f t="shared" ref="AI32:BN32" si="19">AI$25*AI7</f>
        <v>736798.74622092501</v>
      </c>
      <c r="AJ32">
        <f t="shared" si="19"/>
        <v>776891.99179861299</v>
      </c>
      <c r="AK32">
        <f t="shared" si="19"/>
        <v>805750.76521082828</v>
      </c>
      <c r="AL32">
        <f t="shared" si="19"/>
        <v>802564.00051650254</v>
      </c>
      <c r="AM32">
        <f t="shared" si="19"/>
        <v>826008.37036825716</v>
      </c>
      <c r="AN32">
        <f t="shared" si="19"/>
        <v>830164.34355029813</v>
      </c>
      <c r="AO32">
        <f t="shared" si="19"/>
        <v>842213.36264159332</v>
      </c>
      <c r="AP32">
        <f t="shared" si="19"/>
        <v>833265.83271862706</v>
      </c>
      <c r="AQ32">
        <f t="shared" si="19"/>
        <v>815379.00194913521</v>
      </c>
      <c r="AR32">
        <f t="shared" si="19"/>
        <v>781969.79041550274</v>
      </c>
      <c r="AS32">
        <f t="shared" si="19"/>
        <v>739273.34261221869</v>
      </c>
      <c r="AT32">
        <f t="shared" si="19"/>
        <v>693166.62982444058</v>
      </c>
      <c r="AU32">
        <f t="shared" si="19"/>
        <v>641182.27801992837</v>
      </c>
      <c r="AV32">
        <f t="shared" si="19"/>
        <v>706866.04629547894</v>
      </c>
      <c r="AW32">
        <f t="shared" si="19"/>
        <v>787484.0525957864</v>
      </c>
      <c r="AX32">
        <f t="shared" si="19"/>
        <v>873548.43600759667</v>
      </c>
      <c r="AY32">
        <f t="shared" si="19"/>
        <v>942229.37260317151</v>
      </c>
      <c r="AZ32">
        <f t="shared" si="19"/>
        <v>1016226.4798932896</v>
      </c>
      <c r="BA32">
        <f t="shared" si="19"/>
        <v>989237.34379784344</v>
      </c>
      <c r="BB32">
        <f t="shared" si="19"/>
        <v>996857.85017602658</v>
      </c>
      <c r="BC32">
        <f t="shared" si="19"/>
        <v>990242.07592983986</v>
      </c>
      <c r="BD32">
        <f t="shared" si="19"/>
        <v>979961.12068678008</v>
      </c>
      <c r="BE32">
        <f t="shared" si="19"/>
        <v>989212.54724746756</v>
      </c>
      <c r="BF32">
        <f t="shared" si="19"/>
        <v>1033037.2721255943</v>
      </c>
      <c r="BG32">
        <f t="shared" si="19"/>
        <v>1082977.8497259852</v>
      </c>
      <c r="BH32">
        <f t="shared" si="19"/>
        <v>1174814.6323920055</v>
      </c>
      <c r="BI32">
        <f t="shared" si="19"/>
        <v>1276744.1664222581</v>
      </c>
      <c r="BJ32">
        <f t="shared" si="19"/>
        <v>1036638.508451055</v>
      </c>
      <c r="BK32">
        <f t="shared" si="19"/>
        <v>1013701.3614497853</v>
      </c>
      <c r="BL32">
        <f t="shared" si="19"/>
        <v>1000967.6319666996</v>
      </c>
      <c r="BM32">
        <f t="shared" si="19"/>
        <v>951759.15185442544</v>
      </c>
      <c r="BN32">
        <f t="shared" si="19"/>
        <v>857774.33045768377</v>
      </c>
      <c r="BO32">
        <f t="shared" ref="BO32:CO32" si="20">BO$25*BO7</f>
        <v>797552.84205020824</v>
      </c>
      <c r="BP32">
        <f t="shared" si="20"/>
        <v>955499.30421234772</v>
      </c>
      <c r="BQ32">
        <f t="shared" si="20"/>
        <v>1077429.7067352475</v>
      </c>
      <c r="BR32">
        <f t="shared" si="20"/>
        <v>1181529.5877407608</v>
      </c>
      <c r="BS32">
        <f t="shared" si="20"/>
        <v>1258928.6126007177</v>
      </c>
      <c r="BT32">
        <f t="shared" si="20"/>
        <v>1327866.4114353573</v>
      </c>
      <c r="BU32">
        <f t="shared" si="20"/>
        <v>1283155.1368907806</v>
      </c>
      <c r="BV32">
        <f t="shared" si="20"/>
        <v>1220679.6520533725</v>
      </c>
      <c r="BW32">
        <f t="shared" si="20"/>
        <v>1201846.4327408622</v>
      </c>
      <c r="BX32">
        <f t="shared" si="20"/>
        <v>1199004.7463408299</v>
      </c>
      <c r="BY32">
        <f t="shared" si="20"/>
        <v>1185839.1301103018</v>
      </c>
      <c r="BZ32">
        <f t="shared" si="20"/>
        <v>1247062.3930029243</v>
      </c>
      <c r="CA32">
        <f t="shared" si="20"/>
        <v>1279728.5937277272</v>
      </c>
      <c r="CB32">
        <f t="shared" si="20"/>
        <v>1306756.745682342</v>
      </c>
      <c r="CC32">
        <f t="shared" si="20"/>
        <v>1354153.7215038852</v>
      </c>
      <c r="CD32">
        <f t="shared" si="20"/>
        <v>1382858.9862447581</v>
      </c>
      <c r="CE32">
        <f t="shared" si="20"/>
        <v>1312364.5188958941</v>
      </c>
      <c r="CF32">
        <f t="shared" si="20"/>
        <v>1246895.4742258938</v>
      </c>
      <c r="CG32">
        <f t="shared" si="20"/>
        <v>1184701.3229822414</v>
      </c>
      <c r="CH32">
        <f t="shared" si="20"/>
        <v>1153072.891372591</v>
      </c>
      <c r="CI32">
        <f t="shared" si="20"/>
        <v>1113281.1196696798</v>
      </c>
      <c r="CJ32">
        <f t="shared" si="20"/>
        <v>1101266.5151502523</v>
      </c>
      <c r="CK32">
        <f t="shared" si="20"/>
        <v>862609.34350708826</v>
      </c>
      <c r="CL32">
        <f t="shared" si="20"/>
        <v>692034.17615976429</v>
      </c>
      <c r="CM32">
        <f t="shared" si="20"/>
        <v>728763.09839377494</v>
      </c>
      <c r="CN32">
        <f t="shared" si="20"/>
        <v>701447.10128624388</v>
      </c>
      <c r="CO32">
        <f t="shared" si="20"/>
        <v>2789901.1012220061</v>
      </c>
      <c r="CQ32">
        <f t="shared" si="8"/>
        <v>83555351.01432088</v>
      </c>
    </row>
    <row r="33" spans="2:95" ht="18">
      <c r="B33" s="257">
        <v>2006</v>
      </c>
      <c r="C33">
        <f t="shared" ref="C33:AH33" si="21">C$25*C8</f>
        <v>1617186.7414733169</v>
      </c>
      <c r="D33">
        <f t="shared" si="21"/>
        <v>1515544.8696875374</v>
      </c>
      <c r="E33">
        <f t="shared" si="21"/>
        <v>1410338.2491624588</v>
      </c>
      <c r="F33">
        <f t="shared" si="21"/>
        <v>1263099.9357244854</v>
      </c>
      <c r="G33">
        <f t="shared" si="21"/>
        <v>1115278.236944519</v>
      </c>
      <c r="H33">
        <f t="shared" si="21"/>
        <v>982833.92371324298</v>
      </c>
      <c r="I33">
        <f t="shared" si="21"/>
        <v>897513.47926504922</v>
      </c>
      <c r="J33">
        <f t="shared" si="21"/>
        <v>818433.66916830093</v>
      </c>
      <c r="K33">
        <f t="shared" si="21"/>
        <v>733024.4016983218</v>
      </c>
      <c r="L33">
        <f t="shared" si="21"/>
        <v>662109.62041802157</v>
      </c>
      <c r="M33">
        <f t="shared" si="21"/>
        <v>589300.31560123269</v>
      </c>
      <c r="N33">
        <f t="shared" si="21"/>
        <v>530209.41236466751</v>
      </c>
      <c r="O33">
        <f t="shared" si="21"/>
        <v>494774.02287342038</v>
      </c>
      <c r="P33">
        <f t="shared" si="21"/>
        <v>458491.84212613723</v>
      </c>
      <c r="Q33">
        <f t="shared" si="21"/>
        <v>442886.3482454287</v>
      </c>
      <c r="R33">
        <f t="shared" si="21"/>
        <v>437152.89015613846</v>
      </c>
      <c r="S33">
        <f t="shared" si="21"/>
        <v>425072.68254575651</v>
      </c>
      <c r="T33">
        <f t="shared" si="21"/>
        <v>427368.44227081601</v>
      </c>
      <c r="U33">
        <f t="shared" si="21"/>
        <v>446232.6015418467</v>
      </c>
      <c r="V33">
        <f t="shared" si="21"/>
        <v>455875.40906621766</v>
      </c>
      <c r="W33">
        <f t="shared" si="21"/>
        <v>479545.999295944</v>
      </c>
      <c r="X33">
        <f t="shared" si="21"/>
        <v>508493.63718341163</v>
      </c>
      <c r="Y33">
        <f t="shared" si="21"/>
        <v>521406.6437637317</v>
      </c>
      <c r="Z33">
        <f t="shared" si="21"/>
        <v>543507.61554958113</v>
      </c>
      <c r="AA33">
        <f t="shared" si="21"/>
        <v>567272.95582458691</v>
      </c>
      <c r="AB33">
        <f t="shared" si="21"/>
        <v>604422.84208608419</v>
      </c>
      <c r="AC33">
        <f t="shared" si="21"/>
        <v>630307.98161179363</v>
      </c>
      <c r="AD33">
        <f t="shared" si="21"/>
        <v>624858.83801773365</v>
      </c>
      <c r="AE33">
        <f t="shared" si="21"/>
        <v>608956.25089928182</v>
      </c>
      <c r="AF33">
        <f t="shared" si="21"/>
        <v>624775.29540898663</v>
      </c>
      <c r="AG33">
        <f t="shared" si="21"/>
        <v>652469</v>
      </c>
      <c r="AH33">
        <f t="shared" si="21"/>
        <v>680705.97276738042</v>
      </c>
      <c r="AI33">
        <f t="shared" ref="AI33:BN33" si="22">AI$25*AI8</f>
        <v>705578.74900228169</v>
      </c>
      <c r="AJ33">
        <f t="shared" si="22"/>
        <v>748730.96485528548</v>
      </c>
      <c r="AK33">
        <f t="shared" si="22"/>
        <v>785310.56115242094</v>
      </c>
      <c r="AL33">
        <f t="shared" si="22"/>
        <v>816147.57490214368</v>
      </c>
      <c r="AM33">
        <f t="shared" si="22"/>
        <v>807180.25168356299</v>
      </c>
      <c r="AN33">
        <f t="shared" si="22"/>
        <v>826246.10050212767</v>
      </c>
      <c r="AO33">
        <f t="shared" si="22"/>
        <v>825413.51810530794</v>
      </c>
      <c r="AP33">
        <f t="shared" si="22"/>
        <v>832114.12415953551</v>
      </c>
      <c r="AQ33">
        <f t="shared" si="22"/>
        <v>811166.63455866382</v>
      </c>
      <c r="AR33">
        <f t="shared" si="22"/>
        <v>788959.27253771294</v>
      </c>
      <c r="AS33">
        <f t="shared" si="22"/>
        <v>752780.42830045347</v>
      </c>
      <c r="AT33">
        <f t="shared" si="22"/>
        <v>707241.73310831247</v>
      </c>
      <c r="AU33">
        <f t="shared" si="22"/>
        <v>659888.77869167773</v>
      </c>
      <c r="AV33">
        <f t="shared" si="22"/>
        <v>734313.66284604953</v>
      </c>
      <c r="AW33">
        <f t="shared" si="22"/>
        <v>802447.50781081384</v>
      </c>
      <c r="AX33">
        <f t="shared" si="22"/>
        <v>887417.68139904586</v>
      </c>
      <c r="AY33">
        <f t="shared" si="22"/>
        <v>977807.03583914891</v>
      </c>
      <c r="AZ33">
        <f t="shared" si="22"/>
        <v>1048937.7428608947</v>
      </c>
      <c r="BA33">
        <f t="shared" si="22"/>
        <v>1015700.2492950488</v>
      </c>
      <c r="BB33">
        <f t="shared" si="22"/>
        <v>987886.89136189467</v>
      </c>
      <c r="BC33">
        <f t="shared" si="22"/>
        <v>995704.07111247082</v>
      </c>
      <c r="BD33">
        <f t="shared" si="22"/>
        <v>989813.7482586992</v>
      </c>
      <c r="BE33">
        <f t="shared" si="22"/>
        <v>977637.33734597883</v>
      </c>
      <c r="BF33">
        <f t="shared" si="22"/>
        <v>1001151.8192388134</v>
      </c>
      <c r="BG33">
        <f t="shared" si="22"/>
        <v>1044187.7134367267</v>
      </c>
      <c r="BH33">
        <f t="shared" si="22"/>
        <v>1094158.5462440429</v>
      </c>
      <c r="BI33">
        <f t="shared" si="22"/>
        <v>1184977.4829129069</v>
      </c>
      <c r="BJ33">
        <f t="shared" si="22"/>
        <v>1291702.6152247696</v>
      </c>
      <c r="BK33">
        <f t="shared" si="22"/>
        <v>1028337.2975128643</v>
      </c>
      <c r="BL33">
        <f t="shared" si="22"/>
        <v>1005233.429966227</v>
      </c>
      <c r="BM33">
        <f t="shared" si="22"/>
        <v>995411.55593486829</v>
      </c>
      <c r="BN33">
        <f t="shared" si="22"/>
        <v>943949.88532578852</v>
      </c>
      <c r="BO33">
        <f t="shared" ref="BO33:CO33" si="23">BO$25*BO8</f>
        <v>850239.68249628134</v>
      </c>
      <c r="BP33">
        <f t="shared" si="23"/>
        <v>898088.59442786733</v>
      </c>
      <c r="BQ33">
        <f t="shared" si="23"/>
        <v>1060115.804517875</v>
      </c>
      <c r="BR33">
        <f t="shared" si="23"/>
        <v>1178577.4743902073</v>
      </c>
      <c r="BS33">
        <f t="shared" si="23"/>
        <v>1277933.9169638962</v>
      </c>
      <c r="BT33">
        <f t="shared" si="23"/>
        <v>1347519.2749381806</v>
      </c>
      <c r="BU33">
        <f t="shared" si="23"/>
        <v>1302519.6827447109</v>
      </c>
      <c r="BV33">
        <f t="shared" si="23"/>
        <v>1257409.2028673929</v>
      </c>
      <c r="BW33">
        <f t="shared" si="23"/>
        <v>1193790.3407634613</v>
      </c>
      <c r="BX33">
        <f t="shared" si="23"/>
        <v>1172271.446166486</v>
      </c>
      <c r="BY33">
        <f t="shared" si="23"/>
        <v>1169048.9752768518</v>
      </c>
      <c r="BZ33">
        <f t="shared" si="23"/>
        <v>1255246.363444489</v>
      </c>
      <c r="CA33">
        <f t="shared" si="23"/>
        <v>1307933.1421131687</v>
      </c>
      <c r="CB33">
        <f t="shared" si="23"/>
        <v>1329496.0801304048</v>
      </c>
      <c r="CC33">
        <f t="shared" si="23"/>
        <v>1344571.3146530951</v>
      </c>
      <c r="CD33">
        <f t="shared" si="23"/>
        <v>1381537.2842958358</v>
      </c>
      <c r="CE33">
        <f t="shared" si="23"/>
        <v>1321683.7382480835</v>
      </c>
      <c r="CF33">
        <f t="shared" si="23"/>
        <v>1246726.7200773612</v>
      </c>
      <c r="CG33">
        <f t="shared" si="23"/>
        <v>1176141.8565329961</v>
      </c>
      <c r="CH33">
        <f t="shared" si="23"/>
        <v>1109752.3183773393</v>
      </c>
      <c r="CI33">
        <f t="shared" si="23"/>
        <v>1067569.4031072012</v>
      </c>
      <c r="CJ33">
        <f t="shared" si="23"/>
        <v>1129405.9100211584</v>
      </c>
      <c r="CK33">
        <f t="shared" si="23"/>
        <v>1086080.5308903321</v>
      </c>
      <c r="CL33">
        <f t="shared" si="23"/>
        <v>848489.87386732653</v>
      </c>
      <c r="CM33">
        <f t="shared" si="23"/>
        <v>655540.98917201196</v>
      </c>
      <c r="CN33">
        <f t="shared" si="23"/>
        <v>676402.14017119003</v>
      </c>
      <c r="CO33">
        <f t="shared" si="23"/>
        <v>2803448.3111066571</v>
      </c>
      <c r="CQ33">
        <f t="shared" si="8"/>
        <v>84290525.463703826</v>
      </c>
    </row>
    <row r="34" spans="2:95" ht="18">
      <c r="B34" s="257">
        <v>2007</v>
      </c>
      <c r="C34">
        <f t="shared" ref="C34:AH34" si="24">C$25*C9</f>
        <v>1668594.5867984006</v>
      </c>
      <c r="D34">
        <f t="shared" si="24"/>
        <v>1564285.0611803704</v>
      </c>
      <c r="E34">
        <f t="shared" si="24"/>
        <v>1435762.0463406949</v>
      </c>
      <c r="F34">
        <f t="shared" si="24"/>
        <v>1308803.9500437642</v>
      </c>
      <c r="G34">
        <f t="shared" si="24"/>
        <v>1145094.6271690328</v>
      </c>
      <c r="H34">
        <f t="shared" si="24"/>
        <v>974082.03867304418</v>
      </c>
      <c r="I34">
        <f t="shared" si="24"/>
        <v>879599.36124752229</v>
      </c>
      <c r="J34">
        <f t="shared" si="24"/>
        <v>799092.67843737442</v>
      </c>
      <c r="K34">
        <f t="shared" si="24"/>
        <v>726026.99153946177</v>
      </c>
      <c r="L34">
        <f t="shared" si="24"/>
        <v>648456.66482583678</v>
      </c>
      <c r="M34">
        <f t="shared" si="24"/>
        <v>595308.09437341674</v>
      </c>
      <c r="N34">
        <f t="shared" si="24"/>
        <v>533804.03802134481</v>
      </c>
      <c r="O34">
        <f t="shared" si="24"/>
        <v>485197.49646692374</v>
      </c>
      <c r="P34">
        <f t="shared" si="24"/>
        <v>459980.13575263391</v>
      </c>
      <c r="Q34">
        <f t="shared" si="24"/>
        <v>432909.74582440237</v>
      </c>
      <c r="R34">
        <f t="shared" si="24"/>
        <v>431172.49387965631</v>
      </c>
      <c r="S34">
        <f t="shared" si="24"/>
        <v>438390.37726145366</v>
      </c>
      <c r="T34">
        <f t="shared" si="24"/>
        <v>433797.96671879687</v>
      </c>
      <c r="U34">
        <f t="shared" si="24"/>
        <v>444464.27172787877</v>
      </c>
      <c r="V34">
        <f t="shared" si="24"/>
        <v>471966.01847248187</v>
      </c>
      <c r="W34">
        <f t="shared" si="24"/>
        <v>480375.90609921515</v>
      </c>
      <c r="X34">
        <f t="shared" si="24"/>
        <v>508571.03576271661</v>
      </c>
      <c r="Y34">
        <f t="shared" si="24"/>
        <v>542706.21875557641</v>
      </c>
      <c r="Z34">
        <f t="shared" si="24"/>
        <v>557391.33867546264</v>
      </c>
      <c r="AA34">
        <f t="shared" si="24"/>
        <v>582374.90691857645</v>
      </c>
      <c r="AB34">
        <f t="shared" si="24"/>
        <v>603302.32835121755</v>
      </c>
      <c r="AC34">
        <f t="shared" si="24"/>
        <v>639730.73343818425</v>
      </c>
      <c r="AD34">
        <f t="shared" si="24"/>
        <v>664916.68800911179</v>
      </c>
      <c r="AE34">
        <f t="shared" si="24"/>
        <v>657282.33746605658</v>
      </c>
      <c r="AF34">
        <f t="shared" si="24"/>
        <v>636185.58874015894</v>
      </c>
      <c r="AG34">
        <f t="shared" si="24"/>
        <v>640284</v>
      </c>
      <c r="AH34">
        <f t="shared" si="24"/>
        <v>666209.87689340836</v>
      </c>
      <c r="AI34">
        <f t="shared" ref="AI34:BN34" si="25">AI$25*AI9</f>
        <v>692297.68436512002</v>
      </c>
      <c r="AJ34">
        <f t="shared" si="25"/>
        <v>714422.03463008616</v>
      </c>
      <c r="AK34">
        <f t="shared" si="25"/>
        <v>754801.96339530672</v>
      </c>
      <c r="AL34">
        <f t="shared" si="25"/>
        <v>796115.85329313239</v>
      </c>
      <c r="AM34">
        <f t="shared" si="25"/>
        <v>823251.0655713228</v>
      </c>
      <c r="AN34">
        <f t="shared" si="25"/>
        <v>808922.3919399241</v>
      </c>
      <c r="AO34">
        <f t="shared" si="25"/>
        <v>822925.55067099957</v>
      </c>
      <c r="AP34">
        <f t="shared" si="25"/>
        <v>816877.17626328196</v>
      </c>
      <c r="AQ34">
        <f t="shared" si="25"/>
        <v>811991.81087597599</v>
      </c>
      <c r="AR34">
        <f t="shared" si="25"/>
        <v>787057.35920522118</v>
      </c>
      <c r="AS34">
        <f t="shared" si="25"/>
        <v>761028.72480833449</v>
      </c>
      <c r="AT34">
        <f t="shared" si="25"/>
        <v>721934.478055274</v>
      </c>
      <c r="AU34">
        <f t="shared" si="25"/>
        <v>674327.05027344986</v>
      </c>
      <c r="AV34">
        <f t="shared" si="25"/>
        <v>754447.77644269692</v>
      </c>
      <c r="AW34">
        <f t="shared" si="25"/>
        <v>831431.89203395741</v>
      </c>
      <c r="AX34">
        <f t="shared" si="25"/>
        <v>902367.29768912669</v>
      </c>
      <c r="AY34">
        <f t="shared" si="25"/>
        <v>991536.31877470552</v>
      </c>
      <c r="AZ34">
        <f t="shared" si="25"/>
        <v>1086241.1299572722</v>
      </c>
      <c r="BA34">
        <f t="shared" si="25"/>
        <v>1047988.0190692748</v>
      </c>
      <c r="BB34">
        <f t="shared" si="25"/>
        <v>1015156.4755944888</v>
      </c>
      <c r="BC34">
        <f t="shared" si="25"/>
        <v>986371.88070704474</v>
      </c>
      <c r="BD34">
        <f t="shared" si="25"/>
        <v>994432.9798198744</v>
      </c>
      <c r="BE34">
        <f t="shared" si="25"/>
        <v>989238.63222752733</v>
      </c>
      <c r="BF34">
        <f t="shared" si="25"/>
        <v>988404.270523599</v>
      </c>
      <c r="BG34">
        <f t="shared" si="25"/>
        <v>1012117.7389715723</v>
      </c>
      <c r="BH34">
        <f t="shared" si="25"/>
        <v>1054948.7034507701</v>
      </c>
      <c r="BI34">
        <f t="shared" si="25"/>
        <v>1104359.0461648535</v>
      </c>
      <c r="BJ34">
        <f t="shared" si="25"/>
        <v>1193801.0611098025</v>
      </c>
      <c r="BK34">
        <f t="shared" si="25"/>
        <v>1284784.6597081921</v>
      </c>
      <c r="BL34">
        <f t="shared" si="25"/>
        <v>1017235.3247133329</v>
      </c>
      <c r="BM34">
        <f t="shared" si="25"/>
        <v>994642.15397360909</v>
      </c>
      <c r="BN34">
        <f t="shared" si="25"/>
        <v>987318.8374161917</v>
      </c>
      <c r="BO34">
        <f t="shared" ref="BO34:CO34" si="26">BO$25*BO9</f>
        <v>933873.4383302104</v>
      </c>
      <c r="BP34">
        <f t="shared" si="26"/>
        <v>962739.31003301905</v>
      </c>
      <c r="BQ34">
        <f t="shared" si="26"/>
        <v>997485.55581140344</v>
      </c>
      <c r="BR34">
        <f t="shared" si="26"/>
        <v>1161673.4504461249</v>
      </c>
      <c r="BS34">
        <f t="shared" si="26"/>
        <v>1277759.6873927882</v>
      </c>
      <c r="BT34">
        <f t="shared" si="26"/>
        <v>1370991.6215987452</v>
      </c>
      <c r="BU34">
        <f t="shared" si="26"/>
        <v>1324234.8562793767</v>
      </c>
      <c r="BV34">
        <f t="shared" si="26"/>
        <v>1278110.6868627761</v>
      </c>
      <c r="BW34">
        <f t="shared" si="26"/>
        <v>1232933.8395214921</v>
      </c>
      <c r="BX34">
        <f t="shared" si="26"/>
        <v>1168394.313845481</v>
      </c>
      <c r="BY34">
        <f t="shared" si="26"/>
        <v>1144492.4632180443</v>
      </c>
      <c r="BZ34">
        <f t="shared" si="26"/>
        <v>1240798.7612418456</v>
      </c>
      <c r="CA34">
        <f t="shared" si="26"/>
        <v>1318310.0026956198</v>
      </c>
      <c r="CB34">
        <f t="shared" si="26"/>
        <v>1362213.4606526806</v>
      </c>
      <c r="CC34">
        <f t="shared" si="26"/>
        <v>1371722.2003331219</v>
      </c>
      <c r="CD34">
        <f t="shared" si="26"/>
        <v>1375405.531325656</v>
      </c>
      <c r="CE34">
        <f t="shared" si="26"/>
        <v>1321125.7297198304</v>
      </c>
      <c r="CF34">
        <f t="shared" si="26"/>
        <v>1257941.6386341378</v>
      </c>
      <c r="CG34">
        <f t="shared" si="26"/>
        <v>1177794.282003551</v>
      </c>
      <c r="CH34">
        <f t="shared" si="26"/>
        <v>1103546.7792716075</v>
      </c>
      <c r="CI34">
        <f t="shared" si="26"/>
        <v>1030884.7066923371</v>
      </c>
      <c r="CJ34">
        <f t="shared" si="26"/>
        <v>1088036.2188656304</v>
      </c>
      <c r="CK34">
        <f t="shared" si="26"/>
        <v>1120861.680308599</v>
      </c>
      <c r="CL34">
        <f t="shared" si="26"/>
        <v>1047869.1848565396</v>
      </c>
      <c r="CM34">
        <f t="shared" si="26"/>
        <v>824029.00824424135</v>
      </c>
      <c r="CN34">
        <f t="shared" si="26"/>
        <v>609163.39829217072</v>
      </c>
      <c r="CO34">
        <f t="shared" si="26"/>
        <v>2806572.1752631413</v>
      </c>
      <c r="CQ34">
        <f t="shared" si="8"/>
        <v>85187860.927299619</v>
      </c>
    </row>
    <row r="35" spans="2:95" ht="18">
      <c r="B35" s="257">
        <v>2008</v>
      </c>
      <c r="C35">
        <f t="shared" ref="C35:AH35" si="27">C$25*C10</f>
        <v>1734125.4380191874</v>
      </c>
      <c r="D35">
        <f t="shared" si="27"/>
        <v>1607921.1618144619</v>
      </c>
      <c r="E35">
        <f t="shared" si="27"/>
        <v>1485708.3224944212</v>
      </c>
      <c r="F35">
        <f t="shared" si="27"/>
        <v>1331253.5829469343</v>
      </c>
      <c r="G35">
        <f t="shared" si="27"/>
        <v>1184079.9492646768</v>
      </c>
      <c r="H35">
        <f t="shared" si="27"/>
        <v>998339.04126371758</v>
      </c>
      <c r="I35">
        <f t="shared" si="27"/>
        <v>868897.08068543987</v>
      </c>
      <c r="J35">
        <f t="shared" si="27"/>
        <v>782659.78958358499</v>
      </c>
      <c r="K35">
        <f t="shared" si="27"/>
        <v>708347.10899890575</v>
      </c>
      <c r="L35">
        <f t="shared" si="27"/>
        <v>642357.64630042773</v>
      </c>
      <c r="M35">
        <f t="shared" si="27"/>
        <v>581726.77012355009</v>
      </c>
      <c r="N35">
        <f t="shared" si="27"/>
        <v>538185.17424083757</v>
      </c>
      <c r="O35">
        <f t="shared" si="27"/>
        <v>488167.25038694439</v>
      </c>
      <c r="P35">
        <f t="shared" si="27"/>
        <v>450114.28170788329</v>
      </c>
      <c r="Q35">
        <f t="shared" si="27"/>
        <v>434549.93834671093</v>
      </c>
      <c r="R35">
        <f t="shared" si="27"/>
        <v>421916.43591119524</v>
      </c>
      <c r="S35">
        <f t="shared" si="27"/>
        <v>432371.64786572487</v>
      </c>
      <c r="T35">
        <f t="shared" si="27"/>
        <v>447951.32167962362</v>
      </c>
      <c r="U35">
        <f t="shared" si="27"/>
        <v>451054.21604032122</v>
      </c>
      <c r="V35">
        <f t="shared" si="27"/>
        <v>469692.55076380813</v>
      </c>
      <c r="W35">
        <f t="shared" si="27"/>
        <v>495676.54132697789</v>
      </c>
      <c r="X35">
        <f t="shared" si="27"/>
        <v>505986.82494495105</v>
      </c>
      <c r="Y35">
        <f t="shared" si="27"/>
        <v>539866.17150648998</v>
      </c>
      <c r="Z35">
        <f t="shared" si="27"/>
        <v>575650.16085405753</v>
      </c>
      <c r="AA35">
        <f t="shared" si="27"/>
        <v>590517.03968117398</v>
      </c>
      <c r="AB35">
        <f t="shared" si="27"/>
        <v>614361.42512001051</v>
      </c>
      <c r="AC35">
        <f t="shared" si="27"/>
        <v>635532.94966825633</v>
      </c>
      <c r="AD35">
        <f t="shared" si="27"/>
        <v>670780.57809821109</v>
      </c>
      <c r="AE35">
        <f t="shared" si="27"/>
        <v>695803.20031082293</v>
      </c>
      <c r="AF35">
        <f t="shared" si="27"/>
        <v>685397.62335811474</v>
      </c>
      <c r="AG35">
        <f t="shared" si="27"/>
        <v>658120</v>
      </c>
      <c r="AH35">
        <f t="shared" si="27"/>
        <v>659282.35894380836</v>
      </c>
      <c r="AI35">
        <f t="shared" ref="AI35:BN35" si="28">AI$25*AI10</f>
        <v>683130.57089703879</v>
      </c>
      <c r="AJ35">
        <f t="shared" si="28"/>
        <v>705879.2236564639</v>
      </c>
      <c r="AK35">
        <f t="shared" si="28"/>
        <v>724699.67099391716</v>
      </c>
      <c r="AL35">
        <f t="shared" si="28"/>
        <v>763662.26160198404</v>
      </c>
      <c r="AM35">
        <f t="shared" si="28"/>
        <v>800547.41362154682</v>
      </c>
      <c r="AN35">
        <f t="shared" si="28"/>
        <v>824534.85482517001</v>
      </c>
      <c r="AO35">
        <f t="shared" si="28"/>
        <v>804578.50468234869</v>
      </c>
      <c r="AP35">
        <f t="shared" si="28"/>
        <v>813682.61813331291</v>
      </c>
      <c r="AQ35">
        <f t="shared" si="28"/>
        <v>795219.66979758709</v>
      </c>
      <c r="AR35">
        <f t="shared" si="28"/>
        <v>785231.48290627135</v>
      </c>
      <c r="AS35">
        <f t="shared" si="28"/>
        <v>756641.63709537627</v>
      </c>
      <c r="AT35">
        <f t="shared" si="28"/>
        <v>727571.82873761677</v>
      </c>
      <c r="AU35">
        <f t="shared" si="28"/>
        <v>686711.79746961757</v>
      </c>
      <c r="AV35">
        <f t="shared" si="28"/>
        <v>772308.90927156096</v>
      </c>
      <c r="AW35">
        <f t="shared" si="28"/>
        <v>857014.0973222733</v>
      </c>
      <c r="AX35">
        <f t="shared" si="28"/>
        <v>936899.43750363402</v>
      </c>
      <c r="AY35">
        <f t="shared" si="28"/>
        <v>1011009.5000585236</v>
      </c>
      <c r="AZ35">
        <f t="shared" si="28"/>
        <v>1104867.9535110528</v>
      </c>
      <c r="BA35">
        <f t="shared" si="28"/>
        <v>1087495.7242056532</v>
      </c>
      <c r="BB35">
        <f t="shared" si="28"/>
        <v>1050021.8374771916</v>
      </c>
      <c r="BC35">
        <f t="shared" si="28"/>
        <v>1017647.5922271553</v>
      </c>
      <c r="BD35">
        <f t="shared" si="28"/>
        <v>987526.06692273915</v>
      </c>
      <c r="BE35">
        <f t="shared" si="28"/>
        <v>995666.94950098789</v>
      </c>
      <c r="BF35">
        <f t="shared" si="28"/>
        <v>999974.5612279129</v>
      </c>
      <c r="BG35">
        <f t="shared" si="28"/>
        <v>996772.30171040969</v>
      </c>
      <c r="BH35">
        <f t="shared" si="28"/>
        <v>1020993.1166891482</v>
      </c>
      <c r="BI35">
        <f t="shared" si="28"/>
        <v>1063720.708978286</v>
      </c>
      <c r="BJ35">
        <f t="shared" si="28"/>
        <v>1112228.5203842157</v>
      </c>
      <c r="BK35">
        <f t="shared" si="28"/>
        <v>1187998.3447317146</v>
      </c>
      <c r="BL35">
        <f t="shared" si="28"/>
        <v>1282860.8890910798</v>
      </c>
      <c r="BM35">
        <f t="shared" si="28"/>
        <v>1010615.7241577093</v>
      </c>
      <c r="BN35">
        <f t="shared" si="28"/>
        <v>988076.39715909888</v>
      </c>
      <c r="BO35">
        <f t="shared" ref="BO35:CO35" si="29">BO$25*BO10</f>
        <v>982901.91962110286</v>
      </c>
      <c r="BP35">
        <f t="shared" si="29"/>
        <v>1061478.4722976747</v>
      </c>
      <c r="BQ35">
        <f t="shared" si="29"/>
        <v>1075056.0265925431</v>
      </c>
      <c r="BR35">
        <f t="shared" si="29"/>
        <v>1095480.2784884549</v>
      </c>
      <c r="BS35">
        <f t="shared" si="29"/>
        <v>1262121.8693302087</v>
      </c>
      <c r="BT35">
        <f t="shared" si="29"/>
        <v>1374867.2736264535</v>
      </c>
      <c r="BU35">
        <f t="shared" si="29"/>
        <v>1350026.1182391471</v>
      </c>
      <c r="BV35">
        <f t="shared" si="29"/>
        <v>1301665.7117750593</v>
      </c>
      <c r="BW35">
        <f t="shared" si="29"/>
        <v>1255029.2028981068</v>
      </c>
      <c r="BX35">
        <f t="shared" si="29"/>
        <v>1209501.3728684287</v>
      </c>
      <c r="BY35">
        <f t="shared" si="29"/>
        <v>1144144.0540439866</v>
      </c>
      <c r="BZ35">
        <f t="shared" si="29"/>
        <v>1215366.405828987</v>
      </c>
      <c r="CA35">
        <f t="shared" si="29"/>
        <v>1306375.8588934911</v>
      </c>
      <c r="CB35">
        <f t="shared" si="29"/>
        <v>1375146.1510449836</v>
      </c>
      <c r="CC35">
        <f t="shared" si="29"/>
        <v>1408631.3975330677</v>
      </c>
      <c r="CD35">
        <f t="shared" si="29"/>
        <v>1405922.6852534553</v>
      </c>
      <c r="CE35">
        <f t="shared" si="29"/>
        <v>1318545.5364396186</v>
      </c>
      <c r="CF35">
        <f t="shared" si="29"/>
        <v>1258279.1469312033</v>
      </c>
      <c r="CG35">
        <f t="shared" si="29"/>
        <v>1189254.0232462478</v>
      </c>
      <c r="CH35">
        <f t="shared" si="29"/>
        <v>1105433.0661585086</v>
      </c>
      <c r="CI35">
        <f t="shared" si="29"/>
        <v>1026232.0134885006</v>
      </c>
      <c r="CJ35">
        <f t="shared" si="29"/>
        <v>1052447.8336496011</v>
      </c>
      <c r="CK35">
        <f t="shared" si="29"/>
        <v>1084729.806641079</v>
      </c>
      <c r="CL35">
        <f t="shared" si="29"/>
        <v>1091537.9531388571</v>
      </c>
      <c r="CM35">
        <f t="shared" si="29"/>
        <v>986394.55825149734</v>
      </c>
      <c r="CN35">
        <f t="shared" si="29"/>
        <v>785473.96519010037</v>
      </c>
      <c r="CO35">
        <f t="shared" si="29"/>
        <v>2726309.2735942863</v>
      </c>
      <c r="CQ35">
        <f t="shared" si="8"/>
        <v>86190535.723864466</v>
      </c>
    </row>
    <row r="36" spans="2:95" ht="18">
      <c r="B36" s="257">
        <v>2009</v>
      </c>
      <c r="C36">
        <f t="shared" ref="C36:AH36" si="30">C$25*C11</f>
        <v>1721054.0624576928</v>
      </c>
      <c r="D36">
        <f t="shared" si="30"/>
        <v>1668697.6048031906</v>
      </c>
      <c r="E36">
        <f t="shared" si="30"/>
        <v>1523454.8664393297</v>
      </c>
      <c r="F36">
        <f t="shared" si="30"/>
        <v>1382810.1143807431</v>
      </c>
      <c r="G36">
        <f t="shared" si="30"/>
        <v>1204840.5063232437</v>
      </c>
      <c r="H36">
        <f t="shared" si="30"/>
        <v>1032957.5703352111</v>
      </c>
      <c r="I36">
        <f t="shared" si="30"/>
        <v>890721.97307035129</v>
      </c>
      <c r="J36">
        <f t="shared" si="30"/>
        <v>771679.08047975856</v>
      </c>
      <c r="K36">
        <f t="shared" si="30"/>
        <v>694138.27854230651</v>
      </c>
      <c r="L36">
        <f t="shared" si="30"/>
        <v>626900.5917169482</v>
      </c>
      <c r="M36">
        <f t="shared" si="30"/>
        <v>577020.96040539467</v>
      </c>
      <c r="N36">
        <f t="shared" si="30"/>
        <v>526328.78286696644</v>
      </c>
      <c r="O36">
        <f t="shared" si="30"/>
        <v>492546.70743340492</v>
      </c>
      <c r="P36">
        <f t="shared" si="30"/>
        <v>453668.85402179236</v>
      </c>
      <c r="Q36">
        <f t="shared" si="30"/>
        <v>425377.93324353028</v>
      </c>
      <c r="R36">
        <f t="shared" si="30"/>
        <v>424533.18515379285</v>
      </c>
      <c r="S36">
        <f t="shared" si="30"/>
        <v>423819.02367108344</v>
      </c>
      <c r="T36">
        <f t="shared" si="30"/>
        <v>442295.62423492671</v>
      </c>
      <c r="U36">
        <f t="shared" si="30"/>
        <v>467266.49029358127</v>
      </c>
      <c r="V36">
        <f t="shared" si="30"/>
        <v>477805.38074668386</v>
      </c>
      <c r="W36">
        <f t="shared" si="30"/>
        <v>490187.39396675932</v>
      </c>
      <c r="X36">
        <f t="shared" si="30"/>
        <v>518006.14801274973</v>
      </c>
      <c r="Y36">
        <f t="shared" si="30"/>
        <v>530561.19782184612</v>
      </c>
      <c r="Z36">
        <f t="shared" si="30"/>
        <v>566765.74237480853</v>
      </c>
      <c r="AA36">
        <f t="shared" si="30"/>
        <v>603214.97936259874</v>
      </c>
      <c r="AB36">
        <f t="shared" si="30"/>
        <v>614954.28033116576</v>
      </c>
      <c r="AC36">
        <f t="shared" si="30"/>
        <v>640425.11721156852</v>
      </c>
      <c r="AD36">
        <f t="shared" si="30"/>
        <v>661593.07445908571</v>
      </c>
      <c r="AE36">
        <f t="shared" si="30"/>
        <v>695643.71142784099</v>
      </c>
      <c r="AF36">
        <f t="shared" si="30"/>
        <v>720280.15613978286</v>
      </c>
      <c r="AG36">
        <f t="shared" si="30"/>
        <v>706521</v>
      </c>
      <c r="AH36">
        <f t="shared" si="30"/>
        <v>674317.75924100133</v>
      </c>
      <c r="AI36">
        <f t="shared" ref="AI36:BN36" si="31">AI$25*AI11</f>
        <v>673630.08908284293</v>
      </c>
      <c r="AJ36">
        <f t="shared" si="31"/>
        <v>694715.1570080294</v>
      </c>
      <c r="AK36">
        <f t="shared" si="31"/>
        <v>714198.72482348257</v>
      </c>
      <c r="AL36">
        <f t="shared" si="31"/>
        <v>732925.28128365276</v>
      </c>
      <c r="AM36">
        <f t="shared" si="31"/>
        <v>768126.22872899007</v>
      </c>
      <c r="AN36">
        <f t="shared" si="31"/>
        <v>800582.7231817483</v>
      </c>
      <c r="AO36">
        <f t="shared" si="31"/>
        <v>820933.27831686288</v>
      </c>
      <c r="AP36">
        <f t="shared" si="31"/>
        <v>795251.11210709042</v>
      </c>
      <c r="AQ36">
        <f t="shared" si="31"/>
        <v>795512.70405083732</v>
      </c>
      <c r="AR36">
        <f t="shared" si="31"/>
        <v>772145.21318551281</v>
      </c>
      <c r="AS36">
        <f t="shared" si="31"/>
        <v>757037.95164230152</v>
      </c>
      <c r="AT36">
        <f t="shared" si="31"/>
        <v>725217.29831486195</v>
      </c>
      <c r="AU36">
        <f t="shared" si="31"/>
        <v>693393.37511628738</v>
      </c>
      <c r="AV36">
        <f t="shared" si="31"/>
        <v>786920.92849302618</v>
      </c>
      <c r="AW36">
        <f t="shared" si="31"/>
        <v>876879.82438698388</v>
      </c>
      <c r="AX36">
        <f t="shared" si="31"/>
        <v>967024.22794638074</v>
      </c>
      <c r="AY36">
        <f t="shared" si="31"/>
        <v>1049763.2012047162</v>
      </c>
      <c r="AZ36">
        <f t="shared" si="31"/>
        <v>1126941.2769350652</v>
      </c>
      <c r="BA36">
        <f t="shared" si="31"/>
        <v>1105813.4741862069</v>
      </c>
      <c r="BB36">
        <f t="shared" si="31"/>
        <v>1087765.0726174687</v>
      </c>
      <c r="BC36">
        <f t="shared" si="31"/>
        <v>1050429.2792942114</v>
      </c>
      <c r="BD36">
        <f t="shared" si="31"/>
        <v>1018668.1039727021</v>
      </c>
      <c r="BE36">
        <f t="shared" si="31"/>
        <v>987164.87631278171</v>
      </c>
      <c r="BF36">
        <f t="shared" si="31"/>
        <v>1009221.8399980417</v>
      </c>
      <c r="BG36">
        <f t="shared" si="31"/>
        <v>1013510.3264444047</v>
      </c>
      <c r="BH36">
        <f t="shared" si="31"/>
        <v>1008057.9814879409</v>
      </c>
      <c r="BI36">
        <f t="shared" si="31"/>
        <v>1032520.5938233078</v>
      </c>
      <c r="BJ36">
        <f t="shared" si="31"/>
        <v>1074437.0522820898</v>
      </c>
      <c r="BK36">
        <f t="shared" si="31"/>
        <v>1108232.5819013296</v>
      </c>
      <c r="BL36">
        <f t="shared" si="31"/>
        <v>1181919.686532384</v>
      </c>
      <c r="BM36">
        <f t="shared" si="31"/>
        <v>1280825.7656101377</v>
      </c>
      <c r="BN36">
        <f t="shared" si="31"/>
        <v>1004076.4887504296</v>
      </c>
      <c r="BO36">
        <f t="shared" ref="BO36:CO36" si="32">BO$25*BO11</f>
        <v>980932.58679493493</v>
      </c>
      <c r="BP36">
        <f t="shared" si="32"/>
        <v>1118977.852048059</v>
      </c>
      <c r="BQ36">
        <f t="shared" si="32"/>
        <v>1184731.6848724561</v>
      </c>
      <c r="BR36">
        <f t="shared" si="32"/>
        <v>1183206.5125325152</v>
      </c>
      <c r="BS36">
        <f t="shared" si="32"/>
        <v>1188239.9625129045</v>
      </c>
      <c r="BT36">
        <f t="shared" si="32"/>
        <v>1357392.5140812311</v>
      </c>
      <c r="BU36">
        <f t="shared" si="32"/>
        <v>1354192.8558700252</v>
      </c>
      <c r="BV36">
        <f t="shared" si="32"/>
        <v>1327995.9696756781</v>
      </c>
      <c r="BW36">
        <f t="shared" si="32"/>
        <v>1277903.4788713669</v>
      </c>
      <c r="BX36">
        <f t="shared" si="32"/>
        <v>1230412.6702810684</v>
      </c>
      <c r="BY36">
        <f t="shared" si="32"/>
        <v>1184933.266257752</v>
      </c>
      <c r="BZ36">
        <f t="shared" si="32"/>
        <v>1217168.8897890097</v>
      </c>
      <c r="CA36">
        <f t="shared" si="32"/>
        <v>1279166.7651569475</v>
      </c>
      <c r="CB36">
        <f t="shared" si="32"/>
        <v>1364266.2038736742</v>
      </c>
      <c r="CC36">
        <f t="shared" si="32"/>
        <v>1423710.8252941321</v>
      </c>
      <c r="CD36">
        <f t="shared" si="32"/>
        <v>1445181.9535005561</v>
      </c>
      <c r="CE36">
        <f t="shared" si="32"/>
        <v>1349355.2380850345</v>
      </c>
      <c r="CF36">
        <f t="shared" si="32"/>
        <v>1257165.369550887</v>
      </c>
      <c r="CG36">
        <f t="shared" si="32"/>
        <v>1191437.759561317</v>
      </c>
      <c r="CH36">
        <f t="shared" si="32"/>
        <v>1118986.7515703926</v>
      </c>
      <c r="CI36">
        <f t="shared" si="32"/>
        <v>1028434.089438607</v>
      </c>
      <c r="CJ36">
        <f t="shared" si="32"/>
        <v>1048045.1468187521</v>
      </c>
      <c r="CK36">
        <f t="shared" si="32"/>
        <v>1050931.0021313599</v>
      </c>
      <c r="CL36">
        <f t="shared" si="32"/>
        <v>1058496.0350011834</v>
      </c>
      <c r="CM36">
        <f t="shared" si="32"/>
        <v>1037754.8665194968</v>
      </c>
      <c r="CN36">
        <f t="shared" si="32"/>
        <v>907154.52454620774</v>
      </c>
      <c r="CO36">
        <f t="shared" si="32"/>
        <v>2826531.9404639918</v>
      </c>
      <c r="CQ36">
        <f t="shared" si="8"/>
        <v>87156936.585090786</v>
      </c>
    </row>
    <row r="37" spans="2:95" ht="18">
      <c r="B37" s="257">
        <v>2010</v>
      </c>
      <c r="C37">
        <f t="shared" ref="C37:AH37" si="33">C$25*C12</f>
        <v>1745059.7968768461</v>
      </c>
      <c r="D37">
        <f t="shared" si="33"/>
        <v>1654243.0995785331</v>
      </c>
      <c r="E37">
        <f t="shared" si="33"/>
        <v>1579804.9965952414</v>
      </c>
      <c r="F37">
        <f t="shared" si="33"/>
        <v>1415620.6102910903</v>
      </c>
      <c r="G37">
        <f t="shared" si="33"/>
        <v>1257105.9974328408</v>
      </c>
      <c r="H37">
        <f t="shared" si="33"/>
        <v>1051619.72899264</v>
      </c>
      <c r="I37">
        <f t="shared" si="33"/>
        <v>920899.60204701882</v>
      </c>
      <c r="J37">
        <f t="shared" si="33"/>
        <v>790293.38658784679</v>
      </c>
      <c r="K37">
        <f t="shared" si="33"/>
        <v>682574.51721792249</v>
      </c>
      <c r="L37">
        <f t="shared" si="33"/>
        <v>614361.83919680631</v>
      </c>
      <c r="M37">
        <f t="shared" si="33"/>
        <v>563616.44676780351</v>
      </c>
      <c r="N37">
        <f t="shared" si="33"/>
        <v>522838.85504494968</v>
      </c>
      <c r="O37">
        <f t="shared" si="33"/>
        <v>482046.395360764</v>
      </c>
      <c r="P37">
        <f t="shared" si="33"/>
        <v>458005.53251478437</v>
      </c>
      <c r="Q37">
        <f t="shared" si="33"/>
        <v>429536.36711993377</v>
      </c>
      <c r="R37">
        <f t="shared" si="33"/>
        <v>414970.15610357246</v>
      </c>
      <c r="S37">
        <f t="shared" si="33"/>
        <v>426740.55446123419</v>
      </c>
      <c r="T37">
        <f t="shared" si="33"/>
        <v>433387.75308262004</v>
      </c>
      <c r="U37">
        <f t="shared" si="33"/>
        <v>460205.30597352778</v>
      </c>
      <c r="V37">
        <f t="shared" si="33"/>
        <v>493429.26101731084</v>
      </c>
      <c r="W37">
        <f t="shared" si="33"/>
        <v>504682.80903281807</v>
      </c>
      <c r="X37">
        <f t="shared" si="33"/>
        <v>519945.62115047954</v>
      </c>
      <c r="Y37">
        <f t="shared" si="33"/>
        <v>552919.94520982367</v>
      </c>
      <c r="Z37">
        <f t="shared" si="33"/>
        <v>565329.74608620768</v>
      </c>
      <c r="AA37">
        <f t="shared" si="33"/>
        <v>603226.71033498482</v>
      </c>
      <c r="AB37">
        <f t="shared" si="33"/>
        <v>632282.69056455046</v>
      </c>
      <c r="AC37">
        <f t="shared" si="33"/>
        <v>642850.06365333532</v>
      </c>
      <c r="AD37">
        <f t="shared" si="33"/>
        <v>669265.87904385687</v>
      </c>
      <c r="AE37">
        <f t="shared" si="33"/>
        <v>690514.28154463181</v>
      </c>
      <c r="AF37">
        <f t="shared" si="33"/>
        <v>722612.38717105996</v>
      </c>
      <c r="AG37">
        <f t="shared" si="33"/>
        <v>739813</v>
      </c>
      <c r="AH37">
        <f t="shared" si="33"/>
        <v>723374.11064379464</v>
      </c>
      <c r="AI37">
        <f t="shared" ref="AI37:BN37" si="34">AI$25*AI12</f>
        <v>686532.37296760804</v>
      </c>
      <c r="AJ37">
        <f t="shared" si="34"/>
        <v>683119.25595873059</v>
      </c>
      <c r="AK37">
        <f t="shared" si="34"/>
        <v>701615.85741169914</v>
      </c>
      <c r="AL37">
        <f t="shared" si="34"/>
        <v>721797.48837460799</v>
      </c>
      <c r="AM37">
        <f t="shared" si="34"/>
        <v>736872.16822619201</v>
      </c>
      <c r="AN37">
        <f t="shared" si="34"/>
        <v>768002.17661133397</v>
      </c>
      <c r="AO37">
        <f t="shared" si="34"/>
        <v>795542.08883785782</v>
      </c>
      <c r="AP37">
        <f t="shared" si="34"/>
        <v>812218.22851745435</v>
      </c>
      <c r="AQ37">
        <f t="shared" si="34"/>
        <v>774893.47091849381</v>
      </c>
      <c r="AR37">
        <f t="shared" si="34"/>
        <v>770350.93669271038</v>
      </c>
      <c r="AS37">
        <f t="shared" si="34"/>
        <v>742871.61194812378</v>
      </c>
      <c r="AT37">
        <f t="shared" si="34"/>
        <v>723482.23689739534</v>
      </c>
      <c r="AU37">
        <f t="shared" si="34"/>
        <v>689275.87140548264</v>
      </c>
      <c r="AV37">
        <f t="shared" si="34"/>
        <v>794183.476713254</v>
      </c>
      <c r="AW37">
        <f t="shared" si="34"/>
        <v>893774.89053930831</v>
      </c>
      <c r="AX37">
        <f t="shared" si="34"/>
        <v>988626.51960395486</v>
      </c>
      <c r="AY37">
        <f t="shared" si="34"/>
        <v>1084577.4076139287</v>
      </c>
      <c r="AZ37">
        <f t="shared" si="34"/>
        <v>1169886.1414726602</v>
      </c>
      <c r="BA37">
        <f t="shared" si="34"/>
        <v>1126699.3134999441</v>
      </c>
      <c r="BB37">
        <f t="shared" si="34"/>
        <v>1105518.1449450392</v>
      </c>
      <c r="BC37">
        <f t="shared" si="34"/>
        <v>1086156.5249848089</v>
      </c>
      <c r="BD37">
        <f t="shared" si="34"/>
        <v>1049399.0732826097</v>
      </c>
      <c r="BE37">
        <f t="shared" si="34"/>
        <v>1017760.9276115478</v>
      </c>
      <c r="BF37">
        <f t="shared" si="34"/>
        <v>1000147.0046548618</v>
      </c>
      <c r="BG37">
        <f t="shared" si="34"/>
        <v>1021736.0338051179</v>
      </c>
      <c r="BH37">
        <f t="shared" si="34"/>
        <v>1026441.0227310981</v>
      </c>
      <c r="BI37">
        <f t="shared" si="34"/>
        <v>1018293.6060007832</v>
      </c>
      <c r="BJ37">
        <f t="shared" si="34"/>
        <v>1043210.0916751422</v>
      </c>
      <c r="BK37">
        <f t="shared" si="34"/>
        <v>1071159.2537357293</v>
      </c>
      <c r="BL37">
        <f t="shared" si="34"/>
        <v>1104126.2664433809</v>
      </c>
      <c r="BM37">
        <f t="shared" si="34"/>
        <v>1175405.2008300913</v>
      </c>
      <c r="BN37">
        <f t="shared" si="34"/>
        <v>1278597.8721819401</v>
      </c>
      <c r="BO37">
        <f t="shared" ref="BO37:CO37" si="35">BO$25*BO12</f>
        <v>997316.14218635752</v>
      </c>
      <c r="BP37">
        <f t="shared" si="35"/>
        <v>1114476.3047092594</v>
      </c>
      <c r="BQ37">
        <f t="shared" si="35"/>
        <v>1252658.4982895111</v>
      </c>
      <c r="BR37">
        <f t="shared" si="35"/>
        <v>1304644.8961381642</v>
      </c>
      <c r="BS37">
        <f t="shared" si="35"/>
        <v>1288464.8092372718</v>
      </c>
      <c r="BT37">
        <f t="shared" si="35"/>
        <v>1277404.9227557518</v>
      </c>
      <c r="BU37">
        <f t="shared" si="35"/>
        <v>1336950.7517650567</v>
      </c>
      <c r="BV37">
        <f t="shared" si="35"/>
        <v>1333380.4228437918</v>
      </c>
      <c r="BW37">
        <f t="shared" si="35"/>
        <v>1305941.1915740019</v>
      </c>
      <c r="BX37">
        <f t="shared" si="35"/>
        <v>1254327.9572074623</v>
      </c>
      <c r="BY37">
        <f t="shared" si="35"/>
        <v>1206012.0212882387</v>
      </c>
      <c r="BZ37">
        <f t="shared" si="35"/>
        <v>1262927.7181664316</v>
      </c>
      <c r="CA37">
        <f t="shared" si="35"/>
        <v>1284577.6644795558</v>
      </c>
      <c r="CB37">
        <f t="shared" si="35"/>
        <v>1336531.7248878458</v>
      </c>
      <c r="CC37">
        <f t="shared" si="35"/>
        <v>1416261.2625565284</v>
      </c>
      <c r="CD37">
        <f t="shared" si="35"/>
        <v>1464138.9357393871</v>
      </c>
      <c r="CE37">
        <f t="shared" si="35"/>
        <v>1392002.3514152681</v>
      </c>
      <c r="CF37">
        <f t="shared" si="35"/>
        <v>1291060.8456704654</v>
      </c>
      <c r="CG37">
        <f t="shared" si="35"/>
        <v>1196068.4504080045</v>
      </c>
      <c r="CH37">
        <f t="shared" si="35"/>
        <v>1122843.0508718118</v>
      </c>
      <c r="CI37">
        <f t="shared" si="35"/>
        <v>1045628.1768232974</v>
      </c>
      <c r="CJ37">
        <f t="shared" si="35"/>
        <v>1054904.8886738881</v>
      </c>
      <c r="CK37">
        <f t="shared" si="35"/>
        <v>1052060.6987761897</v>
      </c>
      <c r="CL37">
        <f t="shared" si="35"/>
        <v>1032079.9545721413</v>
      </c>
      <c r="CM37">
        <f t="shared" si="35"/>
        <v>1018761.3804427837</v>
      </c>
      <c r="CN37">
        <f t="shared" si="35"/>
        <v>972150.66815381008</v>
      </c>
      <c r="CO37">
        <f t="shared" si="35"/>
        <v>3031780.804011866</v>
      </c>
      <c r="CQ37">
        <f t="shared" si="8"/>
        <v>88270806.477435812</v>
      </c>
    </row>
    <row r="38" spans="2:95" ht="18">
      <c r="B38" s="257">
        <v>2011</v>
      </c>
      <c r="C38">
        <f t="shared" ref="C38:AH38" si="36">C$25*C13</f>
        <v>1763368.5511645097</v>
      </c>
      <c r="D38">
        <f t="shared" si="36"/>
        <v>1675167.1212419774</v>
      </c>
      <c r="E38">
        <f t="shared" si="36"/>
        <v>1565812.0906392289</v>
      </c>
      <c r="F38">
        <f t="shared" si="36"/>
        <v>1468027.9385178697</v>
      </c>
      <c r="G38">
        <f t="shared" si="36"/>
        <v>1286569.2022271312</v>
      </c>
      <c r="H38">
        <f t="shared" si="36"/>
        <v>1099475.0087294362</v>
      </c>
      <c r="I38">
        <f t="shared" si="36"/>
        <v>936553.4772411912</v>
      </c>
      <c r="J38">
        <f t="shared" si="36"/>
        <v>814867.05195752252</v>
      </c>
      <c r="K38">
        <f t="shared" si="36"/>
        <v>697085.12601642439</v>
      </c>
      <c r="L38">
        <f t="shared" si="36"/>
        <v>601500.35929112497</v>
      </c>
      <c r="M38">
        <f t="shared" si="36"/>
        <v>551414.62349820393</v>
      </c>
      <c r="N38">
        <f t="shared" si="36"/>
        <v>509887.81801763619</v>
      </c>
      <c r="O38">
        <f t="shared" si="36"/>
        <v>478420.22662595799</v>
      </c>
      <c r="P38">
        <f t="shared" si="36"/>
        <v>447725.70651810156</v>
      </c>
      <c r="Q38">
        <f t="shared" si="36"/>
        <v>433124.03556232108</v>
      </c>
      <c r="R38">
        <f t="shared" si="36"/>
        <v>419617.08564273088</v>
      </c>
      <c r="S38">
        <f t="shared" si="36"/>
        <v>417211.06163984386</v>
      </c>
      <c r="T38">
        <f t="shared" si="36"/>
        <v>437777.36716062087</v>
      </c>
      <c r="U38">
        <f t="shared" si="36"/>
        <v>452831.30997460242</v>
      </c>
      <c r="V38">
        <f t="shared" si="36"/>
        <v>488503.0644432687</v>
      </c>
      <c r="W38">
        <f t="shared" si="36"/>
        <v>522687.35758987372</v>
      </c>
      <c r="X38">
        <f t="shared" si="36"/>
        <v>536427.76132985402</v>
      </c>
      <c r="Y38">
        <f t="shared" si="36"/>
        <v>557014.00893085846</v>
      </c>
      <c r="Z38">
        <f t="shared" si="36"/>
        <v>590492.83195194381</v>
      </c>
      <c r="AA38">
        <f t="shared" si="36"/>
        <v>601230.7691761388</v>
      </c>
      <c r="AB38">
        <f t="shared" si="36"/>
        <v>634802.75985654315</v>
      </c>
      <c r="AC38">
        <f t="shared" si="36"/>
        <v>662738.04242703936</v>
      </c>
      <c r="AD38">
        <f t="shared" si="36"/>
        <v>671389.42771809862</v>
      </c>
      <c r="AE38">
        <f t="shared" si="36"/>
        <v>699224.09359729744</v>
      </c>
      <c r="AF38">
        <f t="shared" si="36"/>
        <v>719873.48560281657</v>
      </c>
      <c r="AG38">
        <f t="shared" si="36"/>
        <v>741904</v>
      </c>
      <c r="AH38">
        <f t="shared" si="36"/>
        <v>758149.0703863888</v>
      </c>
      <c r="AI38">
        <f t="shared" ref="AI38:BN38" si="37">AI$25*AI13</f>
        <v>739006.40842630959</v>
      </c>
      <c r="AJ38">
        <f t="shared" si="37"/>
        <v>696898.31981239957</v>
      </c>
      <c r="AK38">
        <f t="shared" si="37"/>
        <v>690863.98881227709</v>
      </c>
      <c r="AL38">
        <f t="shared" si="37"/>
        <v>708435.24142691796</v>
      </c>
      <c r="AM38">
        <f t="shared" si="37"/>
        <v>724994.71109398559</v>
      </c>
      <c r="AN38">
        <f t="shared" si="37"/>
        <v>736262.39094423898</v>
      </c>
      <c r="AO38">
        <f t="shared" si="37"/>
        <v>763295.54186711728</v>
      </c>
      <c r="AP38">
        <f t="shared" si="37"/>
        <v>785921.75164335372</v>
      </c>
      <c r="AQ38">
        <f t="shared" si="37"/>
        <v>792135.68777813821</v>
      </c>
      <c r="AR38">
        <f t="shared" si="37"/>
        <v>749993.74907624209</v>
      </c>
      <c r="AS38">
        <f t="shared" si="37"/>
        <v>741099.62863735249</v>
      </c>
      <c r="AT38">
        <f t="shared" si="37"/>
        <v>709968.12766846002</v>
      </c>
      <c r="AU38">
        <f t="shared" si="37"/>
        <v>686979.26967427635</v>
      </c>
      <c r="AV38">
        <f t="shared" si="37"/>
        <v>788524.50393579213</v>
      </c>
      <c r="AW38">
        <f t="shared" si="37"/>
        <v>900857.46397606365</v>
      </c>
      <c r="AX38">
        <f t="shared" si="37"/>
        <v>1007340.1327259232</v>
      </c>
      <c r="AY38">
        <f t="shared" si="37"/>
        <v>1107164.8026204838</v>
      </c>
      <c r="AZ38">
        <f t="shared" si="37"/>
        <v>1208960.9139772016</v>
      </c>
      <c r="BA38">
        <f t="shared" si="37"/>
        <v>1170984.3727905974</v>
      </c>
      <c r="BB38">
        <f t="shared" si="37"/>
        <v>1128005.262289135</v>
      </c>
      <c r="BC38">
        <f t="shared" si="37"/>
        <v>1106710.6622077955</v>
      </c>
      <c r="BD38">
        <f t="shared" si="37"/>
        <v>1086305.807335404</v>
      </c>
      <c r="BE38">
        <f t="shared" si="37"/>
        <v>1049847.0833962238</v>
      </c>
      <c r="BF38">
        <f t="shared" si="37"/>
        <v>1031878.2533233135</v>
      </c>
      <c r="BG38">
        <f t="shared" si="37"/>
        <v>1012306.5643916173</v>
      </c>
      <c r="BH38">
        <f t="shared" si="37"/>
        <v>1033780.8722364997</v>
      </c>
      <c r="BI38">
        <f t="shared" si="37"/>
        <v>1038705.9378558178</v>
      </c>
      <c r="BJ38">
        <f t="shared" si="37"/>
        <v>1027770.8511960487</v>
      </c>
      <c r="BK38">
        <f t="shared" si="37"/>
        <v>1039461.9573644227</v>
      </c>
      <c r="BL38">
        <f t="shared" si="37"/>
        <v>1066262.6376415682</v>
      </c>
      <c r="BM38">
        <f t="shared" si="37"/>
        <v>1099016.6177112008</v>
      </c>
      <c r="BN38">
        <f t="shared" si="37"/>
        <v>1167687.9021618469</v>
      </c>
      <c r="BO38">
        <f t="shared" ref="BO38:CO38" si="38">BO$25*BO13</f>
        <v>1275117.8492324515</v>
      </c>
      <c r="BP38">
        <f t="shared" si="38"/>
        <v>1131346.2812455487</v>
      </c>
      <c r="BQ38">
        <f t="shared" si="38"/>
        <v>1242444.692263698</v>
      </c>
      <c r="BR38">
        <f t="shared" si="38"/>
        <v>1381887.1104254301</v>
      </c>
      <c r="BS38">
        <f t="shared" si="38"/>
        <v>1419653.9638367847</v>
      </c>
      <c r="BT38">
        <f t="shared" si="38"/>
        <v>1388244.8261568763</v>
      </c>
      <c r="BU38">
        <f t="shared" si="38"/>
        <v>1256473.0120466889</v>
      </c>
      <c r="BV38">
        <f t="shared" si="38"/>
        <v>1314755.6651139464</v>
      </c>
      <c r="BW38">
        <f t="shared" si="38"/>
        <v>1311082.6428671815</v>
      </c>
      <c r="BX38">
        <f t="shared" si="38"/>
        <v>1282779.1737354223</v>
      </c>
      <c r="BY38">
        <f t="shared" si="38"/>
        <v>1230372.1572671228</v>
      </c>
      <c r="BZ38">
        <f t="shared" si="38"/>
        <v>1284834.8309113227</v>
      </c>
      <c r="CA38">
        <f t="shared" si="38"/>
        <v>1334414.498170783</v>
      </c>
      <c r="CB38">
        <f t="shared" si="38"/>
        <v>1345191.6078201483</v>
      </c>
      <c r="CC38">
        <f t="shared" si="38"/>
        <v>1386568.5544075908</v>
      </c>
      <c r="CD38">
        <f t="shared" si="38"/>
        <v>1457889.1736666251</v>
      </c>
      <c r="CE38">
        <f t="shared" si="38"/>
        <v>1411318.0312394067</v>
      </c>
      <c r="CF38">
        <f t="shared" si="38"/>
        <v>1336098.9171403062</v>
      </c>
      <c r="CG38">
        <f t="shared" si="38"/>
        <v>1229828.6238860642</v>
      </c>
      <c r="CH38">
        <f t="shared" si="38"/>
        <v>1129920.3204709678</v>
      </c>
      <c r="CI38">
        <f t="shared" si="38"/>
        <v>1049306.5881169287</v>
      </c>
      <c r="CJ38">
        <f t="shared" si="38"/>
        <v>1073366.1550441524</v>
      </c>
      <c r="CK38">
        <f t="shared" si="38"/>
        <v>1059225.6769529094</v>
      </c>
      <c r="CL38">
        <f t="shared" si="38"/>
        <v>1034637.648763619</v>
      </c>
      <c r="CM38">
        <f t="shared" si="38"/>
        <v>995720.22159541049</v>
      </c>
      <c r="CN38">
        <f t="shared" si="38"/>
        <v>959745.80638674204</v>
      </c>
      <c r="CO38">
        <f t="shared" si="38"/>
        <v>3252696.0817716545</v>
      </c>
      <c r="CQ38">
        <f t="shared" si="8"/>
        <v>89413219.361210391</v>
      </c>
    </row>
    <row r="39" spans="2:95" ht="18">
      <c r="B39" s="257">
        <v>2012</v>
      </c>
      <c r="C39">
        <f t="shared" ref="C39:AH39" si="39">C$25*C14</f>
        <v>1808391.3125591772</v>
      </c>
      <c r="D39">
        <f t="shared" si="39"/>
        <v>1710598.1644985429</v>
      </c>
      <c r="E39">
        <f t="shared" si="39"/>
        <v>1595371.0694930539</v>
      </c>
      <c r="F39">
        <f t="shared" si="39"/>
        <v>1459826.9591217125</v>
      </c>
      <c r="G39">
        <f t="shared" si="39"/>
        <v>1334880.207030915</v>
      </c>
      <c r="H39">
        <f t="shared" si="39"/>
        <v>1126356.5394692644</v>
      </c>
      <c r="I39">
        <f t="shared" si="39"/>
        <v>982957.74049260875</v>
      </c>
      <c r="J39">
        <f t="shared" si="39"/>
        <v>832967.36162506649</v>
      </c>
      <c r="K39">
        <f t="shared" si="39"/>
        <v>721668.63899206184</v>
      </c>
      <c r="L39">
        <f t="shared" si="39"/>
        <v>616353.22588397155</v>
      </c>
      <c r="M39">
        <f t="shared" si="39"/>
        <v>540239.625495616</v>
      </c>
      <c r="N39">
        <f t="shared" si="39"/>
        <v>498990.73119386577</v>
      </c>
      <c r="O39">
        <f t="shared" si="39"/>
        <v>466442.78747305635</v>
      </c>
      <c r="P39">
        <f t="shared" si="39"/>
        <v>444252.06643700972</v>
      </c>
      <c r="Q39">
        <f t="shared" si="39"/>
        <v>423276.14175746602</v>
      </c>
      <c r="R39">
        <f t="shared" si="39"/>
        <v>420646.18827138882</v>
      </c>
      <c r="S39">
        <f t="shared" si="39"/>
        <v>418956.07182113646</v>
      </c>
      <c r="T39">
        <f t="shared" si="39"/>
        <v>424500.22852666775</v>
      </c>
      <c r="U39">
        <f t="shared" si="39"/>
        <v>452292.65365688968</v>
      </c>
      <c r="V39">
        <f t="shared" si="39"/>
        <v>473663.59700779815</v>
      </c>
      <c r="W39">
        <f t="shared" si="39"/>
        <v>512003.12433516252</v>
      </c>
      <c r="X39">
        <f t="shared" si="39"/>
        <v>547654.31254166469</v>
      </c>
      <c r="Y39">
        <f t="shared" si="39"/>
        <v>565237.98768287804</v>
      </c>
      <c r="Z39">
        <f t="shared" si="39"/>
        <v>586293.99820943014</v>
      </c>
      <c r="AA39">
        <f t="shared" si="39"/>
        <v>617742.95073626516</v>
      </c>
      <c r="AB39">
        <f t="shared" si="39"/>
        <v>629082.83714481082</v>
      </c>
      <c r="AC39">
        <f t="shared" si="39"/>
        <v>660894.14769201633</v>
      </c>
      <c r="AD39">
        <f t="shared" si="39"/>
        <v>687250.14594105189</v>
      </c>
      <c r="AE39">
        <f t="shared" si="39"/>
        <v>693355.47571751347</v>
      </c>
      <c r="AF39">
        <f t="shared" si="39"/>
        <v>719908.76304698712</v>
      </c>
      <c r="AG39">
        <f t="shared" si="39"/>
        <v>735633</v>
      </c>
      <c r="AH39">
        <f t="shared" si="39"/>
        <v>755962.34358355531</v>
      </c>
      <c r="AI39">
        <f t="shared" ref="AI39:BN39" si="40">AI$25*AI14</f>
        <v>769354.28102431248</v>
      </c>
      <c r="AJ39">
        <f t="shared" si="40"/>
        <v>746355.87565053115</v>
      </c>
      <c r="AK39">
        <f t="shared" si="40"/>
        <v>701014.27351291303</v>
      </c>
      <c r="AL39">
        <f t="shared" si="40"/>
        <v>696035.60998687171</v>
      </c>
      <c r="AM39">
        <f t="shared" si="40"/>
        <v>710499.19624595449</v>
      </c>
      <c r="AN39">
        <f t="shared" si="40"/>
        <v>723278.36744866252</v>
      </c>
      <c r="AO39">
        <f t="shared" si="40"/>
        <v>731019.46412564314</v>
      </c>
      <c r="AP39">
        <f t="shared" si="40"/>
        <v>753779.18127790035</v>
      </c>
      <c r="AQ39">
        <f t="shared" si="40"/>
        <v>766403.61741460662</v>
      </c>
      <c r="AR39">
        <f t="shared" si="40"/>
        <v>767763.70256439853</v>
      </c>
      <c r="AS39">
        <f t="shared" si="40"/>
        <v>723083.51229864405</v>
      </c>
      <c r="AT39">
        <f t="shared" si="40"/>
        <v>709749.76027574041</v>
      </c>
      <c r="AU39">
        <f t="shared" si="40"/>
        <v>676243.78919934283</v>
      </c>
      <c r="AV39">
        <f t="shared" si="40"/>
        <v>787007.85127403599</v>
      </c>
      <c r="AW39">
        <f t="shared" si="40"/>
        <v>895146.66362117464</v>
      </c>
      <c r="AX39">
        <f t="shared" si="40"/>
        <v>1015143.665824106</v>
      </c>
      <c r="AY39">
        <f t="shared" si="40"/>
        <v>1128472.5807234212</v>
      </c>
      <c r="AZ39">
        <f t="shared" si="40"/>
        <v>1233301.4181817714</v>
      </c>
      <c r="BA39">
        <f t="shared" si="40"/>
        <v>1210176.6985351813</v>
      </c>
      <c r="BB39">
        <f t="shared" si="40"/>
        <v>1171954.5673539059</v>
      </c>
      <c r="BC39">
        <f t="shared" si="40"/>
        <v>1128689.8085504724</v>
      </c>
      <c r="BD39">
        <f t="shared" si="40"/>
        <v>1107582.2186240389</v>
      </c>
      <c r="BE39">
        <f t="shared" si="40"/>
        <v>1086835.5851208684</v>
      </c>
      <c r="BF39">
        <f t="shared" si="40"/>
        <v>1064581.1543782267</v>
      </c>
      <c r="BG39">
        <f t="shared" si="40"/>
        <v>1045347.6410170036</v>
      </c>
      <c r="BH39">
        <f t="shared" si="40"/>
        <v>1024857.5483106006</v>
      </c>
      <c r="BI39">
        <f t="shared" si="40"/>
        <v>1045211.693853976</v>
      </c>
      <c r="BJ39">
        <f t="shared" si="40"/>
        <v>1049560.5583708282</v>
      </c>
      <c r="BK39">
        <f t="shared" si="40"/>
        <v>1024590.0436681288</v>
      </c>
      <c r="BL39">
        <f t="shared" si="40"/>
        <v>1035944.6840662872</v>
      </c>
      <c r="BM39">
        <f t="shared" si="40"/>
        <v>1062495.9093041464</v>
      </c>
      <c r="BN39">
        <f t="shared" si="40"/>
        <v>1094883.3663021228</v>
      </c>
      <c r="BO39">
        <f t="shared" ref="BO39:CO39" si="41">BO$25*BO14</f>
        <v>1162152.5340423498</v>
      </c>
      <c r="BP39">
        <f t="shared" si="41"/>
        <v>1450308.645340001</v>
      </c>
      <c r="BQ39">
        <f t="shared" si="41"/>
        <v>1264384.9436219493</v>
      </c>
      <c r="BR39">
        <f t="shared" si="41"/>
        <v>1369060.0612841751</v>
      </c>
      <c r="BS39">
        <f t="shared" si="41"/>
        <v>1504877.9301109845</v>
      </c>
      <c r="BT39">
        <f t="shared" si="41"/>
        <v>1530043.1383880277</v>
      </c>
      <c r="BU39">
        <f t="shared" si="41"/>
        <v>1369965.8176745342</v>
      </c>
      <c r="BV39">
        <f t="shared" si="41"/>
        <v>1237462.6073033744</v>
      </c>
      <c r="BW39">
        <f t="shared" si="41"/>
        <v>1293594.7987618526</v>
      </c>
      <c r="BX39">
        <f t="shared" si="41"/>
        <v>1289092.9103524734</v>
      </c>
      <c r="BY39">
        <f t="shared" si="41"/>
        <v>1261459.7576614469</v>
      </c>
      <c r="BZ39">
        <f t="shared" si="41"/>
        <v>1313404.2016776823</v>
      </c>
      <c r="CA39">
        <f t="shared" si="41"/>
        <v>1359625.1412864332</v>
      </c>
      <c r="CB39">
        <f t="shared" si="41"/>
        <v>1400130.0357346896</v>
      </c>
      <c r="CC39">
        <f t="shared" si="41"/>
        <v>1399484.3547383712</v>
      </c>
      <c r="CD39">
        <f t="shared" si="41"/>
        <v>1431606.186339481</v>
      </c>
      <c r="CE39">
        <f t="shared" si="41"/>
        <v>1408637.6825823288</v>
      </c>
      <c r="CF39">
        <f t="shared" si="41"/>
        <v>1356031.1928555747</v>
      </c>
      <c r="CG39">
        <f t="shared" si="41"/>
        <v>1274994.9200812273</v>
      </c>
      <c r="CH39">
        <f t="shared" si="41"/>
        <v>1164316.7372284529</v>
      </c>
      <c r="CI39">
        <f t="shared" si="41"/>
        <v>1058020.4462219772</v>
      </c>
      <c r="CJ39">
        <f t="shared" si="41"/>
        <v>1080581.6695724884</v>
      </c>
      <c r="CK39">
        <f t="shared" si="41"/>
        <v>1079173.4182521061</v>
      </c>
      <c r="CL39">
        <f t="shared" si="41"/>
        <v>1042948.4766088934</v>
      </c>
      <c r="CM39">
        <f t="shared" si="41"/>
        <v>999047.17565330933</v>
      </c>
      <c r="CN39">
        <f t="shared" si="41"/>
        <v>938409.7577974929</v>
      </c>
      <c r="CO39">
        <f t="shared" si="41"/>
        <v>3438456.1144136256</v>
      </c>
      <c r="CQ39">
        <f t="shared" si="8"/>
        <v>90627285.341129735</v>
      </c>
    </row>
    <row r="40" spans="2:95" ht="18">
      <c r="B40" s="257">
        <v>2013</v>
      </c>
      <c r="C40">
        <f t="shared" ref="C40:AH40" si="42">C$25*C15</f>
        <v>1756692.646005868</v>
      </c>
      <c r="D40">
        <f t="shared" si="42"/>
        <v>1753749.1139192116</v>
      </c>
      <c r="E40">
        <f t="shared" si="42"/>
        <v>1629415.3483794404</v>
      </c>
      <c r="F40">
        <f t="shared" si="42"/>
        <v>1486949.3960605005</v>
      </c>
      <c r="G40">
        <f t="shared" si="42"/>
        <v>1328270.8774349971</v>
      </c>
      <c r="H40">
        <f t="shared" si="42"/>
        <v>1168822.7189156024</v>
      </c>
      <c r="I40">
        <f t="shared" si="42"/>
        <v>1007461.6672866732</v>
      </c>
      <c r="J40">
        <f t="shared" si="42"/>
        <v>874018.90757940151</v>
      </c>
      <c r="K40">
        <f t="shared" si="42"/>
        <v>737750.65931592975</v>
      </c>
      <c r="L40">
        <f t="shared" si="42"/>
        <v>637911.41523801116</v>
      </c>
      <c r="M40">
        <f t="shared" si="42"/>
        <v>553245.13336646778</v>
      </c>
      <c r="N40">
        <f t="shared" si="42"/>
        <v>488826.52921271889</v>
      </c>
      <c r="O40">
        <f t="shared" si="42"/>
        <v>456605.86510697537</v>
      </c>
      <c r="P40">
        <f t="shared" si="42"/>
        <v>432996.75635982235</v>
      </c>
      <c r="Q40">
        <f t="shared" si="42"/>
        <v>419984.97483924293</v>
      </c>
      <c r="R40">
        <f t="shared" si="42"/>
        <v>411117.04987138388</v>
      </c>
      <c r="S40">
        <f t="shared" si="42"/>
        <v>419959.51749745186</v>
      </c>
      <c r="T40">
        <f t="shared" si="42"/>
        <v>426194.24675862351</v>
      </c>
      <c r="U40">
        <f t="shared" si="42"/>
        <v>438347.58991235029</v>
      </c>
      <c r="V40">
        <f t="shared" si="42"/>
        <v>473399.79358330753</v>
      </c>
      <c r="W40">
        <f t="shared" si="42"/>
        <v>497377.7413620298</v>
      </c>
      <c r="X40">
        <f t="shared" si="42"/>
        <v>535486.20385539625</v>
      </c>
      <c r="Y40">
        <f t="shared" si="42"/>
        <v>575869.45983567368</v>
      </c>
      <c r="Z40">
        <f t="shared" si="42"/>
        <v>594643.15230632911</v>
      </c>
      <c r="AA40">
        <f t="shared" si="42"/>
        <v>613181.27833124495</v>
      </c>
      <c r="AB40">
        <f t="shared" si="42"/>
        <v>645999.20431355096</v>
      </c>
      <c r="AC40">
        <f t="shared" si="42"/>
        <v>655767.22086780611</v>
      </c>
      <c r="AD40">
        <f t="shared" si="42"/>
        <v>686287.6809169309</v>
      </c>
      <c r="AE40">
        <f t="shared" si="42"/>
        <v>710506.73828920443</v>
      </c>
      <c r="AF40">
        <f t="shared" si="42"/>
        <v>715080.65284064168</v>
      </c>
      <c r="AG40">
        <f t="shared" si="42"/>
        <v>737246</v>
      </c>
      <c r="AH40">
        <f t="shared" si="42"/>
        <v>750759.58223274664</v>
      </c>
      <c r="AI40">
        <f t="shared" ref="AI40:BN40" si="43">AI$25*AI15</f>
        <v>768428.48719624802</v>
      </c>
      <c r="AJ40">
        <f t="shared" si="43"/>
        <v>778303.27668839449</v>
      </c>
      <c r="AK40">
        <f t="shared" si="43"/>
        <v>752014.51967580023</v>
      </c>
      <c r="AL40">
        <f t="shared" si="43"/>
        <v>707369.90457247384</v>
      </c>
      <c r="AM40">
        <f t="shared" si="43"/>
        <v>698899.17032114975</v>
      </c>
      <c r="AN40">
        <f t="shared" si="43"/>
        <v>709563.98599666741</v>
      </c>
      <c r="AO40">
        <f t="shared" si="43"/>
        <v>719147.03962034045</v>
      </c>
      <c r="AP40">
        <f t="shared" si="43"/>
        <v>722726.82553037442</v>
      </c>
      <c r="AQ40">
        <f t="shared" si="43"/>
        <v>736204.80964910181</v>
      </c>
      <c r="AR40">
        <f t="shared" si="43"/>
        <v>743906.83641711471</v>
      </c>
      <c r="AS40">
        <f t="shared" si="43"/>
        <v>740848.12132872688</v>
      </c>
      <c r="AT40">
        <f t="shared" si="43"/>
        <v>693248.8602233727</v>
      </c>
      <c r="AU40">
        <f t="shared" si="43"/>
        <v>676617.55328989204</v>
      </c>
      <c r="AV40">
        <f t="shared" si="43"/>
        <v>775165.37169577763</v>
      </c>
      <c r="AW40">
        <f t="shared" si="43"/>
        <v>893789.6529979707</v>
      </c>
      <c r="AX40">
        <f t="shared" si="43"/>
        <v>1009579.0508278324</v>
      </c>
      <c r="AY40">
        <f t="shared" si="43"/>
        <v>1137613.9338393777</v>
      </c>
      <c r="AZ40">
        <f t="shared" si="43"/>
        <v>1257686.8488278529</v>
      </c>
      <c r="BA40">
        <f t="shared" si="43"/>
        <v>1234951.6806548743</v>
      </c>
      <c r="BB40">
        <f t="shared" si="43"/>
        <v>1211529.763317148</v>
      </c>
      <c r="BC40">
        <f t="shared" si="43"/>
        <v>1173054.5527006469</v>
      </c>
      <c r="BD40">
        <f t="shared" si="43"/>
        <v>1129623.8983141207</v>
      </c>
      <c r="BE40">
        <f t="shared" si="43"/>
        <v>1108213.8565910407</v>
      </c>
      <c r="BF40">
        <f t="shared" si="43"/>
        <v>1102049.4632124747</v>
      </c>
      <c r="BG40">
        <f t="shared" si="43"/>
        <v>1078599.4602986902</v>
      </c>
      <c r="BH40">
        <f t="shared" si="43"/>
        <v>1058326.4394711172</v>
      </c>
      <c r="BI40">
        <f t="shared" si="43"/>
        <v>1036304.5894828361</v>
      </c>
      <c r="BJ40">
        <f t="shared" si="43"/>
        <v>1056317.8794787724</v>
      </c>
      <c r="BK40">
        <f t="shared" si="43"/>
        <v>1046693.8734018953</v>
      </c>
      <c r="BL40">
        <f t="shared" si="43"/>
        <v>1021310.7011918135</v>
      </c>
      <c r="BM40">
        <f t="shared" si="43"/>
        <v>1032150.0532961537</v>
      </c>
      <c r="BN40">
        <f t="shared" si="43"/>
        <v>1058447.0708660784</v>
      </c>
      <c r="BO40">
        <f t="shared" ref="BO40:CO40" si="44">BO$25*BO15</f>
        <v>1090253.9175220181</v>
      </c>
      <c r="BP40">
        <f t="shared" si="44"/>
        <v>1322234.1590067409</v>
      </c>
      <c r="BQ40">
        <f t="shared" si="44"/>
        <v>1621384.1099472819</v>
      </c>
      <c r="BR40">
        <f t="shared" si="44"/>
        <v>1394009.1772740155</v>
      </c>
      <c r="BS40">
        <f t="shared" si="44"/>
        <v>1490919.570864989</v>
      </c>
      <c r="BT40">
        <f t="shared" si="44"/>
        <v>1622737.3762971044</v>
      </c>
      <c r="BU40">
        <f t="shared" si="44"/>
        <v>1510306.417384608</v>
      </c>
      <c r="BV40">
        <f t="shared" si="44"/>
        <v>1350943.3250622987</v>
      </c>
      <c r="BW40">
        <f t="shared" si="44"/>
        <v>1217968.0390254625</v>
      </c>
      <c r="BX40">
        <f t="shared" si="44"/>
        <v>1271620.5977871642</v>
      </c>
      <c r="BY40">
        <f t="shared" si="44"/>
        <v>1267278.1908682093</v>
      </c>
      <c r="BZ40">
        <f t="shared" si="44"/>
        <v>1346812.5486136412</v>
      </c>
      <c r="CA40">
        <f t="shared" si="44"/>
        <v>1389089.0906291925</v>
      </c>
      <c r="CB40">
        <f t="shared" si="44"/>
        <v>1426334.1395557614</v>
      </c>
      <c r="CC40">
        <f t="shared" si="44"/>
        <v>1456604.9984212136</v>
      </c>
      <c r="CD40">
        <f t="shared" si="44"/>
        <v>1443510.9446079899</v>
      </c>
      <c r="CE40">
        <f t="shared" si="44"/>
        <v>1382959.7516753753</v>
      </c>
      <c r="CF40">
        <f t="shared" si="44"/>
        <v>1354170.0756746135</v>
      </c>
      <c r="CG40">
        <f t="shared" si="44"/>
        <v>1292552.5500072988</v>
      </c>
      <c r="CH40">
        <f t="shared" si="44"/>
        <v>1206854.2302889337</v>
      </c>
      <c r="CI40">
        <f t="shared" si="44"/>
        <v>1089704.4916079317</v>
      </c>
      <c r="CJ40">
        <f t="shared" si="44"/>
        <v>1085790.4038660559</v>
      </c>
      <c r="CK40">
        <f t="shared" si="44"/>
        <v>1085030.6497693218</v>
      </c>
      <c r="CL40">
        <f t="shared" si="44"/>
        <v>1060556.9591922166</v>
      </c>
      <c r="CM40">
        <f t="shared" si="44"/>
        <v>1003473.4077478441</v>
      </c>
      <c r="CN40">
        <f t="shared" si="44"/>
        <v>937680.52129664749</v>
      </c>
      <c r="CO40">
        <f t="shared" si="44"/>
        <v>3535248.8098351317</v>
      </c>
      <c r="CQ40">
        <f t="shared" si="8"/>
        <v>91744641.106600732</v>
      </c>
    </row>
    <row r="41" spans="2:95" ht="18">
      <c r="B41" s="257">
        <v>2014</v>
      </c>
      <c r="C41">
        <f t="shared" ref="C41:AH41" si="45">C$25*C16</f>
        <v>1724629.6055940015</v>
      </c>
      <c r="D41">
        <f t="shared" si="45"/>
        <v>1707289.6332853558</v>
      </c>
      <c r="E41">
        <f t="shared" si="45"/>
        <v>1672581.6298636938</v>
      </c>
      <c r="F41">
        <f t="shared" si="45"/>
        <v>1522020.64324289</v>
      </c>
      <c r="G41">
        <f t="shared" si="45"/>
        <v>1355081.2231269935</v>
      </c>
      <c r="H41">
        <f t="shared" si="45"/>
        <v>1165228.2564504556</v>
      </c>
      <c r="I41">
        <f t="shared" si="45"/>
        <v>1046432.3798901647</v>
      </c>
      <c r="J41">
        <f t="shared" si="45"/>
        <v>896813.35450103984</v>
      </c>
      <c r="K41">
        <f t="shared" si="45"/>
        <v>774616.91149825347</v>
      </c>
      <c r="L41">
        <f t="shared" si="45"/>
        <v>652547.3667028721</v>
      </c>
      <c r="M41">
        <f t="shared" si="45"/>
        <v>572927.84200678195</v>
      </c>
      <c r="N41">
        <f t="shared" si="45"/>
        <v>500798.68404605205</v>
      </c>
      <c r="O41">
        <f t="shared" si="45"/>
        <v>447796.57679568237</v>
      </c>
      <c r="P41">
        <f t="shared" si="45"/>
        <v>424511.76377411198</v>
      </c>
      <c r="Q41">
        <f t="shared" si="45"/>
        <v>409872.92513104156</v>
      </c>
      <c r="R41">
        <f t="shared" si="45"/>
        <v>408759.6944515892</v>
      </c>
      <c r="S41">
        <f t="shared" si="45"/>
        <v>411539.77855064289</v>
      </c>
      <c r="T41">
        <f t="shared" si="45"/>
        <v>428767.76302654232</v>
      </c>
      <c r="U41">
        <f t="shared" si="45"/>
        <v>442084.4759812883</v>
      </c>
      <c r="V41">
        <f t="shared" si="45"/>
        <v>461744.86032517586</v>
      </c>
      <c r="W41">
        <f t="shared" si="45"/>
        <v>499969.1126488843</v>
      </c>
      <c r="X41">
        <f t="shared" si="45"/>
        <v>523276.76583066402</v>
      </c>
      <c r="Y41">
        <f t="shared" si="45"/>
        <v>565559.87009612529</v>
      </c>
      <c r="Z41">
        <f t="shared" si="45"/>
        <v>607664.95423646248</v>
      </c>
      <c r="AA41">
        <f t="shared" si="45"/>
        <v>623639.44021351112</v>
      </c>
      <c r="AB41">
        <f t="shared" si="45"/>
        <v>642996.6795344745</v>
      </c>
      <c r="AC41">
        <f t="shared" si="45"/>
        <v>674816.90213270939</v>
      </c>
      <c r="AD41">
        <f t="shared" si="45"/>
        <v>682157.52724543808</v>
      </c>
      <c r="AE41">
        <f t="shared" si="45"/>
        <v>710935.54372907802</v>
      </c>
      <c r="AF41">
        <f t="shared" si="45"/>
        <v>734018.76078621345</v>
      </c>
      <c r="AG41">
        <f t="shared" si="45"/>
        <v>733085</v>
      </c>
      <c r="AH41">
        <f t="shared" si="45"/>
        <v>753117.25836218602</v>
      </c>
      <c r="AI41">
        <f t="shared" ref="AI41:BN41" si="46">AI$25*AI16</f>
        <v>763741.72044793039</v>
      </c>
      <c r="AJ41">
        <f t="shared" si="46"/>
        <v>778446.17841041973</v>
      </c>
      <c r="AK41">
        <f t="shared" si="46"/>
        <v>785014.49368390848</v>
      </c>
      <c r="AL41">
        <f t="shared" si="46"/>
        <v>759525.87417309859</v>
      </c>
      <c r="AM41">
        <f t="shared" si="46"/>
        <v>710975.40000425314</v>
      </c>
      <c r="AN41">
        <f t="shared" si="46"/>
        <v>698783.77517191239</v>
      </c>
      <c r="AO41">
        <f t="shared" si="46"/>
        <v>706003.73730310844</v>
      </c>
      <c r="AP41">
        <f t="shared" si="46"/>
        <v>711089.87886769779</v>
      </c>
      <c r="AQ41">
        <f t="shared" si="46"/>
        <v>705963.26772166474</v>
      </c>
      <c r="AR41">
        <f t="shared" si="46"/>
        <v>714480.50443636579</v>
      </c>
      <c r="AS41">
        <f t="shared" si="46"/>
        <v>717919.99103822419</v>
      </c>
      <c r="AT41">
        <f t="shared" si="46"/>
        <v>710510.84830141161</v>
      </c>
      <c r="AU41">
        <f t="shared" si="46"/>
        <v>661114.62035928294</v>
      </c>
      <c r="AV41">
        <f t="shared" si="46"/>
        <v>776010.62080766552</v>
      </c>
      <c r="AW41">
        <f t="shared" si="46"/>
        <v>881037.15986108384</v>
      </c>
      <c r="AX41">
        <f t="shared" si="46"/>
        <v>1008665.2851686102</v>
      </c>
      <c r="AY41">
        <f t="shared" si="46"/>
        <v>1132309.9936624723</v>
      </c>
      <c r="AZ41">
        <f t="shared" si="46"/>
        <v>1269520.1526188024</v>
      </c>
      <c r="BA41">
        <f t="shared" si="46"/>
        <v>1260672.8009499507</v>
      </c>
      <c r="BB41">
        <f t="shared" si="46"/>
        <v>1237440.3070097098</v>
      </c>
      <c r="BC41">
        <f t="shared" si="46"/>
        <v>1214161.2078180751</v>
      </c>
      <c r="BD41">
        <f t="shared" si="46"/>
        <v>1175372.650712295</v>
      </c>
      <c r="BE41">
        <f t="shared" si="46"/>
        <v>1131356.1248377494</v>
      </c>
      <c r="BF41">
        <f t="shared" si="46"/>
        <v>1124218.3922346414</v>
      </c>
      <c r="BG41">
        <f t="shared" si="46"/>
        <v>1117556.5047717383</v>
      </c>
      <c r="BH41">
        <f t="shared" si="46"/>
        <v>1093094.3280458513</v>
      </c>
      <c r="BI41">
        <f t="shared" si="46"/>
        <v>1071257.3556485293</v>
      </c>
      <c r="BJ41">
        <f t="shared" si="46"/>
        <v>1048393.0631008691</v>
      </c>
      <c r="BK41">
        <f t="shared" si="46"/>
        <v>1054293.0628985818</v>
      </c>
      <c r="BL41">
        <f t="shared" si="46"/>
        <v>1044513.652513398</v>
      </c>
      <c r="BM41">
        <f t="shared" si="46"/>
        <v>1018748.8919894885</v>
      </c>
      <c r="BN41">
        <f t="shared" si="46"/>
        <v>1029726.0647265923</v>
      </c>
      <c r="BO41">
        <f t="shared" ref="BO41:CO41" si="47">BO$25*BO16</f>
        <v>1055005.3755047403</v>
      </c>
      <c r="BP41">
        <f t="shared" si="47"/>
        <v>1241261.9833985663</v>
      </c>
      <c r="BQ41">
        <f t="shared" si="47"/>
        <v>1479479.9258866708</v>
      </c>
      <c r="BR41">
        <f t="shared" si="47"/>
        <v>1788915.8942688233</v>
      </c>
      <c r="BS41">
        <f t="shared" si="47"/>
        <v>1519467.5145244375</v>
      </c>
      <c r="BT41">
        <f t="shared" si="47"/>
        <v>1608841.8219658767</v>
      </c>
      <c r="BU41">
        <f t="shared" si="47"/>
        <v>1602771.7331077899</v>
      </c>
      <c r="BV41">
        <f t="shared" si="47"/>
        <v>1490253.1299790274</v>
      </c>
      <c r="BW41">
        <f t="shared" si="47"/>
        <v>1330360.7296341553</v>
      </c>
      <c r="BX41">
        <f t="shared" si="47"/>
        <v>1198919.6385581738</v>
      </c>
      <c r="BY41">
        <f t="shared" si="47"/>
        <v>1251001.1477274625</v>
      </c>
      <c r="BZ41">
        <f t="shared" si="47"/>
        <v>1354684.5506775095</v>
      </c>
      <c r="CA41">
        <f t="shared" si="47"/>
        <v>1427783.6194435509</v>
      </c>
      <c r="CB41">
        <f t="shared" si="47"/>
        <v>1460239.0912058884</v>
      </c>
      <c r="CC41">
        <f t="shared" si="47"/>
        <v>1487784.1010242894</v>
      </c>
      <c r="CD41">
        <f t="shared" si="47"/>
        <v>1507486.0392999409</v>
      </c>
      <c r="CE41">
        <f t="shared" si="47"/>
        <v>1398922.611026336</v>
      </c>
      <c r="CF41">
        <f t="shared" si="47"/>
        <v>1333500.1032529019</v>
      </c>
      <c r="CG41">
        <f t="shared" si="47"/>
        <v>1297158.8687968983</v>
      </c>
      <c r="CH41">
        <f t="shared" si="47"/>
        <v>1228662.2677176483</v>
      </c>
      <c r="CI41">
        <f t="shared" si="47"/>
        <v>1137737.583946256</v>
      </c>
      <c r="CJ41">
        <f t="shared" si="47"/>
        <v>1127910.5530041149</v>
      </c>
      <c r="CK41">
        <f t="shared" si="47"/>
        <v>1099913.1751338195</v>
      </c>
      <c r="CL41">
        <f t="shared" si="47"/>
        <v>1074634.3469075158</v>
      </c>
      <c r="CM41">
        <f t="shared" si="47"/>
        <v>1028989.7621743981</v>
      </c>
      <c r="CN41">
        <f t="shared" si="47"/>
        <v>953786.45433682308</v>
      </c>
      <c r="CO41">
        <f t="shared" si="47"/>
        <v>3692164.1169115794</v>
      </c>
      <c r="CQ41">
        <f t="shared" si="8"/>
        <v>93066837.231770948</v>
      </c>
    </row>
    <row r="42" spans="2:95" ht="18">
      <c r="B42" s="257">
        <v>2015</v>
      </c>
      <c r="C42">
        <f t="shared" ref="C42:AH42" si="48">C$25*C17</f>
        <v>1721498.0841543586</v>
      </c>
      <c r="D42">
        <f t="shared" si="48"/>
        <v>1678005.5059184458</v>
      </c>
      <c r="E42">
        <f t="shared" si="48"/>
        <v>1629782.0263884314</v>
      </c>
      <c r="F42">
        <f t="shared" si="48"/>
        <v>1562543.1296709604</v>
      </c>
      <c r="G42">
        <f t="shared" si="48"/>
        <v>1387326.259231244</v>
      </c>
      <c r="H42">
        <f t="shared" si="48"/>
        <v>1188836.9072256263</v>
      </c>
      <c r="I42">
        <f t="shared" si="48"/>
        <v>1043474.6643154618</v>
      </c>
      <c r="J42">
        <f t="shared" si="48"/>
        <v>931733.75458501128</v>
      </c>
      <c r="K42">
        <f t="shared" si="48"/>
        <v>794941.8631710246</v>
      </c>
      <c r="L42">
        <f t="shared" si="48"/>
        <v>685186.21566796035</v>
      </c>
      <c r="M42">
        <f t="shared" si="48"/>
        <v>586286.02559088916</v>
      </c>
      <c r="N42">
        <f t="shared" si="48"/>
        <v>519054.41136283102</v>
      </c>
      <c r="O42">
        <f t="shared" si="48"/>
        <v>458893.62960903725</v>
      </c>
      <c r="P42">
        <f t="shared" si="48"/>
        <v>416556.76988118677</v>
      </c>
      <c r="Q42">
        <f t="shared" si="48"/>
        <v>402091.78172303131</v>
      </c>
      <c r="R42">
        <f t="shared" si="48"/>
        <v>399307.46175784245</v>
      </c>
      <c r="S42">
        <f t="shared" si="48"/>
        <v>409438.89519344771</v>
      </c>
      <c r="T42">
        <f t="shared" si="48"/>
        <v>420785.33383745054</v>
      </c>
      <c r="U42">
        <f t="shared" si="48"/>
        <v>445642.7088284567</v>
      </c>
      <c r="V42">
        <f t="shared" si="48"/>
        <v>466617.17662418948</v>
      </c>
      <c r="W42">
        <f t="shared" si="48"/>
        <v>489202.83261484711</v>
      </c>
      <c r="X42">
        <f t="shared" si="48"/>
        <v>527275.94290892757</v>
      </c>
      <c r="Y42">
        <f t="shared" si="48"/>
        <v>554989.96867128729</v>
      </c>
      <c r="Z42">
        <f t="shared" si="48"/>
        <v>599028.7625931371</v>
      </c>
      <c r="AA42">
        <f t="shared" si="48"/>
        <v>640053.58436155308</v>
      </c>
      <c r="AB42">
        <f t="shared" si="48"/>
        <v>655961.25815495709</v>
      </c>
      <c r="AC42">
        <f t="shared" si="48"/>
        <v>673890.45746096619</v>
      </c>
      <c r="AD42">
        <f t="shared" si="48"/>
        <v>704776.84749891073</v>
      </c>
      <c r="AE42">
        <f t="shared" si="48"/>
        <v>709146.78517922689</v>
      </c>
      <c r="AF42">
        <f t="shared" si="48"/>
        <v>737158.45331739483</v>
      </c>
      <c r="AG42">
        <f t="shared" si="48"/>
        <v>754383</v>
      </c>
      <c r="AH42">
        <f t="shared" si="48"/>
        <v>750719.89756764169</v>
      </c>
      <c r="AI42">
        <f t="shared" ref="AI42:BN42" si="49">AI$25*AI17</f>
        <v>768064.15584585024</v>
      </c>
      <c r="AJ42">
        <f t="shared" si="49"/>
        <v>774948.73699472309</v>
      </c>
      <c r="AK42">
        <f t="shared" si="49"/>
        <v>786108.47347890877</v>
      </c>
      <c r="AL42">
        <f t="shared" si="49"/>
        <v>794228.74566428596</v>
      </c>
      <c r="AM42">
        <f t="shared" si="49"/>
        <v>764569.5819091975</v>
      </c>
      <c r="AN42">
        <f t="shared" si="49"/>
        <v>712096.88437459606</v>
      </c>
      <c r="AO42">
        <f t="shared" si="49"/>
        <v>696146.78790037613</v>
      </c>
      <c r="AP42">
        <f t="shared" si="49"/>
        <v>699133.99752711877</v>
      </c>
      <c r="AQ42">
        <f t="shared" si="49"/>
        <v>695857.65590471751</v>
      </c>
      <c r="AR42">
        <f t="shared" si="49"/>
        <v>685872.80493362085</v>
      </c>
      <c r="AS42">
        <f t="shared" si="49"/>
        <v>690384.70413971611</v>
      </c>
      <c r="AT42">
        <f t="shared" si="49"/>
        <v>689420.57831753534</v>
      </c>
      <c r="AU42">
        <f t="shared" si="49"/>
        <v>678485.5024976714</v>
      </c>
      <c r="AV42">
        <f t="shared" si="49"/>
        <v>759111.63324446103</v>
      </c>
      <c r="AW42">
        <f t="shared" si="49"/>
        <v>882837.04424416181</v>
      </c>
      <c r="AX42">
        <f t="shared" si="49"/>
        <v>995288.16602280107</v>
      </c>
      <c r="AY42">
        <f t="shared" si="49"/>
        <v>1132404.8866013924</v>
      </c>
      <c r="AZ42">
        <f t="shared" si="49"/>
        <v>1264222.0415519935</v>
      </c>
      <c r="BA42">
        <f t="shared" si="49"/>
        <v>1272887.3160678691</v>
      </c>
      <c r="BB42">
        <f t="shared" si="49"/>
        <v>1264303.1475177337</v>
      </c>
      <c r="BC42">
        <f t="shared" si="49"/>
        <v>1240174.1015666025</v>
      </c>
      <c r="BD42">
        <f t="shared" si="49"/>
        <v>1216474.5503968003</v>
      </c>
      <c r="BE42">
        <f t="shared" si="49"/>
        <v>1177195.5863588986</v>
      </c>
      <c r="BF42">
        <f t="shared" si="49"/>
        <v>1148032.1662523192</v>
      </c>
      <c r="BG42">
        <f t="shared" si="49"/>
        <v>1139962.6639895863</v>
      </c>
      <c r="BH42">
        <f t="shared" si="49"/>
        <v>1132919.3952081271</v>
      </c>
      <c r="BI42">
        <f t="shared" si="49"/>
        <v>1107157.4267561382</v>
      </c>
      <c r="BJ42">
        <f t="shared" si="49"/>
        <v>1084185.6377862471</v>
      </c>
      <c r="BK42">
        <f t="shared" si="49"/>
        <v>1047314.8671735133</v>
      </c>
      <c r="BL42">
        <f t="shared" si="49"/>
        <v>1052801.4377798974</v>
      </c>
      <c r="BM42">
        <f t="shared" si="49"/>
        <v>1042514.6653311208</v>
      </c>
      <c r="BN42">
        <f t="shared" si="49"/>
        <v>1016519.8104849902</v>
      </c>
      <c r="BO42">
        <f t="shared" ref="BO42:CO42" si="50">BO$25*BO17</f>
        <v>1026484.1894191897</v>
      </c>
      <c r="BP42">
        <f t="shared" si="50"/>
        <v>1201364.6229262366</v>
      </c>
      <c r="BQ42">
        <f t="shared" si="50"/>
        <v>1388000.1548967629</v>
      </c>
      <c r="BR42">
        <f t="shared" si="50"/>
        <v>1631733.3533168321</v>
      </c>
      <c r="BS42">
        <f t="shared" si="50"/>
        <v>1950325.8189850838</v>
      </c>
      <c r="BT42">
        <f t="shared" si="50"/>
        <v>1640446.1728005216</v>
      </c>
      <c r="BU42">
        <f t="shared" si="50"/>
        <v>1589483.8098753351</v>
      </c>
      <c r="BV42">
        <f t="shared" si="50"/>
        <v>1581575.8362712641</v>
      </c>
      <c r="BW42">
        <f t="shared" si="50"/>
        <v>1468485.8029215408</v>
      </c>
      <c r="BX42">
        <f t="shared" si="50"/>
        <v>1309941.1649631455</v>
      </c>
      <c r="BY42">
        <f t="shared" si="50"/>
        <v>1178484.5291815579</v>
      </c>
      <c r="BZ42">
        <f t="shared" si="50"/>
        <v>1336268.0174475086</v>
      </c>
      <c r="CA42">
        <f t="shared" si="50"/>
        <v>1433997.6696760654</v>
      </c>
      <c r="CB42">
        <f t="shared" si="50"/>
        <v>1498135.2612857004</v>
      </c>
      <c r="CC42">
        <f t="shared" si="50"/>
        <v>1520599.1170502629</v>
      </c>
      <c r="CD42">
        <f t="shared" si="50"/>
        <v>1536690.9320070243</v>
      </c>
      <c r="CE42">
        <f t="shared" si="50"/>
        <v>1456435.6438656661</v>
      </c>
      <c r="CF42">
        <f t="shared" si="50"/>
        <v>1344883.7759582112</v>
      </c>
      <c r="CG42">
        <f t="shared" si="50"/>
        <v>1273332.7457878375</v>
      </c>
      <c r="CH42">
        <f t="shared" si="50"/>
        <v>1227288.1840585221</v>
      </c>
      <c r="CI42">
        <f t="shared" si="50"/>
        <v>1151089.2227769233</v>
      </c>
      <c r="CJ42">
        <f t="shared" si="50"/>
        <v>1169858.3747535928</v>
      </c>
      <c r="CK42">
        <f t="shared" si="50"/>
        <v>1132305.9984931797</v>
      </c>
      <c r="CL42">
        <f t="shared" si="50"/>
        <v>1079326.809479282</v>
      </c>
      <c r="CM42">
        <f t="shared" si="50"/>
        <v>1030809.7589237957</v>
      </c>
      <c r="CN42">
        <f t="shared" si="50"/>
        <v>965070.01696818275</v>
      </c>
      <c r="CO42">
        <f t="shared" si="50"/>
        <v>3727978.6700423229</v>
      </c>
      <c r="CQ42">
        <f t="shared" si="8"/>
        <v>94206611.203020245</v>
      </c>
    </row>
    <row r="43" spans="2:95" ht="18">
      <c r="B43" s="257">
        <v>2016</v>
      </c>
      <c r="C43">
        <f t="shared" ref="C43:AH43" si="51">C$25*C18</f>
        <v>1737404.9666910523</v>
      </c>
      <c r="D43">
        <f t="shared" si="51"/>
        <v>1675064.5892845015</v>
      </c>
      <c r="E43">
        <f t="shared" si="51"/>
        <v>1602664.4133751143</v>
      </c>
      <c r="F43">
        <f t="shared" si="51"/>
        <v>1523454.7182495976</v>
      </c>
      <c r="G43">
        <f t="shared" si="51"/>
        <v>1424440.4922218292</v>
      </c>
      <c r="H43">
        <f t="shared" si="51"/>
        <v>1216748.8851175602</v>
      </c>
      <c r="I43">
        <f t="shared" si="51"/>
        <v>1064694.464445892</v>
      </c>
      <c r="J43">
        <f t="shared" si="51"/>
        <v>929117.41726563673</v>
      </c>
      <c r="K43">
        <f t="shared" si="51"/>
        <v>825765.33469038771</v>
      </c>
      <c r="L43">
        <f t="shared" si="51"/>
        <v>703342.54094164073</v>
      </c>
      <c r="M43">
        <f t="shared" si="51"/>
        <v>615664.00705619156</v>
      </c>
      <c r="N43">
        <f t="shared" si="51"/>
        <v>531045.29263813596</v>
      </c>
      <c r="O43">
        <f t="shared" si="51"/>
        <v>475669.7943028491</v>
      </c>
      <c r="P43">
        <f t="shared" si="51"/>
        <v>426813.67701547884</v>
      </c>
      <c r="Q43">
        <f t="shared" si="51"/>
        <v>394566.70781316294</v>
      </c>
      <c r="R43">
        <f t="shared" si="51"/>
        <v>392045.73820590653</v>
      </c>
      <c r="S43">
        <f t="shared" si="51"/>
        <v>400407.88410660939</v>
      </c>
      <c r="T43">
        <f t="shared" si="51"/>
        <v>419057.18583096488</v>
      </c>
      <c r="U43">
        <f t="shared" si="51"/>
        <v>437476.57118583616</v>
      </c>
      <c r="V43">
        <f t="shared" si="51"/>
        <v>470774.35472736909</v>
      </c>
      <c r="W43">
        <f t="shared" si="51"/>
        <v>494013.82340966305</v>
      </c>
      <c r="X43">
        <f t="shared" si="51"/>
        <v>515300.20350714528</v>
      </c>
      <c r="Y43">
        <f t="shared" si="51"/>
        <v>557671.80253081152</v>
      </c>
      <c r="Z43">
        <f t="shared" si="51"/>
        <v>587111.44879939384</v>
      </c>
      <c r="AA43">
        <f t="shared" si="51"/>
        <v>630256.54656590719</v>
      </c>
      <c r="AB43">
        <f t="shared" si="51"/>
        <v>672442.11145157297</v>
      </c>
      <c r="AC43">
        <f t="shared" si="51"/>
        <v>686839.99526590563</v>
      </c>
      <c r="AD43">
        <f t="shared" si="51"/>
        <v>703013.41109984636</v>
      </c>
      <c r="AE43">
        <f t="shared" si="51"/>
        <v>732542.94479174912</v>
      </c>
      <c r="AF43">
        <f t="shared" si="51"/>
        <v>734870.31909133098</v>
      </c>
      <c r="AG43">
        <f t="shared" si="51"/>
        <v>757634</v>
      </c>
      <c r="AH43">
        <f t="shared" si="51"/>
        <v>771938.98273259611</v>
      </c>
      <c r="AI43">
        <f t="shared" ref="AI43:BN43" si="52">AI$25*AI18</f>
        <v>765336.31516850973</v>
      </c>
      <c r="AJ43">
        <f t="shared" si="52"/>
        <v>778937.46827227273</v>
      </c>
      <c r="AK43">
        <f t="shared" si="52"/>
        <v>782234.39915688278</v>
      </c>
      <c r="AL43">
        <f t="shared" si="52"/>
        <v>794685.16731862538</v>
      </c>
      <c r="AM43">
        <f t="shared" si="52"/>
        <v>799275.05670484283</v>
      </c>
      <c r="AN43">
        <f t="shared" si="52"/>
        <v>765571.18864592887</v>
      </c>
      <c r="AO43">
        <f t="shared" si="52"/>
        <v>709122.39762665646</v>
      </c>
      <c r="AP43">
        <f t="shared" si="52"/>
        <v>689061.49841846607</v>
      </c>
      <c r="AQ43">
        <f t="shared" si="52"/>
        <v>684008.08328891336</v>
      </c>
      <c r="AR43">
        <f t="shared" si="52"/>
        <v>676085.75247343082</v>
      </c>
      <c r="AS43">
        <f t="shared" si="52"/>
        <v>663534.3935855329</v>
      </c>
      <c r="AT43">
        <f t="shared" si="52"/>
        <v>663179.03067611484</v>
      </c>
      <c r="AU43">
        <f t="shared" si="52"/>
        <v>658685.58939319663</v>
      </c>
      <c r="AV43">
        <f t="shared" si="52"/>
        <v>778994.9696223333</v>
      </c>
      <c r="AW43">
        <f t="shared" si="52"/>
        <v>863942.2327299444</v>
      </c>
      <c r="AX43">
        <f t="shared" si="52"/>
        <v>996832.46843424963</v>
      </c>
      <c r="AY43">
        <f t="shared" si="52"/>
        <v>1116881.2644571674</v>
      </c>
      <c r="AZ43">
        <f t="shared" si="52"/>
        <v>1264300.6628246384</v>
      </c>
      <c r="BA43">
        <f t="shared" si="52"/>
        <v>1267604.7112553113</v>
      </c>
      <c r="BB43">
        <f t="shared" si="52"/>
        <v>1275942.1514775583</v>
      </c>
      <c r="BC43">
        <f t="shared" si="52"/>
        <v>1267085.7226576617</v>
      </c>
      <c r="BD43">
        <f t="shared" si="52"/>
        <v>1242823.5051022444</v>
      </c>
      <c r="BE43">
        <f t="shared" si="52"/>
        <v>1218493.0007271538</v>
      </c>
      <c r="BF43">
        <f t="shared" si="52"/>
        <v>1194669.8226925943</v>
      </c>
      <c r="BG43">
        <f t="shared" si="52"/>
        <v>1164108.7145778495</v>
      </c>
      <c r="BH43">
        <f t="shared" si="52"/>
        <v>1155336.5260463613</v>
      </c>
      <c r="BI43">
        <f t="shared" si="52"/>
        <v>1147351.7147511826</v>
      </c>
      <c r="BJ43">
        <f t="shared" si="52"/>
        <v>1120848.5271274126</v>
      </c>
      <c r="BK43">
        <f t="shared" si="52"/>
        <v>1083179.9188863367</v>
      </c>
      <c r="BL43">
        <f t="shared" si="52"/>
        <v>1045554.7421378132</v>
      </c>
      <c r="BM43">
        <f t="shared" si="52"/>
        <v>1050685.3214255136</v>
      </c>
      <c r="BN43">
        <f t="shared" si="52"/>
        <v>1039936.107502748</v>
      </c>
      <c r="BO43">
        <f t="shared" ref="BO43:CO43" si="53">BO$25*BO18</f>
        <v>1012932.4483836436</v>
      </c>
      <c r="BP43">
        <f t="shared" si="53"/>
        <v>1168129.8824500875</v>
      </c>
      <c r="BQ43">
        <f t="shared" si="53"/>
        <v>1343412.2024122388</v>
      </c>
      <c r="BR43">
        <f t="shared" si="53"/>
        <v>1531169.70274486</v>
      </c>
      <c r="BS43">
        <f t="shared" si="53"/>
        <v>1779138.1248150938</v>
      </c>
      <c r="BT43">
        <f t="shared" si="53"/>
        <v>2105187.4029057091</v>
      </c>
      <c r="BU43">
        <f t="shared" si="53"/>
        <v>1621045.3626577619</v>
      </c>
      <c r="BV43">
        <f t="shared" si="53"/>
        <v>1568683.21891236</v>
      </c>
      <c r="BW43">
        <f t="shared" si="53"/>
        <v>1559671.9699312425</v>
      </c>
      <c r="BX43">
        <f t="shared" si="53"/>
        <v>1445514.7105943838</v>
      </c>
      <c r="BY43">
        <f t="shared" si="53"/>
        <v>1288217.5822290732</v>
      </c>
      <c r="BZ43">
        <f t="shared" si="53"/>
        <v>1259184.0976340768</v>
      </c>
      <c r="CA43">
        <f t="shared" si="53"/>
        <v>1415532.7400713186</v>
      </c>
      <c r="CB43">
        <f t="shared" si="53"/>
        <v>1506244.2091586906</v>
      </c>
      <c r="CC43">
        <f t="shared" si="53"/>
        <v>1560964.8409985893</v>
      </c>
      <c r="CD43">
        <f t="shared" si="53"/>
        <v>1573448.407279379</v>
      </c>
      <c r="CE43">
        <f t="shared" si="53"/>
        <v>1489043.372991008</v>
      </c>
      <c r="CF43">
        <f t="shared" si="53"/>
        <v>1403764.5091548385</v>
      </c>
      <c r="CG43">
        <f t="shared" si="53"/>
        <v>1287629.3944755576</v>
      </c>
      <c r="CH43">
        <f t="shared" si="53"/>
        <v>1209242.8703415368</v>
      </c>
      <c r="CI43">
        <f t="shared" si="53"/>
        <v>1154772.6048966271</v>
      </c>
      <c r="CJ43">
        <f t="shared" si="53"/>
        <v>1188925.5664579009</v>
      </c>
      <c r="CK43">
        <f t="shared" si="53"/>
        <v>1180287.4076200561</v>
      </c>
      <c r="CL43">
        <f t="shared" si="53"/>
        <v>1118282.975865491</v>
      </c>
      <c r="CM43">
        <f t="shared" si="53"/>
        <v>1042501.4180419256</v>
      </c>
      <c r="CN43">
        <f t="shared" si="53"/>
        <v>975036.24914640235</v>
      </c>
      <c r="CO43">
        <f t="shared" si="53"/>
        <v>3829056.8675478497</v>
      </c>
      <c r="CQ43">
        <f t="shared" si="8"/>
        <v>95451163.189294815</v>
      </c>
    </row>
    <row r="44" spans="2:95" ht="18">
      <c r="B44" s="257">
        <v>2017</v>
      </c>
      <c r="C44">
        <f t="shared" ref="C44:AH44" si="54">C$25*C19</f>
        <v>1696804.2459362787</v>
      </c>
      <c r="D44">
        <f t="shared" si="54"/>
        <v>1687543.4787431592</v>
      </c>
      <c r="E44">
        <f t="shared" si="54"/>
        <v>1596930.0424474094</v>
      </c>
      <c r="F44">
        <f t="shared" si="54"/>
        <v>1496253.3414021835</v>
      </c>
      <c r="G44">
        <f t="shared" si="54"/>
        <v>1387443.3263120481</v>
      </c>
      <c r="H44">
        <f t="shared" si="54"/>
        <v>1247788.5121674789</v>
      </c>
      <c r="I44">
        <f t="shared" si="54"/>
        <v>1088665.6637080214</v>
      </c>
      <c r="J44">
        <f t="shared" si="54"/>
        <v>946844.15922838217</v>
      </c>
      <c r="K44">
        <f t="shared" si="54"/>
        <v>822820.89182457188</v>
      </c>
      <c r="L44">
        <f t="shared" si="54"/>
        <v>729860.15080723364</v>
      </c>
      <c r="M44">
        <f t="shared" si="54"/>
        <v>631429.46239887294</v>
      </c>
      <c r="N44">
        <f t="shared" si="54"/>
        <v>556997.58760532353</v>
      </c>
      <c r="O44">
        <f t="shared" si="54"/>
        <v>486232.88040146121</v>
      </c>
      <c r="P44">
        <f t="shared" si="54"/>
        <v>441886.41010961868</v>
      </c>
      <c r="Q44">
        <f t="shared" si="54"/>
        <v>403964.45839496865</v>
      </c>
      <c r="R44">
        <f t="shared" si="54"/>
        <v>384271.74444109848</v>
      </c>
      <c r="S44">
        <f t="shared" si="54"/>
        <v>392642.84808814572</v>
      </c>
      <c r="T44">
        <f t="shared" si="54"/>
        <v>409072.91409733024</v>
      </c>
      <c r="U44">
        <f t="shared" si="54"/>
        <v>434924.86384848633</v>
      </c>
      <c r="V44">
        <f t="shared" si="54"/>
        <v>459735.19604099274</v>
      </c>
      <c r="W44">
        <f t="shared" si="54"/>
        <v>496074.43190282444</v>
      </c>
      <c r="X44">
        <f t="shared" si="54"/>
        <v>518127.88170058862</v>
      </c>
      <c r="Y44">
        <f t="shared" si="54"/>
        <v>542823.12520106568</v>
      </c>
      <c r="Z44">
        <f t="shared" si="54"/>
        <v>586405.57900212554</v>
      </c>
      <c r="AA44">
        <f t="shared" si="54"/>
        <v>613086.59262555663</v>
      </c>
      <c r="AB44">
        <f t="shared" si="54"/>
        <v>658337.02544540761</v>
      </c>
      <c r="AC44">
        <f t="shared" si="54"/>
        <v>699212.07920748671</v>
      </c>
      <c r="AD44">
        <f t="shared" si="54"/>
        <v>711689.518183243</v>
      </c>
      <c r="AE44">
        <f t="shared" si="54"/>
        <v>725992.44031047344</v>
      </c>
      <c r="AF44">
        <f t="shared" si="54"/>
        <v>754487.51783718634</v>
      </c>
      <c r="AG44">
        <f t="shared" si="54"/>
        <v>750908</v>
      </c>
      <c r="AH44">
        <f t="shared" si="54"/>
        <v>771698.83963093546</v>
      </c>
      <c r="AI44">
        <f t="shared" ref="AI44:BN44" si="55">AI$25*AI19</f>
        <v>783782.00892009132</v>
      </c>
      <c r="AJ44">
        <f t="shared" si="55"/>
        <v>774023.52657547977</v>
      </c>
      <c r="AK44">
        <f t="shared" si="55"/>
        <v>783891.11711898493</v>
      </c>
      <c r="AL44">
        <f t="shared" si="55"/>
        <v>789107.5040856658</v>
      </c>
      <c r="AM44">
        <f t="shared" si="55"/>
        <v>798459.77035971999</v>
      </c>
      <c r="AN44">
        <f t="shared" si="55"/>
        <v>798297.16986754863</v>
      </c>
      <c r="AO44">
        <f t="shared" si="55"/>
        <v>760992.14174989413</v>
      </c>
      <c r="AP44">
        <f t="shared" si="55"/>
        <v>701211.24201424059</v>
      </c>
      <c r="AQ44">
        <f t="shared" si="55"/>
        <v>673115.95939640224</v>
      </c>
      <c r="AR44">
        <f t="shared" si="55"/>
        <v>664024.50146457599</v>
      </c>
      <c r="AS44">
        <f t="shared" si="55"/>
        <v>653056.82775119762</v>
      </c>
      <c r="AT44">
        <f t="shared" si="55"/>
        <v>636705.41057548602</v>
      </c>
      <c r="AU44">
        <f t="shared" si="55"/>
        <v>632882.79847081169</v>
      </c>
      <c r="AV44">
        <f t="shared" si="55"/>
        <v>755483.8560278361</v>
      </c>
      <c r="AW44">
        <f t="shared" si="55"/>
        <v>885415.93221512088</v>
      </c>
      <c r="AX44">
        <f t="shared" si="55"/>
        <v>974536.8426649794</v>
      </c>
      <c r="AY44">
        <f t="shared" si="55"/>
        <v>1117769.8074306906</v>
      </c>
      <c r="AZ44">
        <f t="shared" si="55"/>
        <v>1245736.41538582</v>
      </c>
      <c r="BA44">
        <f t="shared" si="55"/>
        <v>1266529.8467975627</v>
      </c>
      <c r="BB44">
        <f t="shared" si="55"/>
        <v>1269771.5909258444</v>
      </c>
      <c r="BC44">
        <f t="shared" si="55"/>
        <v>1277872.0700965899</v>
      </c>
      <c r="BD44">
        <f t="shared" si="55"/>
        <v>1269107.4688606444</v>
      </c>
      <c r="BE44">
        <f t="shared" si="55"/>
        <v>1244176.924218429</v>
      </c>
      <c r="BF44">
        <f t="shared" si="55"/>
        <v>1235654.9825706731</v>
      </c>
      <c r="BG44">
        <f t="shared" si="55"/>
        <v>1210821.0888027488</v>
      </c>
      <c r="BH44">
        <f t="shared" si="55"/>
        <v>1179229.1671400594</v>
      </c>
      <c r="BI44">
        <f t="shared" si="55"/>
        <v>1169218.090037283</v>
      </c>
      <c r="BJ44">
        <f t="shared" si="55"/>
        <v>1160561.0556282892</v>
      </c>
      <c r="BK44">
        <f t="shared" si="55"/>
        <v>1118750.4421246212</v>
      </c>
      <c r="BL44">
        <f t="shared" si="55"/>
        <v>1080481.9643066595</v>
      </c>
      <c r="BM44">
        <f t="shared" si="55"/>
        <v>1042846.7042285552</v>
      </c>
      <c r="BN44">
        <f t="shared" si="55"/>
        <v>1046915.3281129355</v>
      </c>
      <c r="BO44">
        <f t="shared" ref="BO44:CO44" si="56">BO$25*BO19</f>
        <v>1035872.6602373717</v>
      </c>
      <c r="BP44">
        <f t="shared" si="56"/>
        <v>1151921.8375197323</v>
      </c>
      <c r="BQ44">
        <f t="shared" si="56"/>
        <v>1305640.435357108</v>
      </c>
      <c r="BR44">
        <f t="shared" si="56"/>
        <v>1480408.3858259921</v>
      </c>
      <c r="BS44">
        <f t="shared" si="56"/>
        <v>1669204.97789078</v>
      </c>
      <c r="BT44">
        <f t="shared" si="56"/>
        <v>1920316.9288883607</v>
      </c>
      <c r="BU44">
        <f t="shared" si="56"/>
        <v>2080239.854922479</v>
      </c>
      <c r="BV44">
        <f t="shared" si="56"/>
        <v>1600184.9324153964</v>
      </c>
      <c r="BW44">
        <f t="shared" si="56"/>
        <v>1545833.7082343891</v>
      </c>
      <c r="BX44">
        <f t="shared" si="56"/>
        <v>1535158.422852156</v>
      </c>
      <c r="BY44">
        <f t="shared" si="56"/>
        <v>1422047.8806968653</v>
      </c>
      <c r="BZ44">
        <f t="shared" si="56"/>
        <v>1376043.9856037784</v>
      </c>
      <c r="CA44">
        <f t="shared" si="56"/>
        <v>1333667.9071841096</v>
      </c>
      <c r="CB44">
        <f t="shared" si="56"/>
        <v>1486471.7620300357</v>
      </c>
      <c r="CC44">
        <f t="shared" si="56"/>
        <v>1568858.563025743</v>
      </c>
      <c r="CD44">
        <f t="shared" si="56"/>
        <v>1613203.3137573255</v>
      </c>
      <c r="CE44">
        <f t="shared" si="56"/>
        <v>1523143.8941620181</v>
      </c>
      <c r="CF44">
        <f t="shared" si="56"/>
        <v>1435143.1376877285</v>
      </c>
      <c r="CG44">
        <f t="shared" si="56"/>
        <v>1343845.9813543421</v>
      </c>
      <c r="CH44">
        <f t="shared" si="56"/>
        <v>1223417.1096639941</v>
      </c>
      <c r="CI44">
        <f t="shared" si="56"/>
        <v>1137006.8725136023</v>
      </c>
      <c r="CJ44">
        <f t="shared" si="56"/>
        <v>1190420.9234749442</v>
      </c>
      <c r="CK44">
        <f t="shared" si="56"/>
        <v>1200443.8972123191</v>
      </c>
      <c r="CL44">
        <f t="shared" si="56"/>
        <v>1163838.1275278747</v>
      </c>
      <c r="CM44">
        <f t="shared" si="56"/>
        <v>1079090.6326918143</v>
      </c>
      <c r="CN44">
        <f t="shared" si="56"/>
        <v>984461.43488851096</v>
      </c>
      <c r="CO44">
        <f t="shared" si="56"/>
        <v>3887123.0661148545</v>
      </c>
      <c r="CQ44">
        <f t="shared" si="8"/>
        <v>96424395.398709044</v>
      </c>
    </row>
    <row r="45" spans="2:95" ht="18">
      <c r="B45" s="257">
        <v>2018</v>
      </c>
      <c r="C45">
        <f t="shared" ref="C45:AH45" si="57">C$25*C20</f>
        <v>1656211.3150358326</v>
      </c>
      <c r="D45">
        <f t="shared" si="57"/>
        <v>1650239.3516780699</v>
      </c>
      <c r="E45">
        <f t="shared" si="57"/>
        <v>1611093.2762527596</v>
      </c>
      <c r="F45">
        <f t="shared" si="57"/>
        <v>1492749.2865692801</v>
      </c>
      <c r="G45">
        <f t="shared" si="57"/>
        <v>1363559.6576401596</v>
      </c>
      <c r="H45">
        <f t="shared" si="57"/>
        <v>1216119.5516219789</v>
      </c>
      <c r="I45">
        <f t="shared" si="57"/>
        <v>1116587.6688861779</v>
      </c>
      <c r="J45">
        <f t="shared" si="57"/>
        <v>968241.13572148525</v>
      </c>
      <c r="K45">
        <f t="shared" si="57"/>
        <v>838940.183577121</v>
      </c>
      <c r="L45">
        <f t="shared" si="57"/>
        <v>727262.45988428441</v>
      </c>
      <c r="M45">
        <f t="shared" si="57"/>
        <v>655306.45914642804</v>
      </c>
      <c r="N45">
        <f t="shared" si="57"/>
        <v>571248.40994586132</v>
      </c>
      <c r="O45">
        <f t="shared" si="57"/>
        <v>510029.66116037412</v>
      </c>
      <c r="P45">
        <f t="shared" si="57"/>
        <v>451901.95297435863</v>
      </c>
      <c r="Q45">
        <f t="shared" si="57"/>
        <v>418382.51887455524</v>
      </c>
      <c r="R45">
        <f t="shared" si="57"/>
        <v>393487.39432661037</v>
      </c>
      <c r="S45">
        <f t="shared" si="57"/>
        <v>385013.93842112017</v>
      </c>
      <c r="T45">
        <f t="shared" si="57"/>
        <v>401815.74261699902</v>
      </c>
      <c r="U45">
        <f t="shared" si="57"/>
        <v>424881.8561326341</v>
      </c>
      <c r="V45">
        <f t="shared" si="57"/>
        <v>459334.94256935181</v>
      </c>
      <c r="W45">
        <f t="shared" si="57"/>
        <v>486249.87463680358</v>
      </c>
      <c r="X45">
        <f t="shared" si="57"/>
        <v>521794.16974358889</v>
      </c>
      <c r="Y45">
        <f t="shared" si="57"/>
        <v>548591.28922150703</v>
      </c>
      <c r="Z45">
        <f t="shared" si="57"/>
        <v>574238.42125952092</v>
      </c>
      <c r="AA45">
        <f t="shared" si="57"/>
        <v>615442.84222197777</v>
      </c>
      <c r="AB45">
        <f t="shared" si="57"/>
        <v>642470.7595890949</v>
      </c>
      <c r="AC45">
        <f t="shared" si="57"/>
        <v>686228.36189038586</v>
      </c>
      <c r="AD45">
        <f t="shared" si="57"/>
        <v>725108.34105570242</v>
      </c>
      <c r="AE45">
        <f t="shared" si="57"/>
        <v>734899.94217617658</v>
      </c>
      <c r="AF45">
        <f t="shared" si="57"/>
        <v>747825.96046297555</v>
      </c>
      <c r="AG45">
        <f t="shared" si="57"/>
        <v>771626</v>
      </c>
      <c r="AH45">
        <f t="shared" si="57"/>
        <v>765634.20875848888</v>
      </c>
      <c r="AI45">
        <f t="shared" ref="AI45:BN45" si="58">AI$25*AI20</f>
        <v>784843.00786685874</v>
      </c>
      <c r="AJ45">
        <f t="shared" si="58"/>
        <v>793226.597396528</v>
      </c>
      <c r="AK45">
        <f t="shared" si="58"/>
        <v>779692.62844316335</v>
      </c>
      <c r="AL45">
        <f t="shared" si="58"/>
        <v>791436.20760745776</v>
      </c>
      <c r="AM45">
        <f t="shared" si="58"/>
        <v>792932.40530803986</v>
      </c>
      <c r="AN45">
        <f t="shared" si="58"/>
        <v>797230.29523644282</v>
      </c>
      <c r="AO45">
        <f t="shared" si="58"/>
        <v>792784.12578541355</v>
      </c>
      <c r="AP45">
        <f t="shared" si="58"/>
        <v>751971.88476978743</v>
      </c>
      <c r="AQ45">
        <f t="shared" si="58"/>
        <v>684751.86120254488</v>
      </c>
      <c r="AR45">
        <f t="shared" si="58"/>
        <v>653313.15467457683</v>
      </c>
      <c r="AS45">
        <f t="shared" si="58"/>
        <v>641371.26469209988</v>
      </c>
      <c r="AT45">
        <f t="shared" si="58"/>
        <v>626496.96338361967</v>
      </c>
      <c r="AU45">
        <f t="shared" si="58"/>
        <v>607334.41107859055</v>
      </c>
      <c r="AV45">
        <f t="shared" si="58"/>
        <v>725633.37409418006</v>
      </c>
      <c r="AW45">
        <f t="shared" si="58"/>
        <v>858609.57843156322</v>
      </c>
      <c r="AX45">
        <f t="shared" si="58"/>
        <v>998934.25760833721</v>
      </c>
      <c r="AY45">
        <f t="shared" si="58"/>
        <v>1092978.308251949</v>
      </c>
      <c r="AZ45">
        <f t="shared" si="58"/>
        <v>1247056.9318631017</v>
      </c>
      <c r="BA45">
        <f t="shared" si="58"/>
        <v>1248538.7397585106</v>
      </c>
      <c r="BB45">
        <f t="shared" si="58"/>
        <v>1269200.2128365671</v>
      </c>
      <c r="BC45">
        <f t="shared" si="58"/>
        <v>1272040.8680056755</v>
      </c>
      <c r="BD45">
        <f t="shared" si="58"/>
        <v>1280246.9171840411</v>
      </c>
      <c r="BE45">
        <f t="shared" si="58"/>
        <v>1271134.1207988679</v>
      </c>
      <c r="BF45">
        <f t="shared" si="58"/>
        <v>1262239.4581886532</v>
      </c>
      <c r="BG45">
        <f t="shared" si="58"/>
        <v>1252487.4408651937</v>
      </c>
      <c r="BH45">
        <f t="shared" si="58"/>
        <v>1226867.0696735994</v>
      </c>
      <c r="BI45">
        <f t="shared" si="58"/>
        <v>1192942.5064502666</v>
      </c>
      <c r="BJ45">
        <f t="shared" si="58"/>
        <v>1182011.1278154443</v>
      </c>
      <c r="BK45">
        <f t="shared" si="58"/>
        <v>1158495.8177760984</v>
      </c>
      <c r="BL45">
        <f t="shared" si="58"/>
        <v>1115734.8606657076</v>
      </c>
      <c r="BM45">
        <f t="shared" si="58"/>
        <v>1077023.503644581</v>
      </c>
      <c r="BN45">
        <f t="shared" si="58"/>
        <v>1039509.8682147766</v>
      </c>
      <c r="BO45">
        <f t="shared" ref="BO45:CO45" si="59">BO$25*BO20</f>
        <v>1043480.4660640095</v>
      </c>
      <c r="BP45">
        <f t="shared" si="59"/>
        <v>1178079.477461406</v>
      </c>
      <c r="BQ45">
        <f t="shared" si="59"/>
        <v>1287886.7041721167</v>
      </c>
      <c r="BR45">
        <f t="shared" si="59"/>
        <v>1439457.20853122</v>
      </c>
      <c r="BS45">
        <f t="shared" si="59"/>
        <v>1613968.4914045292</v>
      </c>
      <c r="BT45">
        <f t="shared" si="59"/>
        <v>1801831.8181862016</v>
      </c>
      <c r="BU45">
        <f t="shared" si="59"/>
        <v>1897706.7386770779</v>
      </c>
      <c r="BV45">
        <f t="shared" si="59"/>
        <v>2053854.0857625441</v>
      </c>
      <c r="BW45">
        <f t="shared" si="59"/>
        <v>1577370.2460687298</v>
      </c>
      <c r="BX45">
        <f t="shared" si="59"/>
        <v>1522272.4741299865</v>
      </c>
      <c r="BY45">
        <f t="shared" si="59"/>
        <v>1510328.4306908138</v>
      </c>
      <c r="BZ45">
        <f t="shared" si="59"/>
        <v>1519188.9425520413</v>
      </c>
      <c r="CA45">
        <f t="shared" si="59"/>
        <v>1457187.2382015288</v>
      </c>
      <c r="CB45">
        <f t="shared" si="59"/>
        <v>1399436.2656599998</v>
      </c>
      <c r="CC45">
        <f t="shared" si="59"/>
        <v>1548071.0287514499</v>
      </c>
      <c r="CD45">
        <f t="shared" si="59"/>
        <v>1621256.2549175462</v>
      </c>
      <c r="CE45">
        <f t="shared" si="59"/>
        <v>1560764.1614343154</v>
      </c>
      <c r="CF45">
        <f t="shared" si="59"/>
        <v>1467028.0286662166</v>
      </c>
      <c r="CG45">
        <f t="shared" si="59"/>
        <v>1372853.6037002753</v>
      </c>
      <c r="CH45">
        <f t="shared" si="59"/>
        <v>1276962.0470905944</v>
      </c>
      <c r="CI45">
        <f t="shared" si="59"/>
        <v>1149821.6621284422</v>
      </c>
      <c r="CJ45">
        <f t="shared" si="59"/>
        <v>1173782.9920548294</v>
      </c>
      <c r="CK45">
        <f t="shared" si="59"/>
        <v>1198749.3522450745</v>
      </c>
      <c r="CL45">
        <f t="shared" si="59"/>
        <v>1181460.0363274263</v>
      </c>
      <c r="CM45">
        <f t="shared" si="59"/>
        <v>1120812.2381750043</v>
      </c>
      <c r="CN45">
        <f t="shared" si="59"/>
        <v>1014281.7188961973</v>
      </c>
      <c r="CO45">
        <f t="shared" si="59"/>
        <v>3918769.8507353147</v>
      </c>
      <c r="CQ45">
        <f t="shared" si="8"/>
        <v>97308248.266308829</v>
      </c>
    </row>
    <row r="46" spans="2:95" ht="18">
      <c r="B46" s="257">
        <v>2019</v>
      </c>
      <c r="C46">
        <f t="shared" ref="C46:AH46" si="60">C$25*C21</f>
        <v>1606937.8897964756</v>
      </c>
      <c r="D46">
        <f t="shared" si="60"/>
        <v>1610642.0098567505</v>
      </c>
      <c r="E46">
        <f t="shared" si="60"/>
        <v>1574576.8778864015</v>
      </c>
      <c r="F46">
        <f t="shared" si="60"/>
        <v>1504539.8390326856</v>
      </c>
      <c r="G46">
        <f t="shared" si="60"/>
        <v>1359152.776513611</v>
      </c>
      <c r="H46">
        <f t="shared" si="60"/>
        <v>1194907.209156906</v>
      </c>
      <c r="I46">
        <f t="shared" si="60"/>
        <v>1088152.9519504076</v>
      </c>
      <c r="J46">
        <f t="shared" si="60"/>
        <v>992460.32078733738</v>
      </c>
      <c r="K46">
        <f t="shared" si="60"/>
        <v>856285.82556369714</v>
      </c>
      <c r="L46">
        <f t="shared" si="60"/>
        <v>740897.42739268497</v>
      </c>
      <c r="M46">
        <f t="shared" si="60"/>
        <v>652150.34244174592</v>
      </c>
      <c r="N46">
        <f t="shared" si="60"/>
        <v>592226.28096381342</v>
      </c>
      <c r="O46">
        <f t="shared" si="60"/>
        <v>522178.37265574042</v>
      </c>
      <c r="P46">
        <f t="shared" si="60"/>
        <v>473366.18381770747</v>
      </c>
      <c r="Q46">
        <f t="shared" si="60"/>
        <v>427260.71792197321</v>
      </c>
      <c r="R46">
        <f t="shared" si="60"/>
        <v>407072.3311168233</v>
      </c>
      <c r="S46">
        <f t="shared" si="60"/>
        <v>393791.4952059951</v>
      </c>
      <c r="T46">
        <f t="shared" si="60"/>
        <v>393406.69124628336</v>
      </c>
      <c r="U46">
        <f t="shared" si="60"/>
        <v>417221.34081577638</v>
      </c>
      <c r="V46">
        <f t="shared" si="60"/>
        <v>447752.0829258688</v>
      </c>
      <c r="W46">
        <f t="shared" si="60"/>
        <v>485113.56304702285</v>
      </c>
      <c r="X46">
        <f t="shared" si="60"/>
        <v>510662.3002889863</v>
      </c>
      <c r="Y46">
        <f t="shared" si="60"/>
        <v>550994.10636446346</v>
      </c>
      <c r="Z46">
        <f t="shared" si="60"/>
        <v>578475.25715606846</v>
      </c>
      <c r="AA46">
        <f t="shared" si="60"/>
        <v>601420.14058751543</v>
      </c>
      <c r="AB46">
        <f t="shared" si="60"/>
        <v>643844.23647124332</v>
      </c>
      <c r="AC46">
        <f t="shared" si="60"/>
        <v>668061.05171575444</v>
      </c>
      <c r="AD46">
        <f t="shared" si="60"/>
        <v>710396.64086540265</v>
      </c>
      <c r="AE46">
        <f t="shared" si="60"/>
        <v>747174.85602627648</v>
      </c>
      <c r="AF46">
        <f t="shared" si="60"/>
        <v>754784.43632562202</v>
      </c>
      <c r="AG46">
        <f t="shared" si="60"/>
        <v>762666</v>
      </c>
      <c r="AH46">
        <f t="shared" si="60"/>
        <v>785214.01198795473</v>
      </c>
      <c r="AI46">
        <f t="shared" ref="AI46:BN46" si="61">AI$25*AI21</f>
        <v>777106.38519665634</v>
      </c>
      <c r="AJ46">
        <f t="shared" si="61"/>
        <v>793449.81614480086</v>
      </c>
      <c r="AK46">
        <f t="shared" si="61"/>
        <v>797915.47614164685</v>
      </c>
      <c r="AL46">
        <f t="shared" si="61"/>
        <v>785175.50036742422</v>
      </c>
      <c r="AM46">
        <f t="shared" si="61"/>
        <v>793976.22693895327</v>
      </c>
      <c r="AN46">
        <f t="shared" si="61"/>
        <v>790936.26569631754</v>
      </c>
      <c r="AO46">
        <f t="shared" si="61"/>
        <v>790276.11961382162</v>
      </c>
      <c r="AP46">
        <f t="shared" si="61"/>
        <v>782610.45925219171</v>
      </c>
      <c r="AQ46">
        <f t="shared" si="61"/>
        <v>733861.55310314638</v>
      </c>
      <c r="AR46">
        <f t="shared" si="61"/>
        <v>664103.50097994425</v>
      </c>
      <c r="AS46">
        <f t="shared" si="61"/>
        <v>630482.14144365001</v>
      </c>
      <c r="AT46">
        <f t="shared" si="61"/>
        <v>615125.4128824143</v>
      </c>
      <c r="AU46">
        <f t="shared" si="61"/>
        <v>597224.4844894713</v>
      </c>
      <c r="AV46">
        <f t="shared" si="61"/>
        <v>695950.74304799119</v>
      </c>
      <c r="AW46">
        <f t="shared" si="61"/>
        <v>823972.30811443727</v>
      </c>
      <c r="AX46">
        <f t="shared" si="61"/>
        <v>967855.97256466304</v>
      </c>
      <c r="AY46">
        <f t="shared" si="61"/>
        <v>1119634.597457648</v>
      </c>
      <c r="AZ46">
        <f t="shared" si="61"/>
        <v>1218963.4652765614</v>
      </c>
      <c r="BA46">
        <f t="shared" si="61"/>
        <v>1249574.9863315495</v>
      </c>
      <c r="BB46">
        <f t="shared" si="61"/>
        <v>1251177.5920883489</v>
      </c>
      <c r="BC46">
        <f t="shared" si="61"/>
        <v>1271935.6116502439</v>
      </c>
      <c r="BD46">
        <f t="shared" si="61"/>
        <v>1273942.7953207421</v>
      </c>
      <c r="BE46">
        <f t="shared" si="61"/>
        <v>1281693.6467892823</v>
      </c>
      <c r="BF46">
        <f t="shared" si="61"/>
        <v>1289372.7681750956</v>
      </c>
      <c r="BG46">
        <f t="shared" si="61"/>
        <v>1279064.6187365372</v>
      </c>
      <c r="BH46">
        <f t="shared" si="61"/>
        <v>1268296.1758592364</v>
      </c>
      <c r="BI46">
        <f t="shared" si="61"/>
        <v>1240941.6119998463</v>
      </c>
      <c r="BJ46">
        <f t="shared" si="61"/>
        <v>1205812.110932562</v>
      </c>
      <c r="BK46">
        <f t="shared" si="61"/>
        <v>1178924.7385944147</v>
      </c>
      <c r="BL46">
        <f t="shared" si="61"/>
        <v>1155023.9814147966</v>
      </c>
      <c r="BM46">
        <f t="shared" si="61"/>
        <v>1111982.2011094037</v>
      </c>
      <c r="BN46">
        <f t="shared" si="61"/>
        <v>1073213.2176279456</v>
      </c>
      <c r="BO46">
        <f t="shared" ref="BO46:CO46" si="62">BO$25*BO21</f>
        <v>1035337.2029543442</v>
      </c>
      <c r="BP46">
        <f t="shared" si="62"/>
        <v>1187237.2290562796</v>
      </c>
      <c r="BQ46">
        <f t="shared" si="62"/>
        <v>1317276.1223311487</v>
      </c>
      <c r="BR46">
        <f t="shared" si="62"/>
        <v>1419883.5825229846</v>
      </c>
      <c r="BS46">
        <f t="shared" si="62"/>
        <v>1568731.6398108976</v>
      </c>
      <c r="BT46">
        <f t="shared" si="62"/>
        <v>1740879.2327939109</v>
      </c>
      <c r="BU46">
        <f t="shared" si="62"/>
        <v>1780528.5739593564</v>
      </c>
      <c r="BV46">
        <f t="shared" si="62"/>
        <v>1873244.6793207549</v>
      </c>
      <c r="BW46">
        <f t="shared" si="62"/>
        <v>2026045.8871726785</v>
      </c>
      <c r="BX46">
        <f t="shared" si="62"/>
        <v>1554827.7770660347</v>
      </c>
      <c r="BY46">
        <f t="shared" si="62"/>
        <v>1499211.0106822476</v>
      </c>
      <c r="BZ46">
        <f t="shared" si="62"/>
        <v>1616131.3827634919</v>
      </c>
      <c r="CA46">
        <f t="shared" si="62"/>
        <v>1610853.0083020502</v>
      </c>
      <c r="CB46">
        <f t="shared" si="62"/>
        <v>1533325.7280742228</v>
      </c>
      <c r="CC46">
        <f t="shared" si="62"/>
        <v>1460215.4417550818</v>
      </c>
      <c r="CD46">
        <f t="shared" si="62"/>
        <v>1602422.0021454007</v>
      </c>
      <c r="CE46">
        <f t="shared" si="62"/>
        <v>1572501.4177422673</v>
      </c>
      <c r="CF46">
        <f t="shared" si="62"/>
        <v>1507876.1757053442</v>
      </c>
      <c r="CG46">
        <f t="shared" si="62"/>
        <v>1409153.3455268866</v>
      </c>
      <c r="CH46">
        <f t="shared" si="62"/>
        <v>1308240.9192021047</v>
      </c>
      <c r="CI46">
        <f t="shared" si="62"/>
        <v>1206618.3208325396</v>
      </c>
      <c r="CJ46">
        <f t="shared" si="62"/>
        <v>1193656.2312218561</v>
      </c>
      <c r="CK46">
        <f t="shared" si="62"/>
        <v>1191136.1792038297</v>
      </c>
      <c r="CL46">
        <f t="shared" si="62"/>
        <v>1190898.6663358719</v>
      </c>
      <c r="CM46">
        <f t="shared" si="62"/>
        <v>1148563.5486098183</v>
      </c>
      <c r="CN46">
        <f t="shared" si="62"/>
        <v>1065430.2102404353</v>
      </c>
      <c r="CO46">
        <f t="shared" si="62"/>
        <v>4060026.5925047635</v>
      </c>
      <c r="CQ46">
        <f t="shared" si="8"/>
        <v>98243614.161063313</v>
      </c>
    </row>
    <row r="47" spans="2:95">
      <c r="CQ47">
        <f>CQ46/CQ28-1</f>
        <v>0.20342443605134952</v>
      </c>
    </row>
    <row r="49" spans="3:6">
      <c r="C49" t="s">
        <v>1793</v>
      </c>
      <c r="D49" t="s">
        <v>1794</v>
      </c>
      <c r="E49" t="s">
        <v>1795</v>
      </c>
      <c r="F49" t="s">
        <v>1796</v>
      </c>
    </row>
    <row r="50" spans="3:6">
      <c r="C50" s="96">
        <f>SUM(C24:AF24)</f>
        <v>44.899633901720314</v>
      </c>
      <c r="D50" s="96">
        <f>SUM(AG24:AZ24)</f>
        <v>28.257503737559752</v>
      </c>
      <c r="E50" s="96">
        <f>SUM(BA24:BO24)</f>
        <v>33.443045915099354</v>
      </c>
      <c r="F50" s="96">
        <f>SUM(BP24:CO24)</f>
        <v>150.08749517817577</v>
      </c>
    </row>
    <row r="51" spans="3:6">
      <c r="C51" s="96">
        <f>C50/D50</f>
        <v>1.5889455175773335</v>
      </c>
      <c r="D51" s="96">
        <f>D50/D50</f>
        <v>1</v>
      </c>
      <c r="E51" s="96">
        <f>E50/D50</f>
        <v>1.183510271314129</v>
      </c>
      <c r="F51" s="96">
        <f>F50/D50</f>
        <v>5.3114208732698538</v>
      </c>
    </row>
  </sheetData>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1AF55-6487-4980-8605-6D1BD1DF2A16}">
  <dimension ref="A1:DH81"/>
  <sheetViews>
    <sheetView zoomScale="40" zoomScaleNormal="40" workbookViewId="0">
      <selection activeCell="C7" sqref="C7"/>
    </sheetView>
  </sheetViews>
  <sheetFormatPr defaultRowHeight="14.5"/>
  <cols>
    <col min="2" max="2" width="17.1796875" bestFit="1" customWidth="1"/>
    <col min="3" max="4" width="17.1796875" customWidth="1"/>
    <col min="5" max="5" width="24.453125" customWidth="1"/>
    <col min="6" max="6" width="10.81640625" bestFit="1" customWidth="1"/>
    <col min="7" max="7" width="12.453125" bestFit="1" customWidth="1"/>
    <col min="11" max="11" width="8.1796875" bestFit="1" customWidth="1"/>
    <col min="17" max="18" width="11.81640625" bestFit="1" customWidth="1"/>
    <col min="19" max="19" width="11.453125" bestFit="1" customWidth="1"/>
    <col min="20" max="20" width="10.453125" bestFit="1" customWidth="1"/>
  </cols>
  <sheetData>
    <row r="1" spans="1:112">
      <c r="A1" t="s">
        <v>177</v>
      </c>
      <c r="B1" t="s">
        <v>1797</v>
      </c>
      <c r="E1" t="s">
        <v>1798</v>
      </c>
    </row>
    <row r="2" spans="1:112">
      <c r="B2" t="s">
        <v>1799</v>
      </c>
      <c r="E2" t="s">
        <v>1800</v>
      </c>
    </row>
    <row r="3" spans="1:112">
      <c r="B3" t="s">
        <v>1801</v>
      </c>
      <c r="E3" t="s">
        <v>1802</v>
      </c>
    </row>
    <row r="5" spans="1:112" s="155" customFormat="1">
      <c r="F5" s="287">
        <f>'Population weights'!C51</f>
        <v>1.5889455175773335</v>
      </c>
      <c r="G5" s="287">
        <f>'Population weights'!D51</f>
        <v>1</v>
      </c>
      <c r="H5" s="287">
        <f>'Population weights'!E51</f>
        <v>1.183510271314129</v>
      </c>
      <c r="I5" s="287">
        <f>'Population weights'!F51</f>
        <v>5.3114208732698538</v>
      </c>
      <c r="V5" s="286">
        <v>0</v>
      </c>
      <c r="W5" s="286">
        <v>1</v>
      </c>
      <c r="X5" s="286">
        <v>2</v>
      </c>
      <c r="Y5" s="286">
        <v>3</v>
      </c>
      <c r="Z5" s="286">
        <v>4</v>
      </c>
      <c r="AA5" s="286">
        <v>5</v>
      </c>
      <c r="AB5" s="286">
        <v>6</v>
      </c>
      <c r="AC5" s="286">
        <v>7</v>
      </c>
      <c r="AD5" s="286">
        <v>8</v>
      </c>
      <c r="AE5" s="286">
        <v>9</v>
      </c>
      <c r="AF5" s="286">
        <v>10</v>
      </c>
      <c r="AG5" s="286">
        <v>11</v>
      </c>
      <c r="AH5" s="286">
        <v>12</v>
      </c>
      <c r="AI5" s="286">
        <v>13</v>
      </c>
      <c r="AJ5" s="286">
        <v>14</v>
      </c>
      <c r="AK5" s="286">
        <v>15</v>
      </c>
      <c r="AL5" s="286">
        <v>16</v>
      </c>
      <c r="AM5" s="286">
        <v>17</v>
      </c>
      <c r="AN5" s="286">
        <v>18</v>
      </c>
      <c r="AO5" s="286">
        <v>19</v>
      </c>
      <c r="AP5" s="286">
        <v>20</v>
      </c>
      <c r="AQ5" s="286">
        <v>21</v>
      </c>
      <c r="AR5" s="286">
        <v>22</v>
      </c>
      <c r="AS5" s="286">
        <v>23</v>
      </c>
      <c r="AT5" s="286">
        <v>24</v>
      </c>
      <c r="AU5" s="286">
        <v>25</v>
      </c>
      <c r="AV5" s="286">
        <v>26</v>
      </c>
      <c r="AW5" s="286">
        <v>27</v>
      </c>
      <c r="AX5" s="286">
        <v>28</v>
      </c>
      <c r="AY5" s="286">
        <v>29</v>
      </c>
      <c r="AZ5" s="286">
        <v>30</v>
      </c>
      <c r="BA5" s="286">
        <v>31</v>
      </c>
      <c r="BB5" s="286">
        <v>32</v>
      </c>
      <c r="BC5" s="286">
        <v>33</v>
      </c>
      <c r="BD5" s="286">
        <v>34</v>
      </c>
      <c r="BE5" s="286">
        <v>35</v>
      </c>
      <c r="BF5" s="286">
        <v>36</v>
      </c>
      <c r="BG5" s="286">
        <v>37</v>
      </c>
      <c r="BH5" s="286">
        <v>38</v>
      </c>
      <c r="BI5" s="286">
        <v>39</v>
      </c>
      <c r="BJ5" s="286">
        <v>40</v>
      </c>
      <c r="BK5" s="286">
        <v>41</v>
      </c>
      <c r="BL5" s="286">
        <v>42</v>
      </c>
      <c r="BM5" s="286">
        <v>43</v>
      </c>
      <c r="BN5" s="286">
        <v>44</v>
      </c>
      <c r="BO5" s="286">
        <v>45</v>
      </c>
      <c r="BP5" s="286">
        <v>46</v>
      </c>
      <c r="BQ5" s="286">
        <v>47</v>
      </c>
      <c r="BR5" s="286">
        <v>48</v>
      </c>
      <c r="BS5" s="286">
        <v>49</v>
      </c>
      <c r="BT5" s="286">
        <v>50</v>
      </c>
      <c r="BU5" s="286">
        <v>51</v>
      </c>
      <c r="BV5" s="286">
        <v>52</v>
      </c>
      <c r="BW5" s="286">
        <v>53</v>
      </c>
      <c r="BX5" s="286">
        <v>54</v>
      </c>
      <c r="BY5" s="286">
        <v>55</v>
      </c>
      <c r="BZ5" s="286">
        <v>56</v>
      </c>
      <c r="CA5" s="286">
        <v>57</v>
      </c>
      <c r="CB5" s="286">
        <v>58</v>
      </c>
      <c r="CC5" s="286">
        <v>59</v>
      </c>
      <c r="CD5" s="286">
        <v>60</v>
      </c>
      <c r="CE5" s="286">
        <v>61</v>
      </c>
      <c r="CF5" s="286">
        <v>62</v>
      </c>
      <c r="CG5" s="286">
        <v>63</v>
      </c>
      <c r="CH5" s="286">
        <v>64</v>
      </c>
      <c r="CI5" s="286">
        <v>65</v>
      </c>
      <c r="CJ5" s="286">
        <v>66</v>
      </c>
      <c r="CK5" s="286">
        <v>67</v>
      </c>
      <c r="CL5" s="286">
        <v>68</v>
      </c>
      <c r="CM5" s="286">
        <v>69</v>
      </c>
      <c r="CN5" s="286">
        <v>70</v>
      </c>
      <c r="CO5" s="286">
        <v>71</v>
      </c>
      <c r="CP5" s="286">
        <v>72</v>
      </c>
      <c r="CQ5" s="286">
        <v>73</v>
      </c>
      <c r="CR5" s="286">
        <v>74</v>
      </c>
      <c r="CS5" s="286">
        <v>75</v>
      </c>
      <c r="CT5" s="286">
        <v>76</v>
      </c>
      <c r="CU5" s="286">
        <v>77</v>
      </c>
      <c r="CV5" s="286">
        <v>78</v>
      </c>
      <c r="CW5" s="286">
        <v>79</v>
      </c>
      <c r="CX5" s="286">
        <v>80</v>
      </c>
      <c r="CY5" s="286">
        <v>81</v>
      </c>
      <c r="CZ5" s="286">
        <v>82</v>
      </c>
      <c r="DA5" s="286">
        <v>83</v>
      </c>
      <c r="DB5" s="286">
        <v>84</v>
      </c>
      <c r="DC5" s="286" t="s">
        <v>1803</v>
      </c>
      <c r="DD5" s="286">
        <v>86</v>
      </c>
      <c r="DE5" s="286">
        <v>87</v>
      </c>
      <c r="DF5" s="286">
        <v>88</v>
      </c>
      <c r="DG5" s="286">
        <v>89</v>
      </c>
      <c r="DH5" s="286">
        <v>90</v>
      </c>
    </row>
    <row r="6" spans="1:112">
      <c r="B6" s="262" t="s">
        <v>1804</v>
      </c>
      <c r="C6" s="262" t="s">
        <v>767</v>
      </c>
      <c r="D6" s="262"/>
      <c r="E6" s="262" t="s">
        <v>1805</v>
      </c>
      <c r="F6" s="285" t="s">
        <v>1793</v>
      </c>
      <c r="G6" s="285" t="s">
        <v>1794</v>
      </c>
      <c r="H6" s="285" t="s">
        <v>1795</v>
      </c>
      <c r="I6" s="285" t="s">
        <v>1806</v>
      </c>
      <c r="J6" s="285"/>
      <c r="K6" s="285" t="s">
        <v>1807</v>
      </c>
      <c r="L6" s="285" t="s">
        <v>1793</v>
      </c>
      <c r="M6" s="285" t="s">
        <v>1794</v>
      </c>
      <c r="N6" s="285" t="s">
        <v>1795</v>
      </c>
      <c r="O6" s="285" t="s">
        <v>1806</v>
      </c>
      <c r="P6" s="285"/>
      <c r="Q6" s="285" t="s">
        <v>1793</v>
      </c>
      <c r="R6" s="285" t="s">
        <v>1794</v>
      </c>
      <c r="S6" s="285" t="s">
        <v>1795</v>
      </c>
      <c r="T6" s="285" t="s">
        <v>1806</v>
      </c>
      <c r="U6" s="285"/>
      <c r="V6" s="285" t="s">
        <v>1808</v>
      </c>
      <c r="W6" s="285" t="s">
        <v>1809</v>
      </c>
      <c r="X6" s="285" t="s">
        <v>1810</v>
      </c>
      <c r="Y6" s="285" t="s">
        <v>1811</v>
      </c>
      <c r="Z6" s="285" t="s">
        <v>1812</v>
      </c>
      <c r="AA6" s="285" t="s">
        <v>1813</v>
      </c>
      <c r="AB6" s="285" t="s">
        <v>1814</v>
      </c>
      <c r="AC6" s="285" t="s">
        <v>1815</v>
      </c>
      <c r="AD6" s="285" t="s">
        <v>1816</v>
      </c>
      <c r="AE6" s="285" t="s">
        <v>1817</v>
      </c>
      <c r="AF6" s="285" t="s">
        <v>1818</v>
      </c>
      <c r="AG6" s="285" t="s">
        <v>1819</v>
      </c>
      <c r="AH6" s="285" t="s">
        <v>1820</v>
      </c>
      <c r="AI6" s="285" t="s">
        <v>1821</v>
      </c>
      <c r="AJ6" s="285" t="s">
        <v>1822</v>
      </c>
      <c r="AK6" s="285" t="s">
        <v>1823</v>
      </c>
      <c r="AL6" s="285" t="s">
        <v>1824</v>
      </c>
      <c r="AM6" s="285" t="s">
        <v>1825</v>
      </c>
    </row>
    <row r="7" spans="1:112">
      <c r="B7" s="262" t="s">
        <v>1826</v>
      </c>
      <c r="C7" s="262">
        <f t="shared" ref="C7:C38" si="0">(F7*F$5)+(G7*G$5)+(H7*H$5)+(I7*I$5)</f>
        <v>72978377.889787391</v>
      </c>
      <c r="D7" s="262"/>
      <c r="E7" s="262">
        <v>41421000</v>
      </c>
      <c r="F7" s="262">
        <f>$E7*L10</f>
        <v>17651097.122323491</v>
      </c>
      <c r="G7" s="262">
        <f>$E7*M10</f>
        <v>12093763.862122945</v>
      </c>
      <c r="H7" s="262">
        <f>$E7*N10</f>
        <v>7069002.5734836301</v>
      </c>
      <c r="I7" s="262">
        <f>$E7*O10</f>
        <v>4607382.0555848749</v>
      </c>
      <c r="J7" s="262"/>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285"/>
      <c r="AL7" s="285"/>
      <c r="AM7" s="285"/>
    </row>
    <row r="8" spans="1:112">
      <c r="B8" s="262" t="s">
        <v>1827</v>
      </c>
      <c r="C8" s="262">
        <f t="shared" si="0"/>
        <v>72638337.163278386</v>
      </c>
      <c r="D8" s="262"/>
      <c r="E8" s="262">
        <v>41228000</v>
      </c>
      <c r="F8" s="262">
        <f>$E8*L10</f>
        <v>17568852.325128626</v>
      </c>
      <c r="G8" s="262">
        <f>$E8*M10</f>
        <v>12037413.305028966</v>
      </c>
      <c r="H8" s="262">
        <f>$E8*N10</f>
        <v>7036064.7521687821</v>
      </c>
      <c r="I8" s="262">
        <f>$E8*O10</f>
        <v>4585914.0867592096</v>
      </c>
      <c r="J8" s="262"/>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285"/>
      <c r="AL8" s="285"/>
      <c r="AM8" s="285"/>
    </row>
    <row r="9" spans="1:112">
      <c r="B9" s="262" t="s">
        <v>1828</v>
      </c>
      <c r="C9" s="262">
        <f t="shared" si="0"/>
        <v>72883236.961126834</v>
      </c>
      <c r="D9" s="262"/>
      <c r="E9" s="262">
        <v>41367000</v>
      </c>
      <c r="F9" s="262">
        <f>$E9*L10</f>
        <v>17628085.624662749</v>
      </c>
      <c r="G9" s="262">
        <f>$E9*M10</f>
        <v>12077997.385008568</v>
      </c>
      <c r="H9" s="262">
        <f>$E9*N10</f>
        <v>7059786.810006937</v>
      </c>
      <c r="I9" s="262">
        <f>$E9*O10</f>
        <v>4601375.4736336526</v>
      </c>
      <c r="J9" s="262"/>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row>
    <row r="10" spans="1:112">
      <c r="B10" s="262" t="s">
        <v>1829</v>
      </c>
      <c r="C10" s="262">
        <f t="shared" si="0"/>
        <v>73143993.580418706</v>
      </c>
      <c r="D10" s="262"/>
      <c r="E10" s="262">
        <v>41515000</v>
      </c>
      <c r="F10" s="262">
        <f t="shared" ref="F10:F57" si="1">$E10*L10</f>
        <v>17691154.173806999</v>
      </c>
      <c r="G10" s="262">
        <f t="shared" ref="G10:G57" si="2">$E10*M10</f>
        <v>12121209.211173899</v>
      </c>
      <c r="H10" s="262">
        <f t="shared" ref="H10:H57" si="3">$E10*N10</f>
        <v>7085044.8284245413</v>
      </c>
      <c r="I10" s="262">
        <f t="shared" ref="I10:I57" si="4">$E10*O10</f>
        <v>4617837.957499966</v>
      </c>
      <c r="J10" s="262"/>
      <c r="K10" s="268">
        <v>50592.9</v>
      </c>
      <c r="L10" s="269">
        <f t="shared" ref="L10:L57" si="5">Q10/$K10</f>
        <v>0.42613884556923998</v>
      </c>
      <c r="M10" s="269">
        <f t="shared" ref="M10:M57" si="6">R10/$K10</f>
        <v>0.29197179841440202</v>
      </c>
      <c r="N10" s="269">
        <f t="shared" ref="N10:N57" si="7">S10/$K10</f>
        <v>0.17066228660543276</v>
      </c>
      <c r="O10" s="269">
        <f t="shared" ref="O10:O57" si="8">T10/$K10</f>
        <v>0.11123299909671121</v>
      </c>
      <c r="P10" s="268"/>
      <c r="Q10" s="268">
        <f t="shared" ref="Q10:Q27" si="9">SUM(V10:AA10)</f>
        <v>21559.600000000002</v>
      </c>
      <c r="R10" s="268">
        <f t="shared" ref="R10:R27" si="10">SUM(AB10:AE10)</f>
        <v>14771.7</v>
      </c>
      <c r="S10" s="268">
        <f t="shared" ref="S10:S27" si="11">SUM(AF10:AH10)</f>
        <v>8634.2999999999993</v>
      </c>
      <c r="T10" s="268">
        <f t="shared" ref="T10:T27" si="12">SUM(AI10:AM10)</f>
        <v>5627.6</v>
      </c>
      <c r="U10" s="268"/>
      <c r="V10" s="284">
        <v>3959.8</v>
      </c>
      <c r="W10" s="284">
        <v>4203</v>
      </c>
      <c r="X10" s="284">
        <v>3362.2</v>
      </c>
      <c r="Y10" s="284">
        <v>3182.7</v>
      </c>
      <c r="Z10" s="284">
        <v>3294.4</v>
      </c>
      <c r="AA10" s="284">
        <v>3557.5</v>
      </c>
      <c r="AB10" s="284">
        <v>3816.8</v>
      </c>
      <c r="AC10" s="284">
        <v>3459.2</v>
      </c>
      <c r="AD10" s="284">
        <v>3795.1</v>
      </c>
      <c r="AE10" s="284">
        <v>3700.6</v>
      </c>
      <c r="AF10" s="284">
        <v>3343.4</v>
      </c>
      <c r="AG10" s="284">
        <v>2825.1</v>
      </c>
      <c r="AH10" s="284">
        <v>2465.8000000000002</v>
      </c>
      <c r="AI10" s="284">
        <v>2090.1999999999998</v>
      </c>
      <c r="AJ10" s="284">
        <v>1643.3</v>
      </c>
      <c r="AK10" s="284">
        <v>1100.5999999999999</v>
      </c>
      <c r="AL10" s="284">
        <v>545.5</v>
      </c>
      <c r="AM10" s="284">
        <v>248</v>
      </c>
    </row>
    <row r="11" spans="1:112">
      <c r="B11" s="262" t="s">
        <v>1830</v>
      </c>
      <c r="C11" s="262">
        <f t="shared" si="0"/>
        <v>73639080.886889637</v>
      </c>
      <c r="D11" s="262"/>
      <c r="E11" s="262">
        <v>41673000</v>
      </c>
      <c r="F11" s="262">
        <f t="shared" si="1"/>
        <v>17686412.310474362</v>
      </c>
      <c r="G11" s="262">
        <f t="shared" si="2"/>
        <v>12091473.70525698</v>
      </c>
      <c r="H11" s="262">
        <f t="shared" si="3"/>
        <v>7203742.0382981161</v>
      </c>
      <c r="I11" s="262">
        <f t="shared" si="4"/>
        <v>4691618.2165236212</v>
      </c>
      <c r="J11" s="262"/>
      <c r="K11" s="268">
        <v>50764.9</v>
      </c>
      <c r="L11" s="269">
        <f t="shared" si="5"/>
        <v>0.42440938522483052</v>
      </c>
      <c r="M11" s="269">
        <f t="shared" si="6"/>
        <v>0.29015126593374557</v>
      </c>
      <c r="N11" s="269">
        <f t="shared" si="7"/>
        <v>0.17286353366203816</v>
      </c>
      <c r="O11" s="269">
        <f t="shared" si="8"/>
        <v>0.1125817247744012</v>
      </c>
      <c r="P11" s="268"/>
      <c r="Q11" s="268">
        <f t="shared" si="9"/>
        <v>21545.1</v>
      </c>
      <c r="R11" s="268">
        <f t="shared" si="10"/>
        <v>14729.5</v>
      </c>
      <c r="S11" s="268">
        <f t="shared" si="11"/>
        <v>8775.4000000000015</v>
      </c>
      <c r="T11" s="268">
        <f t="shared" si="12"/>
        <v>5715.2</v>
      </c>
      <c r="U11" s="268"/>
      <c r="V11" s="284">
        <v>3894.8</v>
      </c>
      <c r="W11" s="284">
        <v>4255.5</v>
      </c>
      <c r="X11" s="284">
        <v>3460.8</v>
      </c>
      <c r="Y11" s="284">
        <v>3207.9</v>
      </c>
      <c r="Z11" s="284">
        <v>3235.8</v>
      </c>
      <c r="AA11" s="284">
        <v>3490.3</v>
      </c>
      <c r="AB11" s="284">
        <v>3963.9</v>
      </c>
      <c r="AC11" s="284">
        <v>3256.6</v>
      </c>
      <c r="AD11" s="284">
        <v>3784.4</v>
      </c>
      <c r="AE11" s="284">
        <v>3724.6</v>
      </c>
      <c r="AF11" s="284">
        <v>3409.8</v>
      </c>
      <c r="AG11" s="284">
        <v>2879.4</v>
      </c>
      <c r="AH11" s="284">
        <v>2486.1999999999998</v>
      </c>
      <c r="AI11" s="284">
        <v>2102.1999999999998</v>
      </c>
      <c r="AJ11" s="284">
        <v>1657.1</v>
      </c>
      <c r="AK11" s="284">
        <v>1124.7</v>
      </c>
      <c r="AL11" s="284">
        <v>568</v>
      </c>
      <c r="AM11" s="284">
        <v>263.2</v>
      </c>
    </row>
    <row r="12" spans="1:112">
      <c r="B12" s="262" t="s">
        <v>1831</v>
      </c>
      <c r="C12" s="262">
        <f t="shared" si="0"/>
        <v>74032085.265269369</v>
      </c>
      <c r="D12" s="262"/>
      <c r="E12" s="262">
        <v>41838000</v>
      </c>
      <c r="F12" s="262">
        <f t="shared" si="1"/>
        <v>17718989.740137126</v>
      </c>
      <c r="G12" s="262">
        <f t="shared" si="2"/>
        <v>12057493.138827115</v>
      </c>
      <c r="H12" s="262">
        <f t="shared" si="3"/>
        <v>7326850.3810890336</v>
      </c>
      <c r="I12" s="262">
        <f t="shared" si="4"/>
        <v>4734830.98411851</v>
      </c>
      <c r="J12" s="262"/>
      <c r="K12" s="268">
        <v>50946.1</v>
      </c>
      <c r="L12" s="269">
        <f t="shared" si="5"/>
        <v>0.42351426311336882</v>
      </c>
      <c r="M12" s="269">
        <f t="shared" si="6"/>
        <v>0.28819477840305741</v>
      </c>
      <c r="N12" s="269">
        <f t="shared" si="7"/>
        <v>0.17512429803262664</v>
      </c>
      <c r="O12" s="269">
        <f t="shared" si="8"/>
        <v>0.11317058616851929</v>
      </c>
      <c r="P12" s="268"/>
      <c r="Q12" s="268">
        <f t="shared" si="9"/>
        <v>21576.399999999998</v>
      </c>
      <c r="R12" s="268">
        <f t="shared" si="10"/>
        <v>14682.400000000001</v>
      </c>
      <c r="S12" s="268">
        <f t="shared" si="11"/>
        <v>8921.9</v>
      </c>
      <c r="T12" s="268">
        <f t="shared" si="12"/>
        <v>5765.6</v>
      </c>
      <c r="U12" s="268"/>
      <c r="V12" s="284">
        <v>3849.9</v>
      </c>
      <c r="W12" s="284">
        <v>4280.8999999999996</v>
      </c>
      <c r="X12" s="284">
        <v>3562.9</v>
      </c>
      <c r="Y12" s="284">
        <v>3239.7</v>
      </c>
      <c r="Z12" s="284">
        <v>3205.2</v>
      </c>
      <c r="AA12" s="284">
        <v>3437.8</v>
      </c>
      <c r="AB12" s="284">
        <v>3802</v>
      </c>
      <c r="AC12" s="284">
        <v>3371.9</v>
      </c>
      <c r="AD12" s="284">
        <v>3774.3</v>
      </c>
      <c r="AE12" s="284">
        <v>3734.2</v>
      </c>
      <c r="AF12" s="284">
        <v>3464</v>
      </c>
      <c r="AG12" s="284">
        <v>2946</v>
      </c>
      <c r="AH12" s="284">
        <v>2511.9</v>
      </c>
      <c r="AI12" s="284">
        <v>2107</v>
      </c>
      <c r="AJ12" s="284">
        <v>1665.1</v>
      </c>
      <c r="AK12" s="284">
        <v>1134.5</v>
      </c>
      <c r="AL12" s="284">
        <v>586.20000000000005</v>
      </c>
      <c r="AM12" s="284">
        <v>272.8</v>
      </c>
    </row>
    <row r="13" spans="1:112">
      <c r="B13" s="262" t="s">
        <v>1832</v>
      </c>
      <c r="C13" s="262">
        <f t="shared" si="0"/>
        <v>74584346.3997491</v>
      </c>
      <c r="D13" s="262"/>
      <c r="E13" s="262">
        <v>42059000</v>
      </c>
      <c r="F13" s="262">
        <f t="shared" si="1"/>
        <v>17798582.240370434</v>
      </c>
      <c r="G13" s="262">
        <f t="shared" si="2"/>
        <v>12015413.246456375</v>
      </c>
      <c r="H13" s="262">
        <f t="shared" si="3"/>
        <v>7449390.2234118422</v>
      </c>
      <c r="I13" s="262">
        <f t="shared" si="4"/>
        <v>4795614.2897613496</v>
      </c>
      <c r="J13" s="262"/>
      <c r="K13" s="268">
        <v>51183.5</v>
      </c>
      <c r="L13" s="269">
        <f t="shared" si="5"/>
        <v>0.42318129866070125</v>
      </c>
      <c r="M13" s="269">
        <f t="shared" si="6"/>
        <v>0.28567995545439445</v>
      </c>
      <c r="N13" s="269">
        <f t="shared" si="7"/>
        <v>0.17711762579737611</v>
      </c>
      <c r="O13" s="269">
        <f t="shared" si="8"/>
        <v>0.11402112008752822</v>
      </c>
      <c r="P13" s="268"/>
      <c r="Q13" s="268">
        <f t="shared" si="9"/>
        <v>21659.9</v>
      </c>
      <c r="R13" s="268">
        <f t="shared" si="10"/>
        <v>14622.099999999999</v>
      </c>
      <c r="S13" s="268">
        <f t="shared" si="11"/>
        <v>9065.5</v>
      </c>
      <c r="T13" s="268">
        <f t="shared" si="12"/>
        <v>5836.0000000000009</v>
      </c>
      <c r="U13" s="268"/>
      <c r="V13" s="284">
        <v>3860.5</v>
      </c>
      <c r="W13" s="284">
        <v>4278.2</v>
      </c>
      <c r="X13" s="284">
        <v>3709.9</v>
      </c>
      <c r="Y13" s="284">
        <v>3216.8</v>
      </c>
      <c r="Z13" s="284">
        <v>3187.8</v>
      </c>
      <c r="AA13" s="284">
        <v>3406.7</v>
      </c>
      <c r="AB13" s="284">
        <v>3682</v>
      </c>
      <c r="AC13" s="284">
        <v>3497.8</v>
      </c>
      <c r="AD13" s="284">
        <v>3701.6</v>
      </c>
      <c r="AE13" s="284">
        <v>3740.7</v>
      </c>
      <c r="AF13" s="284">
        <v>3507.5</v>
      </c>
      <c r="AG13" s="284">
        <v>3021.7</v>
      </c>
      <c r="AH13" s="284">
        <v>2536.3000000000002</v>
      </c>
      <c r="AI13" s="284">
        <v>2124.4</v>
      </c>
      <c r="AJ13" s="284">
        <v>1675.2</v>
      </c>
      <c r="AK13" s="284">
        <v>1149.3</v>
      </c>
      <c r="AL13" s="284">
        <v>605.29999999999995</v>
      </c>
      <c r="AM13" s="284">
        <v>281.8</v>
      </c>
    </row>
    <row r="14" spans="1:112">
      <c r="B14" s="262" t="s">
        <v>1833</v>
      </c>
      <c r="C14" s="262">
        <f t="shared" si="0"/>
        <v>75269909.850734174</v>
      </c>
      <c r="D14" s="262"/>
      <c r="E14" s="262">
        <v>42296000</v>
      </c>
      <c r="F14" s="262">
        <f t="shared" si="1"/>
        <v>17890406.492683288</v>
      </c>
      <c r="G14" s="262">
        <f t="shared" si="2"/>
        <v>11945962.426745376</v>
      </c>
      <c r="H14" s="262">
        <f t="shared" si="3"/>
        <v>7577887.3580114413</v>
      </c>
      <c r="I14" s="262">
        <f t="shared" si="4"/>
        <v>4881661.4829419293</v>
      </c>
      <c r="J14" s="262"/>
      <c r="K14" s="268">
        <v>51430.2</v>
      </c>
      <c r="L14" s="269">
        <f t="shared" si="5"/>
        <v>0.42298105004452641</v>
      </c>
      <c r="M14" s="269">
        <f t="shared" si="6"/>
        <v>0.28243716726748097</v>
      </c>
      <c r="N14" s="269">
        <f t="shared" si="7"/>
        <v>0.17916321538706831</v>
      </c>
      <c r="O14" s="269">
        <f t="shared" si="8"/>
        <v>0.11541662291805203</v>
      </c>
      <c r="P14" s="268"/>
      <c r="Q14" s="268">
        <f t="shared" si="9"/>
        <v>21754</v>
      </c>
      <c r="R14" s="268">
        <f t="shared" si="10"/>
        <v>14525.8</v>
      </c>
      <c r="S14" s="268">
        <f t="shared" si="11"/>
        <v>9214.4</v>
      </c>
      <c r="T14" s="268">
        <f t="shared" si="12"/>
        <v>5935.9</v>
      </c>
      <c r="U14" s="268"/>
      <c r="V14" s="284">
        <v>3905.8</v>
      </c>
      <c r="W14" s="284">
        <v>4030.5</v>
      </c>
      <c r="X14" s="284">
        <v>4020.7</v>
      </c>
      <c r="Y14" s="284">
        <v>3247.6</v>
      </c>
      <c r="Z14" s="284">
        <v>3172.9</v>
      </c>
      <c r="AA14" s="284">
        <v>3376.5</v>
      </c>
      <c r="AB14" s="284">
        <v>3579.4</v>
      </c>
      <c r="AC14" s="284">
        <v>3618.6</v>
      </c>
      <c r="AD14" s="284">
        <v>3593</v>
      </c>
      <c r="AE14" s="284">
        <v>3734.8</v>
      </c>
      <c r="AF14" s="284">
        <v>3544.6</v>
      </c>
      <c r="AG14" s="284">
        <v>3095.3</v>
      </c>
      <c r="AH14" s="284">
        <v>2574.5</v>
      </c>
      <c r="AI14" s="284">
        <v>2147.5</v>
      </c>
      <c r="AJ14" s="284">
        <v>1691.4</v>
      </c>
      <c r="AK14" s="284">
        <v>1170.0999999999999</v>
      </c>
      <c r="AL14" s="284">
        <v>627.20000000000005</v>
      </c>
      <c r="AM14" s="284">
        <v>299.7</v>
      </c>
    </row>
    <row r="15" spans="1:112">
      <c r="B15" s="262" t="s">
        <v>1834</v>
      </c>
      <c r="C15" s="262">
        <f t="shared" si="0"/>
        <v>75744889.094802439</v>
      </c>
      <c r="D15" s="262"/>
      <c r="E15" s="262">
        <v>42494000</v>
      </c>
      <c r="F15" s="262">
        <f t="shared" si="1"/>
        <v>18016337.141474277</v>
      </c>
      <c r="G15" s="262">
        <f t="shared" si="2"/>
        <v>11853318.851943275</v>
      </c>
      <c r="H15" s="262">
        <f t="shared" si="3"/>
        <v>7700790.610328638</v>
      </c>
      <c r="I15" s="262">
        <f t="shared" si="4"/>
        <v>4923471.1272445666</v>
      </c>
      <c r="J15" s="262"/>
      <c r="K15" s="268">
        <v>51652.5</v>
      </c>
      <c r="L15" s="269">
        <f t="shared" si="5"/>
        <v>0.42397367019989352</v>
      </c>
      <c r="M15" s="269">
        <f t="shared" si="6"/>
        <v>0.27894099995159966</v>
      </c>
      <c r="N15" s="269">
        <f t="shared" si="7"/>
        <v>0.1812206572769953</v>
      </c>
      <c r="O15" s="269">
        <f t="shared" si="8"/>
        <v>0.11586273655679782</v>
      </c>
      <c r="P15" s="268"/>
      <c r="Q15" s="268">
        <f t="shared" si="9"/>
        <v>21899.3</v>
      </c>
      <c r="R15" s="268">
        <f t="shared" si="10"/>
        <v>14408</v>
      </c>
      <c r="S15" s="268">
        <f t="shared" si="11"/>
        <v>9360.5</v>
      </c>
      <c r="T15" s="268">
        <f t="shared" si="12"/>
        <v>5984.5999999999995</v>
      </c>
      <c r="U15" s="268"/>
      <c r="V15" s="284">
        <v>3970.5</v>
      </c>
      <c r="W15" s="284">
        <v>3900.7</v>
      </c>
      <c r="X15" s="284">
        <v>4169.1000000000004</v>
      </c>
      <c r="Y15" s="284">
        <v>3314</v>
      </c>
      <c r="Z15" s="284">
        <v>3210.3</v>
      </c>
      <c r="AA15" s="284">
        <v>3334.7</v>
      </c>
      <c r="AB15" s="284">
        <v>3509.1</v>
      </c>
      <c r="AC15" s="284">
        <v>3764.1</v>
      </c>
      <c r="AD15" s="284">
        <v>3410.3</v>
      </c>
      <c r="AE15" s="284">
        <v>3724.5</v>
      </c>
      <c r="AF15" s="284">
        <v>3581.4</v>
      </c>
      <c r="AG15" s="284">
        <v>3169</v>
      </c>
      <c r="AH15" s="284">
        <v>2610.1</v>
      </c>
      <c r="AI15" s="284">
        <v>2163.6999999999998</v>
      </c>
      <c r="AJ15" s="284">
        <v>1696.7</v>
      </c>
      <c r="AK15" s="284">
        <v>1179.3</v>
      </c>
      <c r="AL15" s="284">
        <v>638.5</v>
      </c>
      <c r="AM15" s="284">
        <v>306.39999999999998</v>
      </c>
    </row>
    <row r="16" spans="1:112">
      <c r="B16" s="262" t="s">
        <v>1835</v>
      </c>
      <c r="C16" s="262">
        <f t="shared" si="0"/>
        <v>76359414.372252852</v>
      </c>
      <c r="D16" s="262"/>
      <c r="E16" s="262">
        <v>42763000</v>
      </c>
      <c r="F16" s="262">
        <f t="shared" si="1"/>
        <v>18186598.221967306</v>
      </c>
      <c r="G16" s="262">
        <f t="shared" si="2"/>
        <v>11778769.716088329</v>
      </c>
      <c r="H16" s="262">
        <f t="shared" si="3"/>
        <v>7822581.3019787772</v>
      </c>
      <c r="I16" s="262">
        <f t="shared" si="4"/>
        <v>4975133.0656724973</v>
      </c>
      <c r="J16" s="262"/>
      <c r="K16" s="284">
        <v>51956.3</v>
      </c>
      <c r="L16" s="269">
        <f t="shared" si="5"/>
        <v>0.42528817487003501</v>
      </c>
      <c r="M16" s="269">
        <f t="shared" si="6"/>
        <v>0.27544301653504966</v>
      </c>
      <c r="N16" s="269">
        <f t="shared" si="7"/>
        <v>0.18292873049081629</v>
      </c>
      <c r="O16" s="269">
        <f t="shared" si="8"/>
        <v>0.11634200279850565</v>
      </c>
      <c r="P16" s="284"/>
      <c r="Q16" s="268">
        <f t="shared" si="9"/>
        <v>22096.400000000001</v>
      </c>
      <c r="R16" s="268">
        <f t="shared" si="10"/>
        <v>14311</v>
      </c>
      <c r="S16" s="268">
        <f t="shared" si="11"/>
        <v>9504.2999999999993</v>
      </c>
      <c r="T16" s="268">
        <f t="shared" si="12"/>
        <v>6044.7</v>
      </c>
      <c r="U16" s="284"/>
      <c r="V16" s="284">
        <v>4049.6</v>
      </c>
      <c r="W16" s="284">
        <v>3834.9</v>
      </c>
      <c r="X16" s="284">
        <v>4222.8</v>
      </c>
      <c r="Y16" s="284">
        <v>3439.6</v>
      </c>
      <c r="Z16" s="284">
        <v>3260.8</v>
      </c>
      <c r="AA16" s="284">
        <v>3288.7</v>
      </c>
      <c r="AB16" s="284">
        <v>3452</v>
      </c>
      <c r="AC16" s="284">
        <v>3916</v>
      </c>
      <c r="AD16" s="284">
        <v>3221</v>
      </c>
      <c r="AE16" s="284">
        <v>3722</v>
      </c>
      <c r="AF16" s="284">
        <v>3606.1</v>
      </c>
      <c r="AG16" s="284">
        <v>3238.6</v>
      </c>
      <c r="AH16" s="284">
        <v>2659.6</v>
      </c>
      <c r="AI16" s="284">
        <v>2184.5</v>
      </c>
      <c r="AJ16" s="284">
        <v>1707.4</v>
      </c>
      <c r="AK16" s="284">
        <v>1186.8</v>
      </c>
      <c r="AL16" s="284">
        <v>652.20000000000005</v>
      </c>
      <c r="AM16" s="284">
        <v>313.8</v>
      </c>
    </row>
    <row r="17" spans="2:112">
      <c r="B17" s="262" t="s">
        <v>1836</v>
      </c>
      <c r="C17" s="262">
        <f t="shared" si="0"/>
        <v>77262209.88552323</v>
      </c>
      <c r="D17" s="262"/>
      <c r="E17" s="262">
        <v>43146000</v>
      </c>
      <c r="F17" s="262">
        <f t="shared" si="1"/>
        <v>18434745.857081484</v>
      </c>
      <c r="G17" s="262">
        <f t="shared" si="2"/>
        <v>11716500.300730346</v>
      </c>
      <c r="H17" s="262">
        <f t="shared" si="3"/>
        <v>7937842.451668337</v>
      </c>
      <c r="I17" s="262">
        <f t="shared" si="4"/>
        <v>5056911.3905198341</v>
      </c>
      <c r="J17" s="262"/>
      <c r="K17" s="284">
        <v>52372.5</v>
      </c>
      <c r="L17" s="269">
        <f t="shared" si="5"/>
        <v>0.42726430855888115</v>
      </c>
      <c r="M17" s="269">
        <f t="shared" si="6"/>
        <v>0.27155472814931503</v>
      </c>
      <c r="N17" s="269">
        <f t="shared" si="7"/>
        <v>0.18397632345219342</v>
      </c>
      <c r="O17" s="269">
        <f t="shared" si="8"/>
        <v>0.11720463983961049</v>
      </c>
      <c r="P17" s="284"/>
      <c r="Q17" s="268">
        <f t="shared" si="9"/>
        <v>22376.9</v>
      </c>
      <c r="R17" s="268">
        <f t="shared" si="10"/>
        <v>14222</v>
      </c>
      <c r="S17" s="268">
        <f t="shared" si="11"/>
        <v>9635.2999999999993</v>
      </c>
      <c r="T17" s="268">
        <f t="shared" si="12"/>
        <v>6138.3</v>
      </c>
      <c r="U17" s="284"/>
      <c r="V17" s="284">
        <v>4155.3</v>
      </c>
      <c r="W17" s="284">
        <v>3804.7</v>
      </c>
      <c r="X17" s="284">
        <v>4261.1000000000004</v>
      </c>
      <c r="Y17" s="284">
        <v>3571.2</v>
      </c>
      <c r="Z17" s="284">
        <v>3311.2</v>
      </c>
      <c r="AA17" s="284">
        <v>3273.4</v>
      </c>
      <c r="AB17" s="284">
        <v>3408.7</v>
      </c>
      <c r="AC17" s="284">
        <v>3762</v>
      </c>
      <c r="AD17" s="284">
        <v>3341.1</v>
      </c>
      <c r="AE17" s="284">
        <v>3710.2</v>
      </c>
      <c r="AF17" s="284">
        <v>3618.4</v>
      </c>
      <c r="AG17" s="284">
        <v>3293.5</v>
      </c>
      <c r="AH17" s="284">
        <v>2723.4</v>
      </c>
      <c r="AI17" s="284">
        <v>2209</v>
      </c>
      <c r="AJ17" s="284">
        <v>1726.3</v>
      </c>
      <c r="AK17" s="284">
        <v>1195.7</v>
      </c>
      <c r="AL17" s="284">
        <v>672.2</v>
      </c>
      <c r="AM17" s="284">
        <v>335.1</v>
      </c>
    </row>
    <row r="18" spans="2:112">
      <c r="B18" s="262" t="s">
        <v>1837</v>
      </c>
      <c r="C18" s="262">
        <f t="shared" si="0"/>
        <v>78142698.361679301</v>
      </c>
      <c r="D18" s="262"/>
      <c r="E18" s="262">
        <v>43566000</v>
      </c>
      <c r="F18" s="262">
        <f t="shared" si="1"/>
        <v>18708397.410211444</v>
      </c>
      <c r="G18" s="262">
        <f t="shared" si="2"/>
        <v>11690304.324772662</v>
      </c>
      <c r="H18" s="262">
        <f t="shared" si="3"/>
        <v>8045545.6091381134</v>
      </c>
      <c r="I18" s="262">
        <f t="shared" si="4"/>
        <v>5121752.6558777746</v>
      </c>
      <c r="J18" s="262"/>
      <c r="K18" s="284">
        <v>52807.4</v>
      </c>
      <c r="L18" s="269">
        <f t="shared" si="5"/>
        <v>0.42942655764154258</v>
      </c>
      <c r="M18" s="269">
        <f t="shared" si="6"/>
        <v>0.26833549843393156</v>
      </c>
      <c r="N18" s="269">
        <f t="shared" si="7"/>
        <v>0.18467487511220018</v>
      </c>
      <c r="O18" s="269">
        <f t="shared" si="8"/>
        <v>0.11756306881232553</v>
      </c>
      <c r="P18" s="284"/>
      <c r="Q18" s="268">
        <f t="shared" si="9"/>
        <v>22676.899999999998</v>
      </c>
      <c r="R18" s="268">
        <f t="shared" si="10"/>
        <v>14170.099999999999</v>
      </c>
      <c r="S18" s="268">
        <f t="shared" si="11"/>
        <v>9752.2000000000007</v>
      </c>
      <c r="T18" s="268">
        <f t="shared" si="12"/>
        <v>6208.2</v>
      </c>
      <c r="U18" s="284"/>
      <c r="V18" s="284">
        <v>4273.5</v>
      </c>
      <c r="W18" s="284">
        <v>3818.5</v>
      </c>
      <c r="X18" s="284">
        <v>4267</v>
      </c>
      <c r="Y18" s="284">
        <v>3747.9</v>
      </c>
      <c r="Z18" s="284">
        <v>3307.7</v>
      </c>
      <c r="AA18" s="284">
        <v>3262.3</v>
      </c>
      <c r="AB18" s="284">
        <v>3392.6</v>
      </c>
      <c r="AC18" s="284">
        <v>3651.2</v>
      </c>
      <c r="AD18" s="284">
        <v>3485.5</v>
      </c>
      <c r="AE18" s="284">
        <v>3640.8</v>
      </c>
      <c r="AF18" s="284">
        <v>3624.8</v>
      </c>
      <c r="AG18" s="284">
        <v>3339</v>
      </c>
      <c r="AH18" s="284">
        <v>2788.4</v>
      </c>
      <c r="AI18" s="284">
        <v>2238.5</v>
      </c>
      <c r="AJ18" s="284">
        <v>1738.6</v>
      </c>
      <c r="AK18" s="284">
        <v>1203.5999999999999</v>
      </c>
      <c r="AL18" s="284">
        <v>681.5</v>
      </c>
      <c r="AM18" s="284">
        <v>346</v>
      </c>
    </row>
    <row r="19" spans="2:112">
      <c r="B19" s="262" t="s">
        <v>1838</v>
      </c>
      <c r="C19" s="262">
        <f t="shared" si="0"/>
        <v>79054538.691691607</v>
      </c>
      <c r="D19" s="262"/>
      <c r="E19" s="262">
        <v>44006000</v>
      </c>
      <c r="F19" s="262">
        <f t="shared" si="1"/>
        <v>19011948.220927048</v>
      </c>
      <c r="G19" s="262">
        <f t="shared" si="2"/>
        <v>11662310.884601384</v>
      </c>
      <c r="H19" s="262">
        <f t="shared" si="3"/>
        <v>8146408.873410169</v>
      </c>
      <c r="I19" s="262">
        <f t="shared" si="4"/>
        <v>5185414.5966171157</v>
      </c>
      <c r="J19" s="262"/>
      <c r="K19" s="284">
        <v>53291.8</v>
      </c>
      <c r="L19" s="269">
        <f t="shared" si="5"/>
        <v>0.4320308190002965</v>
      </c>
      <c r="M19" s="269">
        <f t="shared" si="6"/>
        <v>0.26501638150709866</v>
      </c>
      <c r="N19" s="269">
        <f t="shared" si="7"/>
        <v>0.18512041252125094</v>
      </c>
      <c r="O19" s="269">
        <f t="shared" si="8"/>
        <v>0.11783426343264818</v>
      </c>
      <c r="P19" s="284"/>
      <c r="Q19" s="268">
        <f t="shared" si="9"/>
        <v>23023.7</v>
      </c>
      <c r="R19" s="268">
        <f t="shared" si="10"/>
        <v>14123.2</v>
      </c>
      <c r="S19" s="268">
        <f t="shared" si="11"/>
        <v>9865.4000000000015</v>
      </c>
      <c r="T19" s="268">
        <f t="shared" si="12"/>
        <v>6279.6</v>
      </c>
      <c r="U19" s="284"/>
      <c r="V19" s="284">
        <v>4415.3999999999996</v>
      </c>
      <c r="W19" s="284">
        <v>3882.3</v>
      </c>
      <c r="X19" s="284">
        <v>4063.5</v>
      </c>
      <c r="Y19" s="284">
        <v>4029.9</v>
      </c>
      <c r="Z19" s="284">
        <v>3347.6</v>
      </c>
      <c r="AA19" s="284">
        <v>3285</v>
      </c>
      <c r="AB19" s="284">
        <v>3392.9</v>
      </c>
      <c r="AC19" s="284">
        <v>3569.1</v>
      </c>
      <c r="AD19" s="284">
        <v>3616</v>
      </c>
      <c r="AE19" s="284">
        <v>3545.2</v>
      </c>
      <c r="AF19" s="284">
        <v>3627.8</v>
      </c>
      <c r="AG19" s="284">
        <v>3377.9</v>
      </c>
      <c r="AH19" s="284">
        <v>2859.7</v>
      </c>
      <c r="AI19" s="284">
        <v>2264.5</v>
      </c>
      <c r="AJ19" s="284">
        <v>1754.3</v>
      </c>
      <c r="AK19" s="284">
        <v>1219.8</v>
      </c>
      <c r="AL19" s="284">
        <v>685</v>
      </c>
      <c r="AM19" s="284">
        <v>356</v>
      </c>
    </row>
    <row r="20" spans="2:112">
      <c r="B20" s="262" t="s">
        <v>1839</v>
      </c>
      <c r="C20" s="262">
        <f t="shared" si="0"/>
        <v>79787010.287894502</v>
      </c>
      <c r="D20" s="262"/>
      <c r="E20" s="262">
        <v>44311000</v>
      </c>
      <c r="F20" s="262">
        <f t="shared" si="1"/>
        <v>19264434.259084865</v>
      </c>
      <c r="G20" s="262">
        <f t="shared" si="2"/>
        <v>11549141.419377938</v>
      </c>
      <c r="H20" s="262">
        <f t="shared" si="3"/>
        <v>8251818.4518759008</v>
      </c>
      <c r="I20" s="262">
        <f t="shared" si="4"/>
        <v>5245605.8696612958</v>
      </c>
      <c r="J20" s="262"/>
      <c r="K20" s="284">
        <v>53624.9</v>
      </c>
      <c r="L20" s="269">
        <f t="shared" si="5"/>
        <v>0.43475512308647662</v>
      </c>
      <c r="M20" s="269">
        <f t="shared" si="6"/>
        <v>0.26063824827645365</v>
      </c>
      <c r="N20" s="269">
        <f t="shared" si="7"/>
        <v>0.18622505589754013</v>
      </c>
      <c r="O20" s="269">
        <f t="shared" si="8"/>
        <v>0.11838157273952959</v>
      </c>
      <c r="P20" s="284"/>
      <c r="Q20" s="268">
        <f t="shared" si="9"/>
        <v>23313.7</v>
      </c>
      <c r="R20" s="268">
        <f t="shared" si="10"/>
        <v>13976.699999999999</v>
      </c>
      <c r="S20" s="268">
        <f t="shared" si="11"/>
        <v>9986.2999999999993</v>
      </c>
      <c r="T20" s="268">
        <f t="shared" si="12"/>
        <v>6348.2000000000007</v>
      </c>
      <c r="U20" s="284"/>
      <c r="V20" s="284">
        <v>4534.1000000000004</v>
      </c>
      <c r="W20" s="284">
        <v>3961.8</v>
      </c>
      <c r="X20" s="284">
        <v>3925.7</v>
      </c>
      <c r="Y20" s="284">
        <v>4176.8999999999996</v>
      </c>
      <c r="Z20" s="284">
        <v>3408.3</v>
      </c>
      <c r="AA20" s="284">
        <v>3306.9</v>
      </c>
      <c r="AB20" s="284">
        <v>3355.5</v>
      </c>
      <c r="AC20" s="284">
        <v>3502.9</v>
      </c>
      <c r="AD20" s="284">
        <v>3753.4</v>
      </c>
      <c r="AE20" s="284">
        <v>3364.9</v>
      </c>
      <c r="AF20" s="284">
        <v>3625.3</v>
      </c>
      <c r="AG20" s="284">
        <v>3416.3</v>
      </c>
      <c r="AH20" s="284">
        <v>2944.7</v>
      </c>
      <c r="AI20" s="284">
        <v>2288.6999999999998</v>
      </c>
      <c r="AJ20" s="284">
        <v>1771.8</v>
      </c>
      <c r="AK20" s="284">
        <v>1238.8</v>
      </c>
      <c r="AL20" s="284">
        <v>687.1</v>
      </c>
      <c r="AM20" s="284">
        <v>361.8</v>
      </c>
    </row>
    <row r="21" spans="2:112">
      <c r="B21" s="262" t="s">
        <v>1840</v>
      </c>
      <c r="C21" s="262">
        <f t="shared" si="0"/>
        <v>80730745.410220399</v>
      </c>
      <c r="D21" s="262"/>
      <c r="E21" s="262">
        <v>44648000</v>
      </c>
      <c r="F21" s="262">
        <f t="shared" si="1"/>
        <v>19525085.725716237</v>
      </c>
      <c r="G21" s="262">
        <f t="shared" si="2"/>
        <v>11431752.950502679</v>
      </c>
      <c r="H21" s="262">
        <f t="shared" si="3"/>
        <v>8344479.2223860342</v>
      </c>
      <c r="I21" s="262">
        <f t="shared" si="4"/>
        <v>5346764.7969654081</v>
      </c>
      <c r="J21" s="262"/>
      <c r="K21" s="284">
        <v>53990.8</v>
      </c>
      <c r="L21" s="269">
        <f t="shared" si="5"/>
        <v>0.43731154196640915</v>
      </c>
      <c r="M21" s="269">
        <f t="shared" si="6"/>
        <v>0.25604177007934686</v>
      </c>
      <c r="N21" s="269">
        <f t="shared" si="7"/>
        <v>0.18689480429999181</v>
      </c>
      <c r="O21" s="269">
        <f t="shared" si="8"/>
        <v>0.11975373582165849</v>
      </c>
      <c r="P21" s="284"/>
      <c r="Q21" s="268">
        <f t="shared" si="9"/>
        <v>23610.800000000003</v>
      </c>
      <c r="R21" s="268">
        <f t="shared" si="10"/>
        <v>13823.900000000001</v>
      </c>
      <c r="S21" s="268">
        <f t="shared" si="11"/>
        <v>10090.599999999999</v>
      </c>
      <c r="T21" s="268">
        <f t="shared" si="12"/>
        <v>6465.5999999999995</v>
      </c>
      <c r="U21" s="284"/>
      <c r="V21" s="284">
        <v>4643.2</v>
      </c>
      <c r="W21" s="284">
        <v>4039.5</v>
      </c>
      <c r="X21" s="284">
        <v>3862.5</v>
      </c>
      <c r="Y21" s="284">
        <v>4226.8</v>
      </c>
      <c r="Z21" s="284">
        <v>3495.4</v>
      </c>
      <c r="AA21" s="284">
        <v>3343.4</v>
      </c>
      <c r="AB21" s="284">
        <v>3301.3</v>
      </c>
      <c r="AC21" s="284">
        <v>3452.5</v>
      </c>
      <c r="AD21" s="284">
        <v>3863.4</v>
      </c>
      <c r="AE21" s="284">
        <v>3206.7</v>
      </c>
      <c r="AF21" s="284">
        <v>3619.6</v>
      </c>
      <c r="AG21" s="284">
        <v>3450.7</v>
      </c>
      <c r="AH21" s="284">
        <v>3020.3</v>
      </c>
      <c r="AI21" s="284">
        <v>2330.3000000000002</v>
      </c>
      <c r="AJ21" s="284">
        <v>1788.7</v>
      </c>
      <c r="AK21" s="284">
        <v>1267.9000000000001</v>
      </c>
      <c r="AL21" s="284">
        <v>700.9</v>
      </c>
      <c r="AM21" s="284">
        <v>377.8</v>
      </c>
    </row>
    <row r="22" spans="2:112">
      <c r="B22" s="262" t="s">
        <v>1841</v>
      </c>
      <c r="C22" s="262">
        <f t="shared" si="0"/>
        <v>81743096.47638239</v>
      </c>
      <c r="D22" s="262"/>
      <c r="E22" s="262">
        <v>44979000</v>
      </c>
      <c r="F22" s="262">
        <f t="shared" si="1"/>
        <v>19776459.277454253</v>
      </c>
      <c r="G22" s="262">
        <f t="shared" si="2"/>
        <v>11335888.140645269</v>
      </c>
      <c r="H22" s="262">
        <f t="shared" si="3"/>
        <v>8398364.1431843899</v>
      </c>
      <c r="I22" s="262">
        <f t="shared" si="4"/>
        <v>5468205.6799050588</v>
      </c>
      <c r="J22" s="262"/>
      <c r="K22" s="282">
        <v>54349500</v>
      </c>
      <c r="L22" s="269">
        <f t="shared" si="5"/>
        <v>0.43968205779261998</v>
      </c>
      <c r="M22" s="269">
        <f t="shared" si="6"/>
        <v>0.2520262375918822</v>
      </c>
      <c r="N22" s="269">
        <f t="shared" si="7"/>
        <v>0.18671744910256763</v>
      </c>
      <c r="O22" s="269">
        <f t="shared" si="8"/>
        <v>0.12157241556960045</v>
      </c>
      <c r="P22" s="282"/>
      <c r="Q22" s="268">
        <f t="shared" si="9"/>
        <v>23896500</v>
      </c>
      <c r="R22" s="268">
        <f t="shared" si="10"/>
        <v>13697500</v>
      </c>
      <c r="S22" s="268">
        <f t="shared" si="11"/>
        <v>10148000</v>
      </c>
      <c r="T22" s="268">
        <f t="shared" si="12"/>
        <v>6607400</v>
      </c>
      <c r="U22" s="282"/>
      <c r="V22" s="282">
        <v>4743900</v>
      </c>
      <c r="W22" s="282">
        <v>4137300</v>
      </c>
      <c r="X22" s="282">
        <v>3824000</v>
      </c>
      <c r="Y22" s="282">
        <v>4245100</v>
      </c>
      <c r="Z22" s="283">
        <v>3580400</v>
      </c>
      <c r="AA22" s="282">
        <v>3365800</v>
      </c>
      <c r="AB22" s="282">
        <v>3262500</v>
      </c>
      <c r="AC22" s="282">
        <v>3416900</v>
      </c>
      <c r="AD22" s="282">
        <v>3722000</v>
      </c>
      <c r="AE22" s="282">
        <v>3296100</v>
      </c>
      <c r="AF22" s="282">
        <v>3607800</v>
      </c>
      <c r="AG22" s="282">
        <v>3468600</v>
      </c>
      <c r="AH22" s="282">
        <v>3071600</v>
      </c>
      <c r="AI22" s="282">
        <v>2396800</v>
      </c>
      <c r="AJ22" s="282">
        <v>1814900</v>
      </c>
      <c r="AK22" s="282">
        <v>1286900</v>
      </c>
      <c r="AL22" s="282">
        <v>716500</v>
      </c>
      <c r="AM22" s="282">
        <v>392300</v>
      </c>
    </row>
    <row r="23" spans="2:112">
      <c r="B23" s="262" t="s">
        <v>1842</v>
      </c>
      <c r="C23" s="262">
        <f t="shared" si="0"/>
        <v>82505853.096303746</v>
      </c>
      <c r="D23" s="262"/>
      <c r="E23" s="262">
        <v>45265000</v>
      </c>
      <c r="F23" s="262">
        <f t="shared" si="1"/>
        <v>20026867.51386736</v>
      </c>
      <c r="G23" s="262">
        <f t="shared" si="2"/>
        <v>11327371.021197708</v>
      </c>
      <c r="H23" s="262">
        <f t="shared" si="3"/>
        <v>8364664.703610912</v>
      </c>
      <c r="I23" s="262">
        <f t="shared" si="4"/>
        <v>5546013.9231772954</v>
      </c>
      <c r="J23" s="262"/>
      <c r="K23" s="282">
        <v>54642700</v>
      </c>
      <c r="L23" s="269">
        <f t="shared" si="5"/>
        <v>0.44243604360692279</v>
      </c>
      <c r="M23" s="269">
        <f t="shared" si="6"/>
        <v>0.25024568698106059</v>
      </c>
      <c r="N23" s="269">
        <f t="shared" si="7"/>
        <v>0.18479321117001904</v>
      </c>
      <c r="O23" s="269">
        <f t="shared" si="8"/>
        <v>0.12252322817137513</v>
      </c>
      <c r="P23" s="282"/>
      <c r="Q23" s="268">
        <f t="shared" si="9"/>
        <v>24175900</v>
      </c>
      <c r="R23" s="268">
        <f t="shared" si="10"/>
        <v>13674100</v>
      </c>
      <c r="S23" s="268">
        <f t="shared" si="11"/>
        <v>10097600</v>
      </c>
      <c r="T23" s="268">
        <f t="shared" si="12"/>
        <v>6695000</v>
      </c>
      <c r="U23" s="282"/>
      <c r="V23" s="282">
        <v>4790900</v>
      </c>
      <c r="W23" s="282">
        <v>4243400</v>
      </c>
      <c r="X23" s="282">
        <v>3817700</v>
      </c>
      <c r="Y23" s="282">
        <v>4242700</v>
      </c>
      <c r="Z23" s="283">
        <v>3723400</v>
      </c>
      <c r="AA23" s="282">
        <v>3357800</v>
      </c>
      <c r="AB23" s="282">
        <v>3258000</v>
      </c>
      <c r="AC23" s="282">
        <v>3383600</v>
      </c>
      <c r="AD23" s="282">
        <v>3613200</v>
      </c>
      <c r="AE23" s="282">
        <v>3419300</v>
      </c>
      <c r="AF23" s="282">
        <v>3534500</v>
      </c>
      <c r="AG23" s="282">
        <v>3473400</v>
      </c>
      <c r="AH23" s="282">
        <v>3089700</v>
      </c>
      <c r="AI23" s="282">
        <v>2455100</v>
      </c>
      <c r="AJ23" s="282">
        <v>1830600</v>
      </c>
      <c r="AK23" s="282">
        <v>1266600</v>
      </c>
      <c r="AL23" s="282">
        <v>742600</v>
      </c>
      <c r="AM23" s="282">
        <v>400100</v>
      </c>
    </row>
    <row r="24" spans="2:112">
      <c r="B24" s="262" t="s">
        <v>1843</v>
      </c>
      <c r="C24" s="262">
        <f t="shared" si="0"/>
        <v>83494274.489198089</v>
      </c>
      <c r="D24" s="262"/>
      <c r="E24" s="262">
        <v>45562000</v>
      </c>
      <c r="F24" s="262">
        <f t="shared" si="1"/>
        <v>20242049.487799998</v>
      </c>
      <c r="G24" s="262">
        <f t="shared" si="2"/>
        <v>11329525.726450626</v>
      </c>
      <c r="H24" s="262">
        <f t="shared" si="3"/>
        <v>8311071.2058079662</v>
      </c>
      <c r="I24" s="262">
        <f t="shared" si="4"/>
        <v>5679270.6781418873</v>
      </c>
      <c r="J24" s="262"/>
      <c r="K24" s="282">
        <v>54959000</v>
      </c>
      <c r="L24" s="269">
        <f t="shared" si="5"/>
        <v>0.44427482304990995</v>
      </c>
      <c r="M24" s="269">
        <f t="shared" si="6"/>
        <v>0.24866172965301406</v>
      </c>
      <c r="N24" s="269">
        <f t="shared" si="7"/>
        <v>0.18241234374715698</v>
      </c>
      <c r="O24" s="269">
        <f t="shared" si="8"/>
        <v>0.12464928401171782</v>
      </c>
      <c r="P24" s="282"/>
      <c r="Q24" s="268">
        <f t="shared" si="9"/>
        <v>24416900</v>
      </c>
      <c r="R24" s="268">
        <f t="shared" si="10"/>
        <v>13666200</v>
      </c>
      <c r="S24" s="268">
        <f t="shared" si="11"/>
        <v>10025200</v>
      </c>
      <c r="T24" s="268">
        <f t="shared" si="12"/>
        <v>6850600</v>
      </c>
      <c r="U24" s="282"/>
      <c r="V24" s="282">
        <v>4800200</v>
      </c>
      <c r="W24" s="282">
        <v>4361500</v>
      </c>
      <c r="X24" s="282">
        <v>3858200</v>
      </c>
      <c r="Y24" s="282">
        <v>4041500</v>
      </c>
      <c r="Z24" s="282">
        <v>3994500</v>
      </c>
      <c r="AA24" s="282">
        <v>3361000</v>
      </c>
      <c r="AB24" s="282">
        <v>3254900</v>
      </c>
      <c r="AC24" s="282">
        <v>3349500</v>
      </c>
      <c r="AD24" s="282">
        <v>3522100</v>
      </c>
      <c r="AE24" s="282">
        <v>3539700</v>
      </c>
      <c r="AF24" s="282">
        <v>3430000</v>
      </c>
      <c r="AG24" s="282">
        <v>3467200</v>
      </c>
      <c r="AH24" s="282">
        <v>3128000</v>
      </c>
      <c r="AI24" s="282">
        <v>2520600</v>
      </c>
      <c r="AJ24" s="282">
        <v>1860100</v>
      </c>
      <c r="AK24" s="282">
        <v>1289800</v>
      </c>
      <c r="AL24" s="282">
        <v>762500</v>
      </c>
      <c r="AM24" s="282">
        <v>417600</v>
      </c>
    </row>
    <row r="25" spans="2:112">
      <c r="B25" s="262" t="s">
        <v>1844</v>
      </c>
      <c r="C25" s="262">
        <f t="shared" si="0"/>
        <v>84288362.254511893</v>
      </c>
      <c r="D25" s="262"/>
      <c r="E25" s="262">
        <v>45791000</v>
      </c>
      <c r="F25" s="262">
        <f t="shared" si="1"/>
        <v>20451546.830032513</v>
      </c>
      <c r="G25" s="262">
        <f t="shared" si="2"/>
        <v>11365831.519465348</v>
      </c>
      <c r="H25" s="262">
        <f t="shared" si="3"/>
        <v>8186623.1845472576</v>
      </c>
      <c r="I25" s="262">
        <f t="shared" si="4"/>
        <v>5786998.465954884</v>
      </c>
      <c r="J25" s="262"/>
      <c r="K25" s="280">
        <v>55213500</v>
      </c>
      <c r="L25" s="269">
        <f t="shared" si="5"/>
        <v>0.44662808914486496</v>
      </c>
      <c r="M25" s="269">
        <f t="shared" si="6"/>
        <v>0.2482110353446168</v>
      </c>
      <c r="N25" s="269">
        <f t="shared" si="7"/>
        <v>0.17878236300904671</v>
      </c>
      <c r="O25" s="269">
        <f t="shared" si="8"/>
        <v>0.12637851250147156</v>
      </c>
      <c r="P25" s="280"/>
      <c r="Q25" s="268">
        <f t="shared" si="9"/>
        <v>24659900</v>
      </c>
      <c r="R25" s="268">
        <f t="shared" si="10"/>
        <v>13704600</v>
      </c>
      <c r="S25" s="268">
        <f t="shared" si="11"/>
        <v>9871200</v>
      </c>
      <c r="T25" s="268">
        <f t="shared" si="12"/>
        <v>6977800</v>
      </c>
      <c r="U25" s="280"/>
      <c r="V25" s="280">
        <v>4779700</v>
      </c>
      <c r="W25" s="280">
        <v>4479300</v>
      </c>
      <c r="X25" s="280">
        <v>3933700</v>
      </c>
      <c r="Y25" s="280">
        <v>3923500</v>
      </c>
      <c r="Z25" s="280">
        <v>4141500</v>
      </c>
      <c r="AA25" s="280">
        <v>3402200</v>
      </c>
      <c r="AB25" s="280">
        <v>3268500</v>
      </c>
      <c r="AC25" s="280">
        <v>3306300</v>
      </c>
      <c r="AD25" s="280">
        <v>3456800</v>
      </c>
      <c r="AE25" s="280">
        <v>3673000</v>
      </c>
      <c r="AF25" s="280">
        <v>3251300</v>
      </c>
      <c r="AG25" s="280">
        <v>3457200</v>
      </c>
      <c r="AH25" s="280">
        <v>3162700</v>
      </c>
      <c r="AI25" s="280">
        <v>2593200</v>
      </c>
      <c r="AJ25" s="280">
        <v>1879000</v>
      </c>
      <c r="AK25" s="280">
        <v>1303400</v>
      </c>
      <c r="AL25" s="280">
        <v>780100</v>
      </c>
      <c r="AM25" s="280">
        <v>422100</v>
      </c>
    </row>
    <row r="26" spans="2:112">
      <c r="B26" s="262" t="s">
        <v>1845</v>
      </c>
      <c r="C26" s="262">
        <f t="shared" si="0"/>
        <v>85124727.374409676</v>
      </c>
      <c r="D26" s="262"/>
      <c r="E26" s="262">
        <v>46014000</v>
      </c>
      <c r="F26" s="262">
        <f t="shared" si="1"/>
        <v>20637545.241126131</v>
      </c>
      <c r="G26" s="262">
        <f t="shared" si="2"/>
        <v>11395933.275153892</v>
      </c>
      <c r="H26" s="262">
        <f t="shared" si="3"/>
        <v>8071777.1643292718</v>
      </c>
      <c r="I26" s="262">
        <f t="shared" si="4"/>
        <v>5908744.319390703</v>
      </c>
      <c r="J26" s="262"/>
      <c r="K26" s="281">
        <v>55460600</v>
      </c>
      <c r="L26" s="269">
        <f t="shared" si="5"/>
        <v>0.4485057860895843</v>
      </c>
      <c r="M26" s="269">
        <f t="shared" si="6"/>
        <v>0.24766230441069875</v>
      </c>
      <c r="N26" s="269">
        <f t="shared" si="7"/>
        <v>0.17542002791170669</v>
      </c>
      <c r="O26" s="269">
        <f t="shared" si="8"/>
        <v>0.12841188158801023</v>
      </c>
      <c r="P26" s="281"/>
      <c r="Q26" s="268">
        <f t="shared" si="9"/>
        <v>24874400</v>
      </c>
      <c r="R26" s="268">
        <f t="shared" si="10"/>
        <v>13735500</v>
      </c>
      <c r="S26" s="268">
        <f t="shared" si="11"/>
        <v>9728900</v>
      </c>
      <c r="T26" s="268">
        <f t="shared" si="12"/>
        <v>7121800</v>
      </c>
      <c r="U26" s="281"/>
      <c r="V26" s="280">
        <v>4726100</v>
      </c>
      <c r="W26" s="281">
        <v>4590100</v>
      </c>
      <c r="X26" s="280">
        <v>4007700</v>
      </c>
      <c r="Y26" s="280">
        <v>3874000</v>
      </c>
      <c r="Z26" s="280">
        <v>4206600</v>
      </c>
      <c r="AA26" s="280">
        <v>3469900</v>
      </c>
      <c r="AB26" s="280">
        <v>3294900</v>
      </c>
      <c r="AC26" s="280">
        <v>3251500</v>
      </c>
      <c r="AD26" s="280">
        <v>3400900</v>
      </c>
      <c r="AE26" s="280">
        <v>3788200</v>
      </c>
      <c r="AF26" s="280">
        <v>3086900</v>
      </c>
      <c r="AG26" s="280">
        <v>3446800</v>
      </c>
      <c r="AH26" s="280">
        <v>3195200</v>
      </c>
      <c r="AI26" s="280">
        <v>2659000</v>
      </c>
      <c r="AJ26" s="280">
        <v>1913100</v>
      </c>
      <c r="AK26" s="280">
        <v>1313300</v>
      </c>
      <c r="AL26" s="280">
        <v>803200</v>
      </c>
      <c r="AM26" s="280">
        <v>433200</v>
      </c>
    </row>
    <row r="27" spans="2:112">
      <c r="B27" s="262" t="s">
        <v>1846</v>
      </c>
      <c r="C27" s="262">
        <f t="shared" si="0"/>
        <v>85847711.386283308</v>
      </c>
      <c r="D27" s="262"/>
      <c r="E27" s="262">
        <v>46167000</v>
      </c>
      <c r="F27" s="262">
        <f t="shared" si="1"/>
        <v>20790178.784948286</v>
      </c>
      <c r="G27" s="262">
        <f t="shared" si="2"/>
        <v>11210261.974180421</v>
      </c>
      <c r="H27" s="262">
        <f t="shared" si="3"/>
        <v>8149568.1781414365</v>
      </c>
      <c r="I27" s="262">
        <f t="shared" si="4"/>
        <v>6016825.0905051399</v>
      </c>
      <c r="J27" s="262"/>
      <c r="K27" s="279">
        <v>55632200</v>
      </c>
      <c r="L27" s="269">
        <f t="shared" si="5"/>
        <v>0.45032553089757371</v>
      </c>
      <c r="M27" s="269">
        <f t="shared" si="6"/>
        <v>0.24281980579592394</v>
      </c>
      <c r="N27" s="269">
        <f t="shared" si="7"/>
        <v>0.17652366794769936</v>
      </c>
      <c r="O27" s="269">
        <f t="shared" si="8"/>
        <v>0.13032740031852058</v>
      </c>
      <c r="P27" s="279"/>
      <c r="Q27" s="268">
        <f t="shared" si="9"/>
        <v>25052600</v>
      </c>
      <c r="R27" s="268">
        <f t="shared" si="10"/>
        <v>13508600</v>
      </c>
      <c r="S27" s="268">
        <f t="shared" si="11"/>
        <v>9820400</v>
      </c>
      <c r="T27" s="268">
        <f t="shared" si="12"/>
        <v>7250400</v>
      </c>
      <c r="U27" s="279"/>
      <c r="V27" s="279">
        <v>4617700</v>
      </c>
      <c r="W27" s="279">
        <v>4676800</v>
      </c>
      <c r="X27" s="279">
        <v>4111000</v>
      </c>
      <c r="Y27" s="279">
        <v>3848200</v>
      </c>
      <c r="Z27" s="279">
        <v>4255200</v>
      </c>
      <c r="AA27" s="279">
        <v>3543700</v>
      </c>
      <c r="AB27" s="279">
        <v>3301900</v>
      </c>
      <c r="AC27" s="279">
        <v>3208100</v>
      </c>
      <c r="AD27" s="279">
        <v>3361400</v>
      </c>
      <c r="AE27" s="279">
        <v>3637200</v>
      </c>
      <c r="AF27" s="279">
        <v>3183000</v>
      </c>
      <c r="AG27" s="279">
        <v>3427600</v>
      </c>
      <c r="AH27" s="279">
        <v>3209800</v>
      </c>
      <c r="AI27" s="279">
        <v>2697000</v>
      </c>
      <c r="AJ27" s="279">
        <v>1962200</v>
      </c>
      <c r="AK27" s="279">
        <v>1328700</v>
      </c>
      <c r="AL27" s="279">
        <v>818600</v>
      </c>
      <c r="AM27" s="279">
        <v>443900</v>
      </c>
    </row>
    <row r="28" spans="2:112" s="155" customFormat="1">
      <c r="B28" s="277" t="s">
        <v>1847</v>
      </c>
      <c r="C28" s="262">
        <f t="shared" si="0"/>
        <v>86788358.4022782</v>
      </c>
      <c r="D28" s="278"/>
      <c r="E28" s="155">
        <v>46412000</v>
      </c>
      <c r="F28" s="277">
        <f t="shared" si="1"/>
        <v>20994766.382134832</v>
      </c>
      <c r="G28" s="277">
        <f t="shared" si="2"/>
        <v>11061099.487657463</v>
      </c>
      <c r="H28" s="277">
        <f t="shared" si="3"/>
        <v>8208450.9009107836</v>
      </c>
      <c r="I28" s="277">
        <f t="shared" si="4"/>
        <v>6147683.229296918</v>
      </c>
      <c r="K28" s="155">
        <v>55928013</v>
      </c>
      <c r="L28" s="276">
        <f t="shared" si="5"/>
        <v>0.45235642467755827</v>
      </c>
      <c r="M28" s="276">
        <f t="shared" si="6"/>
        <v>0.23832412926953081</v>
      </c>
      <c r="N28" s="276">
        <f t="shared" si="7"/>
        <v>0.17686052962403653</v>
      </c>
      <c r="O28" s="276">
        <f t="shared" si="8"/>
        <v>0.13245891642887439</v>
      </c>
      <c r="Q28" s="275">
        <f t="shared" ref="Q28:Q57" si="13">SUM(V28:AY28)</f>
        <v>25299396</v>
      </c>
      <c r="R28" s="275">
        <f t="shared" ref="R28:R57" si="14">SUM(AZ28:BS28)</f>
        <v>13328995</v>
      </c>
      <c r="S28" s="275">
        <f t="shared" ref="S28:S57" si="15">SUM(BT28:CH28)</f>
        <v>9891458</v>
      </c>
      <c r="T28" s="275">
        <f t="shared" ref="T28:T57" si="16">SUM(CI28:DH28)</f>
        <v>7408164</v>
      </c>
      <c r="U28" s="274"/>
      <c r="V28" s="274">
        <v>898674</v>
      </c>
      <c r="W28" s="274">
        <v>875350</v>
      </c>
      <c r="X28" s="274">
        <v>913862</v>
      </c>
      <c r="Y28" s="274">
        <v>919563</v>
      </c>
      <c r="Z28" s="274">
        <v>945135</v>
      </c>
      <c r="AA28" s="274">
        <v>934747</v>
      </c>
      <c r="AB28" s="274">
        <v>955974</v>
      </c>
      <c r="AC28" s="274">
        <v>952626</v>
      </c>
      <c r="AD28" s="274">
        <v>927582</v>
      </c>
      <c r="AE28" s="274">
        <v>913056</v>
      </c>
      <c r="AF28" s="274">
        <v>895606</v>
      </c>
      <c r="AG28" s="274">
        <v>864333</v>
      </c>
      <c r="AH28" s="274">
        <v>843744</v>
      </c>
      <c r="AI28" s="274">
        <v>824046</v>
      </c>
      <c r="AJ28" s="274">
        <v>804342</v>
      </c>
      <c r="AK28" s="274">
        <v>788028</v>
      </c>
      <c r="AL28" s="274">
        <v>762549</v>
      </c>
      <c r="AM28" s="274">
        <v>778904</v>
      </c>
      <c r="AN28" s="274">
        <v>770271</v>
      </c>
      <c r="AO28" s="274">
        <v>762667</v>
      </c>
      <c r="AP28" s="274">
        <v>783981</v>
      </c>
      <c r="AQ28" s="274">
        <v>802800</v>
      </c>
      <c r="AR28" s="274">
        <v>834101</v>
      </c>
      <c r="AS28" s="274">
        <v>890400</v>
      </c>
      <c r="AT28" s="274">
        <v>970629</v>
      </c>
      <c r="AU28" s="274">
        <v>770016</v>
      </c>
      <c r="AV28" s="274">
        <v>756932</v>
      </c>
      <c r="AW28" s="274">
        <v>761986</v>
      </c>
      <c r="AX28" s="274">
        <v>729477</v>
      </c>
      <c r="AY28" s="274">
        <v>668015</v>
      </c>
      <c r="AZ28" s="274">
        <v>627111</v>
      </c>
      <c r="BA28" s="274">
        <v>665131</v>
      </c>
      <c r="BB28" s="274">
        <v>668602</v>
      </c>
      <c r="BC28" s="274">
        <v>665546</v>
      </c>
      <c r="BD28" s="274">
        <v>657996</v>
      </c>
      <c r="BE28" s="274">
        <v>647782</v>
      </c>
      <c r="BF28" s="274">
        <v>639753</v>
      </c>
      <c r="BG28" s="274">
        <v>621159</v>
      </c>
      <c r="BH28" s="274">
        <v>628502</v>
      </c>
      <c r="BI28" s="274">
        <v>649604</v>
      </c>
      <c r="BJ28" s="274">
        <v>662563</v>
      </c>
      <c r="BK28" s="274">
        <v>666439</v>
      </c>
      <c r="BL28" s="274">
        <v>661422</v>
      </c>
      <c r="BM28" s="274">
        <v>660252</v>
      </c>
      <c r="BN28" s="274">
        <v>674790</v>
      </c>
      <c r="BO28" s="274">
        <v>689225</v>
      </c>
      <c r="BP28" s="274">
        <v>689944</v>
      </c>
      <c r="BQ28" s="274">
        <v>701367</v>
      </c>
      <c r="BR28" s="274">
        <v>704921</v>
      </c>
      <c r="BS28" s="274">
        <v>746886</v>
      </c>
      <c r="BT28" s="274">
        <v>780415</v>
      </c>
      <c r="BU28" s="274">
        <v>817093</v>
      </c>
      <c r="BV28" s="274">
        <v>562717</v>
      </c>
      <c r="BW28" s="274">
        <v>542373</v>
      </c>
      <c r="BX28" s="274">
        <v>601441</v>
      </c>
      <c r="BY28" s="274">
        <v>640375</v>
      </c>
      <c r="BZ28" s="274">
        <v>687158</v>
      </c>
      <c r="CA28" s="274">
        <v>691184</v>
      </c>
      <c r="CB28" s="274">
        <v>682821</v>
      </c>
      <c r="CC28" s="274">
        <v>663781</v>
      </c>
      <c r="CD28" s="274">
        <v>660494</v>
      </c>
      <c r="CE28" s="274">
        <v>659969</v>
      </c>
      <c r="CF28" s="274">
        <v>653100</v>
      </c>
      <c r="CG28" s="274">
        <v>636624</v>
      </c>
      <c r="CH28" s="274">
        <v>611913</v>
      </c>
      <c r="CI28" s="274">
        <v>591194</v>
      </c>
      <c r="CJ28" s="274">
        <v>575477</v>
      </c>
      <c r="CK28" s="274">
        <v>548589</v>
      </c>
      <c r="CL28" s="274">
        <v>525663</v>
      </c>
      <c r="CM28" s="274">
        <v>494782</v>
      </c>
      <c r="CN28" s="274">
        <v>474521</v>
      </c>
      <c r="CO28" s="274">
        <v>446522</v>
      </c>
      <c r="CP28" s="274">
        <v>395121</v>
      </c>
      <c r="CQ28" s="274">
        <v>366922</v>
      </c>
      <c r="CR28" s="274">
        <v>345420</v>
      </c>
      <c r="CS28" s="274">
        <v>319797</v>
      </c>
      <c r="CT28" s="274">
        <v>295884</v>
      </c>
      <c r="CU28" s="274">
        <v>268015</v>
      </c>
      <c r="CV28" s="274">
        <v>249129</v>
      </c>
      <c r="CW28" s="274">
        <v>223647</v>
      </c>
      <c r="CX28" s="274">
        <v>201687</v>
      </c>
      <c r="CY28" s="274">
        <v>179495</v>
      </c>
      <c r="CZ28" s="274">
        <v>162219</v>
      </c>
      <c r="DA28" s="274">
        <v>141204</v>
      </c>
      <c r="DB28" s="274">
        <v>118353</v>
      </c>
      <c r="DC28" s="274">
        <v>101579</v>
      </c>
      <c r="DD28" s="274">
        <v>85686</v>
      </c>
      <c r="DE28" s="274">
        <v>69200</v>
      </c>
      <c r="DF28" s="274">
        <v>56138</v>
      </c>
      <c r="DG28" s="274">
        <v>45219</v>
      </c>
      <c r="DH28" s="274">
        <v>126701</v>
      </c>
    </row>
    <row r="29" spans="2:112">
      <c r="B29" s="262" t="s">
        <v>1848</v>
      </c>
      <c r="C29" s="262">
        <f t="shared" si="0"/>
        <v>87488684.710918218</v>
      </c>
      <c r="D29" s="265"/>
      <c r="E29">
        <v>46572000</v>
      </c>
      <c r="F29" s="262">
        <f t="shared" si="1"/>
        <v>21130341.25319045</v>
      </c>
      <c r="G29" s="262">
        <f t="shared" si="2"/>
        <v>10964561.636333646</v>
      </c>
      <c r="H29" s="262">
        <f t="shared" si="3"/>
        <v>8223238.5811373461</v>
      </c>
      <c r="I29" s="262">
        <f t="shared" si="4"/>
        <v>6253858.5293385563</v>
      </c>
      <c r="K29">
        <v>56096677</v>
      </c>
      <c r="L29" s="269">
        <f t="shared" si="5"/>
        <v>0.4537134169284216</v>
      </c>
      <c r="M29" s="269">
        <f t="shared" si="6"/>
        <v>0.23543248381717868</v>
      </c>
      <c r="N29" s="269">
        <f t="shared" si="7"/>
        <v>0.17657044106195452</v>
      </c>
      <c r="O29" s="269">
        <f t="shared" si="8"/>
        <v>0.13428365819244517</v>
      </c>
      <c r="Q29" s="268">
        <f t="shared" si="13"/>
        <v>25451815</v>
      </c>
      <c r="R29" s="268">
        <f t="shared" si="14"/>
        <v>13206980</v>
      </c>
      <c r="S29" s="268">
        <f t="shared" si="15"/>
        <v>9905015</v>
      </c>
      <c r="T29" s="268">
        <f t="shared" si="16"/>
        <v>7532867</v>
      </c>
      <c r="U29" s="273"/>
      <c r="V29" s="273">
        <v>846164</v>
      </c>
      <c r="W29" s="273">
        <v>893112</v>
      </c>
      <c r="X29" s="273">
        <v>872388</v>
      </c>
      <c r="Y29" s="273">
        <v>910282</v>
      </c>
      <c r="Z29" s="273">
        <v>915935</v>
      </c>
      <c r="AA29" s="273">
        <v>943397</v>
      </c>
      <c r="AB29" s="273">
        <v>933000</v>
      </c>
      <c r="AC29" s="273">
        <v>956051</v>
      </c>
      <c r="AD29" s="273">
        <v>952914</v>
      </c>
      <c r="AE29" s="273">
        <v>927773</v>
      </c>
      <c r="AF29" s="273">
        <v>914065</v>
      </c>
      <c r="AG29" s="273">
        <v>896132</v>
      </c>
      <c r="AH29" s="273">
        <v>864785</v>
      </c>
      <c r="AI29" s="273">
        <v>843552</v>
      </c>
      <c r="AJ29" s="273">
        <v>824909</v>
      </c>
      <c r="AK29" s="273">
        <v>804557</v>
      </c>
      <c r="AL29" s="273">
        <v>785744</v>
      </c>
      <c r="AM29" s="273">
        <v>760954</v>
      </c>
      <c r="AN29" s="273">
        <v>777849</v>
      </c>
      <c r="AO29" s="273">
        <v>772146</v>
      </c>
      <c r="AP29" s="273">
        <v>765656</v>
      </c>
      <c r="AQ29" s="273">
        <v>784321</v>
      </c>
      <c r="AR29" s="273">
        <v>803064</v>
      </c>
      <c r="AS29" s="273">
        <v>833217</v>
      </c>
      <c r="AT29" s="273">
        <v>889292</v>
      </c>
      <c r="AU29" s="273">
        <v>969472</v>
      </c>
      <c r="AV29" s="273">
        <v>767425</v>
      </c>
      <c r="AW29" s="273">
        <v>755740</v>
      </c>
      <c r="AX29" s="273">
        <v>760201</v>
      </c>
      <c r="AY29" s="273">
        <v>727718</v>
      </c>
      <c r="AZ29" s="273">
        <v>666153</v>
      </c>
      <c r="BA29" s="273">
        <v>625303</v>
      </c>
      <c r="BB29" s="273">
        <v>663332</v>
      </c>
      <c r="BC29" s="273">
        <v>666245</v>
      </c>
      <c r="BD29" s="273">
        <v>663571</v>
      </c>
      <c r="BE29" s="273">
        <v>656340</v>
      </c>
      <c r="BF29" s="273">
        <v>646507</v>
      </c>
      <c r="BG29" s="273">
        <v>637951</v>
      </c>
      <c r="BH29" s="273">
        <v>619399</v>
      </c>
      <c r="BI29" s="273">
        <v>626005</v>
      </c>
      <c r="BJ29" s="273">
        <v>648498</v>
      </c>
      <c r="BK29" s="273">
        <v>661331</v>
      </c>
      <c r="BL29" s="273">
        <v>665299</v>
      </c>
      <c r="BM29" s="273">
        <v>658948</v>
      </c>
      <c r="BN29" s="273">
        <v>657665</v>
      </c>
      <c r="BO29" s="273">
        <v>671629</v>
      </c>
      <c r="BP29" s="273">
        <v>686733</v>
      </c>
      <c r="BQ29" s="273">
        <v>686728</v>
      </c>
      <c r="BR29" s="273">
        <v>697512</v>
      </c>
      <c r="BS29" s="273">
        <v>701831</v>
      </c>
      <c r="BT29" s="273">
        <v>742160</v>
      </c>
      <c r="BU29" s="273">
        <v>774901</v>
      </c>
      <c r="BV29" s="273">
        <v>811019</v>
      </c>
      <c r="BW29" s="273">
        <v>558024</v>
      </c>
      <c r="BX29" s="273">
        <v>536551</v>
      </c>
      <c r="BY29" s="273">
        <v>596123</v>
      </c>
      <c r="BZ29" s="273">
        <v>633958</v>
      </c>
      <c r="CA29" s="273">
        <v>679730</v>
      </c>
      <c r="CB29" s="273">
        <v>683975</v>
      </c>
      <c r="CC29" s="273">
        <v>673628</v>
      </c>
      <c r="CD29" s="273">
        <v>654630</v>
      </c>
      <c r="CE29" s="273">
        <v>649425</v>
      </c>
      <c r="CF29" s="273">
        <v>647807</v>
      </c>
      <c r="CG29" s="273">
        <v>640208</v>
      </c>
      <c r="CH29" s="273">
        <v>622876</v>
      </c>
      <c r="CI29" s="273">
        <v>596405</v>
      </c>
      <c r="CJ29" s="273">
        <v>575625</v>
      </c>
      <c r="CK29" s="273">
        <v>558635</v>
      </c>
      <c r="CL29" s="273">
        <v>531009</v>
      </c>
      <c r="CM29" s="273">
        <v>507245</v>
      </c>
      <c r="CN29" s="273">
        <v>475866</v>
      </c>
      <c r="CO29" s="273">
        <v>454579</v>
      </c>
      <c r="CP29" s="273">
        <v>425557</v>
      </c>
      <c r="CQ29" s="273">
        <v>374997</v>
      </c>
      <c r="CR29" s="273">
        <v>346985</v>
      </c>
      <c r="CS29" s="273">
        <v>324868</v>
      </c>
      <c r="CT29" s="273">
        <v>299060</v>
      </c>
      <c r="CU29" s="273">
        <v>275424</v>
      </c>
      <c r="CV29" s="273">
        <v>247584</v>
      </c>
      <c r="CW29" s="273">
        <v>228355</v>
      </c>
      <c r="CX29" s="273">
        <v>203641</v>
      </c>
      <c r="CY29" s="273">
        <v>182435</v>
      </c>
      <c r="CZ29" s="273">
        <v>160619</v>
      </c>
      <c r="DA29" s="273">
        <v>143852</v>
      </c>
      <c r="DB29" s="273">
        <v>123905</v>
      </c>
      <c r="DC29" s="273">
        <v>102121</v>
      </c>
      <c r="DD29" s="273">
        <v>86421</v>
      </c>
      <c r="DE29" s="273">
        <v>72156</v>
      </c>
      <c r="DF29" s="273">
        <v>57080</v>
      </c>
      <c r="DG29" s="273">
        <v>45803</v>
      </c>
      <c r="DH29" s="273">
        <v>132640</v>
      </c>
    </row>
    <row r="30" spans="2:112">
      <c r="B30" s="262" t="s">
        <v>1849</v>
      </c>
      <c r="C30" s="262">
        <f t="shared" si="0"/>
        <v>88077227.877435341</v>
      </c>
      <c r="D30" s="265"/>
      <c r="E30">
        <v>46686000</v>
      </c>
      <c r="F30" s="262">
        <f t="shared" si="1"/>
        <v>21174717.527217962</v>
      </c>
      <c r="G30" s="262">
        <f t="shared" si="2"/>
        <v>10956951.7771702</v>
      </c>
      <c r="H30" s="262">
        <f t="shared" si="3"/>
        <v>8195277.3487127386</v>
      </c>
      <c r="I30" s="262">
        <f t="shared" si="4"/>
        <v>6359053.3468991006</v>
      </c>
      <c r="K30">
        <v>56222893</v>
      </c>
      <c r="L30" s="269">
        <f t="shared" si="5"/>
        <v>0.45355604522165022</v>
      </c>
      <c r="M30" s="269">
        <f t="shared" si="6"/>
        <v>0.23469459317933</v>
      </c>
      <c r="N30" s="269">
        <f t="shared" si="7"/>
        <v>0.17554036217951288</v>
      </c>
      <c r="O30" s="269">
        <f t="shared" si="8"/>
        <v>0.13620899941950693</v>
      </c>
      <c r="Q30" s="268">
        <f t="shared" si="13"/>
        <v>25500233</v>
      </c>
      <c r="R30" s="268">
        <f t="shared" si="14"/>
        <v>13195209</v>
      </c>
      <c r="S30" s="268">
        <f t="shared" si="15"/>
        <v>9869387</v>
      </c>
      <c r="T30" s="268">
        <f t="shared" si="16"/>
        <v>7658064</v>
      </c>
      <c r="U30" s="273"/>
      <c r="V30" s="273">
        <v>793122</v>
      </c>
      <c r="W30" s="273">
        <v>841729</v>
      </c>
      <c r="X30" s="273">
        <v>890312</v>
      </c>
      <c r="Y30" s="273">
        <v>870303</v>
      </c>
      <c r="Z30" s="273">
        <v>907727</v>
      </c>
      <c r="AA30" s="273">
        <v>912861</v>
      </c>
      <c r="AB30" s="273">
        <v>941333</v>
      </c>
      <c r="AC30" s="273">
        <v>932474</v>
      </c>
      <c r="AD30" s="273">
        <v>957254</v>
      </c>
      <c r="AE30" s="273">
        <v>954234</v>
      </c>
      <c r="AF30" s="273">
        <v>929107</v>
      </c>
      <c r="AG30" s="273">
        <v>915512</v>
      </c>
      <c r="AH30" s="273">
        <v>897692</v>
      </c>
      <c r="AI30" s="273">
        <v>866056</v>
      </c>
      <c r="AJ30" s="273">
        <v>844264</v>
      </c>
      <c r="AK30" s="273">
        <v>826474</v>
      </c>
      <c r="AL30" s="273">
        <v>803591</v>
      </c>
      <c r="AM30" s="273">
        <v>784497</v>
      </c>
      <c r="AN30" s="273">
        <v>758859</v>
      </c>
      <c r="AO30" s="273">
        <v>779150</v>
      </c>
      <c r="AP30" s="273">
        <v>775357</v>
      </c>
      <c r="AQ30" s="273">
        <v>766778</v>
      </c>
      <c r="AR30" s="273">
        <v>783913</v>
      </c>
      <c r="AS30" s="273">
        <v>804273</v>
      </c>
      <c r="AT30" s="273">
        <v>831075</v>
      </c>
      <c r="AU30" s="273">
        <v>887611</v>
      </c>
      <c r="AV30" s="273">
        <v>966926</v>
      </c>
      <c r="AW30" s="273">
        <v>764768</v>
      </c>
      <c r="AX30" s="273">
        <v>753914</v>
      </c>
      <c r="AY30" s="273">
        <v>759067</v>
      </c>
      <c r="AZ30" s="273">
        <v>725969</v>
      </c>
      <c r="BA30" s="273">
        <v>665084</v>
      </c>
      <c r="BB30" s="273">
        <v>623607</v>
      </c>
      <c r="BC30" s="273">
        <v>662118</v>
      </c>
      <c r="BD30" s="273">
        <v>665149</v>
      </c>
      <c r="BE30" s="273">
        <v>661940</v>
      </c>
      <c r="BF30" s="273">
        <v>654195</v>
      </c>
      <c r="BG30" s="273">
        <v>644893</v>
      </c>
      <c r="BH30" s="273">
        <v>635766</v>
      </c>
      <c r="BI30" s="273">
        <v>618410</v>
      </c>
      <c r="BJ30" s="273">
        <v>624805</v>
      </c>
      <c r="BK30" s="273">
        <v>646632</v>
      </c>
      <c r="BL30" s="273">
        <v>659829</v>
      </c>
      <c r="BM30" s="273">
        <v>663719</v>
      </c>
      <c r="BN30" s="273">
        <v>657462</v>
      </c>
      <c r="BO30" s="273">
        <v>655606</v>
      </c>
      <c r="BP30" s="273">
        <v>668861</v>
      </c>
      <c r="BQ30" s="273">
        <v>683758</v>
      </c>
      <c r="BR30" s="273">
        <v>683528</v>
      </c>
      <c r="BS30" s="273">
        <v>693878</v>
      </c>
      <c r="BT30" s="273">
        <v>698568</v>
      </c>
      <c r="BU30" s="273">
        <v>737955</v>
      </c>
      <c r="BV30" s="273">
        <v>769363</v>
      </c>
      <c r="BW30" s="273">
        <v>804771</v>
      </c>
      <c r="BX30" s="273">
        <v>553291</v>
      </c>
      <c r="BY30" s="273">
        <v>531365</v>
      </c>
      <c r="BZ30" s="273">
        <v>589929</v>
      </c>
      <c r="CA30" s="273">
        <v>627410</v>
      </c>
      <c r="CB30" s="273">
        <v>671697</v>
      </c>
      <c r="CC30" s="273">
        <v>675660</v>
      </c>
      <c r="CD30" s="273">
        <v>664744</v>
      </c>
      <c r="CE30" s="273">
        <v>644839</v>
      </c>
      <c r="CF30" s="273">
        <v>637995</v>
      </c>
      <c r="CG30" s="273">
        <v>635421</v>
      </c>
      <c r="CH30" s="273">
        <v>626379</v>
      </c>
      <c r="CI30" s="273">
        <v>607295</v>
      </c>
      <c r="CJ30" s="273">
        <v>580754</v>
      </c>
      <c r="CK30" s="273">
        <v>559406</v>
      </c>
      <c r="CL30" s="273">
        <v>541251</v>
      </c>
      <c r="CM30" s="273">
        <v>512813</v>
      </c>
      <c r="CN30" s="273">
        <v>488049</v>
      </c>
      <c r="CO30" s="273">
        <v>456351</v>
      </c>
      <c r="CP30" s="273">
        <v>433913</v>
      </c>
      <c r="CQ30" s="273">
        <v>404283</v>
      </c>
      <c r="CR30" s="273">
        <v>354290</v>
      </c>
      <c r="CS30" s="273">
        <v>326351</v>
      </c>
      <c r="CT30" s="273">
        <v>303983</v>
      </c>
      <c r="CU30" s="273">
        <v>278240</v>
      </c>
      <c r="CV30" s="273">
        <v>254717</v>
      </c>
      <c r="CW30" s="273">
        <v>226851</v>
      </c>
      <c r="CX30" s="273">
        <v>207683</v>
      </c>
      <c r="CY30" s="273">
        <v>183538</v>
      </c>
      <c r="CZ30" s="273">
        <v>163279</v>
      </c>
      <c r="DA30" s="273">
        <v>141431</v>
      </c>
      <c r="DB30" s="273">
        <v>125685</v>
      </c>
      <c r="DC30" s="273">
        <v>106893</v>
      </c>
      <c r="DD30" s="273">
        <v>86436</v>
      </c>
      <c r="DE30" s="273">
        <v>72034</v>
      </c>
      <c r="DF30" s="273">
        <v>59831</v>
      </c>
      <c r="DG30" s="273">
        <v>46375</v>
      </c>
      <c r="DH30" s="273">
        <v>136332</v>
      </c>
    </row>
    <row r="31" spans="2:112">
      <c r="B31" s="262" t="s">
        <v>1850</v>
      </c>
      <c r="C31" s="262">
        <f t="shared" si="0"/>
        <v>88475284.841668338</v>
      </c>
      <c r="D31" s="265"/>
      <c r="E31">
        <v>46683000</v>
      </c>
      <c r="F31" s="262">
        <f t="shared" si="1"/>
        <v>21114217.112378657</v>
      </c>
      <c r="G31" s="262">
        <f t="shared" si="2"/>
        <v>10957771.714796107</v>
      </c>
      <c r="H31" s="262">
        <f t="shared" si="3"/>
        <v>8148688.3989161178</v>
      </c>
      <c r="I31" s="262">
        <f t="shared" si="4"/>
        <v>6462322.7739091162</v>
      </c>
      <c r="K31">
        <v>56235642</v>
      </c>
      <c r="L31" s="269">
        <f t="shared" si="5"/>
        <v>0.45228920832805641</v>
      </c>
      <c r="M31" s="269">
        <f t="shared" si="6"/>
        <v>0.23472723935471387</v>
      </c>
      <c r="N31" s="269">
        <f t="shared" si="7"/>
        <v>0.17455365762517658</v>
      </c>
      <c r="O31" s="269">
        <f t="shared" si="8"/>
        <v>0.13842989469205313</v>
      </c>
      <c r="Q31" s="268">
        <f t="shared" si="13"/>
        <v>25434774</v>
      </c>
      <c r="R31" s="268">
        <f t="shared" si="14"/>
        <v>13200037</v>
      </c>
      <c r="S31" s="268">
        <f t="shared" si="15"/>
        <v>9816137</v>
      </c>
      <c r="T31" s="268">
        <f t="shared" si="16"/>
        <v>7784694</v>
      </c>
      <c r="U31" s="273"/>
      <c r="V31" s="273">
        <v>735132</v>
      </c>
      <c r="W31" s="273">
        <v>788130</v>
      </c>
      <c r="X31" s="273">
        <v>837630</v>
      </c>
      <c r="Y31" s="273">
        <v>887158</v>
      </c>
      <c r="Z31" s="273">
        <v>868240</v>
      </c>
      <c r="AA31" s="273">
        <v>904132</v>
      </c>
      <c r="AB31" s="273">
        <v>909326</v>
      </c>
      <c r="AC31" s="273">
        <v>938211</v>
      </c>
      <c r="AD31" s="273">
        <v>931345</v>
      </c>
      <c r="AE31" s="273">
        <v>956137</v>
      </c>
      <c r="AF31" s="273">
        <v>954751</v>
      </c>
      <c r="AG31" s="273">
        <v>929947</v>
      </c>
      <c r="AH31" s="273">
        <v>916316</v>
      </c>
      <c r="AI31" s="273">
        <v>898327</v>
      </c>
      <c r="AJ31" s="273">
        <v>866743</v>
      </c>
      <c r="AK31" s="273">
        <v>845654</v>
      </c>
      <c r="AL31" s="273">
        <v>826364</v>
      </c>
      <c r="AM31" s="273">
        <v>802715</v>
      </c>
      <c r="AN31" s="273">
        <v>782298</v>
      </c>
      <c r="AO31" s="273">
        <v>759464</v>
      </c>
      <c r="AP31" s="273">
        <v>781223</v>
      </c>
      <c r="AQ31" s="273">
        <v>775436</v>
      </c>
      <c r="AR31" s="273">
        <v>766823</v>
      </c>
      <c r="AS31" s="273">
        <v>783292</v>
      </c>
      <c r="AT31" s="273">
        <v>803884</v>
      </c>
      <c r="AU31" s="273">
        <v>828143</v>
      </c>
      <c r="AV31" s="273">
        <v>884087</v>
      </c>
      <c r="AW31" s="273">
        <v>963373</v>
      </c>
      <c r="AX31" s="273">
        <v>760762</v>
      </c>
      <c r="AY31" s="273">
        <v>749731</v>
      </c>
      <c r="AZ31" s="273">
        <v>755495</v>
      </c>
      <c r="BA31" s="273">
        <v>723426</v>
      </c>
      <c r="BB31" s="273">
        <v>662415</v>
      </c>
      <c r="BC31" s="273">
        <v>620076</v>
      </c>
      <c r="BD31" s="273">
        <v>658914</v>
      </c>
      <c r="BE31" s="273">
        <v>662547</v>
      </c>
      <c r="BF31" s="273">
        <v>659468</v>
      </c>
      <c r="BG31" s="273">
        <v>651028</v>
      </c>
      <c r="BH31" s="273">
        <v>641872</v>
      </c>
      <c r="BI31" s="273">
        <v>632764</v>
      </c>
      <c r="BJ31" s="273">
        <v>616093</v>
      </c>
      <c r="BK31" s="273">
        <v>622357</v>
      </c>
      <c r="BL31" s="273">
        <v>643846</v>
      </c>
      <c r="BM31" s="273">
        <v>657159</v>
      </c>
      <c r="BN31" s="273">
        <v>660928</v>
      </c>
      <c r="BO31" s="273">
        <v>654309</v>
      </c>
      <c r="BP31" s="273">
        <v>652263</v>
      </c>
      <c r="BQ31" s="273">
        <v>665184</v>
      </c>
      <c r="BR31" s="273">
        <v>680122</v>
      </c>
      <c r="BS31" s="273">
        <v>679771</v>
      </c>
      <c r="BT31" s="273">
        <v>689518</v>
      </c>
      <c r="BU31" s="273">
        <v>693719</v>
      </c>
      <c r="BV31" s="273">
        <v>732535</v>
      </c>
      <c r="BW31" s="273">
        <v>763118</v>
      </c>
      <c r="BX31" s="273">
        <v>797817</v>
      </c>
      <c r="BY31" s="273">
        <v>547586</v>
      </c>
      <c r="BZ31" s="273">
        <v>525391</v>
      </c>
      <c r="CA31" s="273">
        <v>582844</v>
      </c>
      <c r="CB31" s="273">
        <v>619739</v>
      </c>
      <c r="CC31" s="273">
        <v>662589</v>
      </c>
      <c r="CD31" s="273">
        <v>666100</v>
      </c>
      <c r="CE31" s="273">
        <v>654257</v>
      </c>
      <c r="CF31" s="273">
        <v>633608</v>
      </c>
      <c r="CG31" s="273">
        <v>625415</v>
      </c>
      <c r="CH31" s="273">
        <v>621901</v>
      </c>
      <c r="CI31" s="273">
        <v>610880</v>
      </c>
      <c r="CJ31" s="273">
        <v>591428</v>
      </c>
      <c r="CK31" s="273">
        <v>564353</v>
      </c>
      <c r="CL31" s="273">
        <v>541955</v>
      </c>
      <c r="CM31" s="273">
        <v>522692</v>
      </c>
      <c r="CN31" s="273">
        <v>493698</v>
      </c>
      <c r="CO31" s="273">
        <v>468122</v>
      </c>
      <c r="CP31" s="273">
        <v>435840</v>
      </c>
      <c r="CQ31" s="273">
        <v>411865</v>
      </c>
      <c r="CR31" s="273">
        <v>382096</v>
      </c>
      <c r="CS31" s="273">
        <v>333580</v>
      </c>
      <c r="CT31" s="273">
        <v>305450</v>
      </c>
      <c r="CU31" s="273">
        <v>283124</v>
      </c>
      <c r="CV31" s="273">
        <v>257406</v>
      </c>
      <c r="CW31" s="273">
        <v>234119</v>
      </c>
      <c r="CX31" s="273">
        <v>206917</v>
      </c>
      <c r="CY31" s="273">
        <v>187652</v>
      </c>
      <c r="CZ31" s="273">
        <v>164445</v>
      </c>
      <c r="DA31" s="273">
        <v>144740</v>
      </c>
      <c r="DB31" s="273">
        <v>123557</v>
      </c>
      <c r="DC31" s="273">
        <v>108516</v>
      </c>
      <c r="DD31" s="273">
        <v>91187</v>
      </c>
      <c r="DE31" s="273">
        <v>72694</v>
      </c>
      <c r="DF31" s="273">
        <v>59720</v>
      </c>
      <c r="DG31" s="273">
        <v>48723</v>
      </c>
      <c r="DH31" s="273">
        <v>139935</v>
      </c>
    </row>
    <row r="32" spans="2:112">
      <c r="B32" s="262" t="s">
        <v>1851</v>
      </c>
      <c r="C32" s="262">
        <f t="shared" si="0"/>
        <v>88832447.724129558</v>
      </c>
      <c r="D32" s="265"/>
      <c r="E32">
        <v>46674000</v>
      </c>
      <c r="F32" s="262">
        <f t="shared" si="1"/>
        <v>21046564.024918277</v>
      </c>
      <c r="G32" s="262">
        <f t="shared" si="2"/>
        <v>10969332.408454081</v>
      </c>
      <c r="H32" s="262">
        <f t="shared" si="3"/>
        <v>8099517.8244944783</v>
      </c>
      <c r="I32" s="262">
        <f t="shared" si="4"/>
        <v>6558585.7421331638</v>
      </c>
      <c r="K32">
        <v>56225718</v>
      </c>
      <c r="L32" s="269">
        <f t="shared" si="5"/>
        <v>0.45092694058615668</v>
      </c>
      <c r="M32" s="269">
        <f t="shared" si="6"/>
        <v>0.23502019129395554</v>
      </c>
      <c r="N32" s="269">
        <f t="shared" si="7"/>
        <v>0.17353382663783859</v>
      </c>
      <c r="O32" s="269">
        <f t="shared" si="8"/>
        <v>0.14051904148204919</v>
      </c>
      <c r="Q32" s="268">
        <f t="shared" si="13"/>
        <v>25353691</v>
      </c>
      <c r="R32" s="268">
        <f t="shared" si="14"/>
        <v>13214179</v>
      </c>
      <c r="S32" s="268">
        <f t="shared" si="15"/>
        <v>9757064</v>
      </c>
      <c r="T32" s="268">
        <f t="shared" si="16"/>
        <v>7900784</v>
      </c>
      <c r="U32" s="273"/>
      <c r="V32" s="273">
        <v>706873</v>
      </c>
      <c r="W32" s="273">
        <v>730600</v>
      </c>
      <c r="X32" s="273">
        <v>784436</v>
      </c>
      <c r="Y32" s="273">
        <v>833373</v>
      </c>
      <c r="Z32" s="273">
        <v>884487</v>
      </c>
      <c r="AA32" s="273">
        <v>865682</v>
      </c>
      <c r="AB32" s="273">
        <v>901613</v>
      </c>
      <c r="AC32" s="273">
        <v>906562</v>
      </c>
      <c r="AD32" s="273">
        <v>934971</v>
      </c>
      <c r="AE32" s="273">
        <v>930240</v>
      </c>
      <c r="AF32" s="273">
        <v>956590</v>
      </c>
      <c r="AG32" s="273">
        <v>955425</v>
      </c>
      <c r="AH32" s="273">
        <v>931121</v>
      </c>
      <c r="AI32" s="273">
        <v>916800</v>
      </c>
      <c r="AJ32" s="273">
        <v>898630</v>
      </c>
      <c r="AK32" s="273">
        <v>867384</v>
      </c>
      <c r="AL32" s="273">
        <v>844075</v>
      </c>
      <c r="AM32" s="273">
        <v>825369</v>
      </c>
      <c r="AN32" s="273">
        <v>803724</v>
      </c>
      <c r="AO32" s="273">
        <v>784915</v>
      </c>
      <c r="AP32" s="273">
        <v>763187</v>
      </c>
      <c r="AQ32" s="273">
        <v>781160</v>
      </c>
      <c r="AR32" s="273">
        <v>775108</v>
      </c>
      <c r="AS32" s="273">
        <v>766358</v>
      </c>
      <c r="AT32" s="273">
        <v>780752</v>
      </c>
      <c r="AU32" s="273">
        <v>800175</v>
      </c>
      <c r="AV32" s="273">
        <v>824720</v>
      </c>
      <c r="AW32" s="273">
        <v>881052</v>
      </c>
      <c r="AX32" s="273">
        <v>960289</v>
      </c>
      <c r="AY32" s="273">
        <v>758020</v>
      </c>
      <c r="AZ32" s="273">
        <v>746044</v>
      </c>
      <c r="BA32" s="273">
        <v>752447</v>
      </c>
      <c r="BB32" s="273">
        <v>720309</v>
      </c>
      <c r="BC32" s="273">
        <v>660354</v>
      </c>
      <c r="BD32" s="273">
        <v>616948</v>
      </c>
      <c r="BE32" s="273">
        <v>654972</v>
      </c>
      <c r="BF32" s="273">
        <v>659578</v>
      </c>
      <c r="BG32" s="273">
        <v>656948</v>
      </c>
      <c r="BH32" s="273">
        <v>648752</v>
      </c>
      <c r="BI32" s="273">
        <v>639932</v>
      </c>
      <c r="BJ32" s="273">
        <v>629971</v>
      </c>
      <c r="BK32" s="273">
        <v>613828</v>
      </c>
      <c r="BL32" s="273">
        <v>619951</v>
      </c>
      <c r="BM32" s="273">
        <v>641499</v>
      </c>
      <c r="BN32" s="273">
        <v>654989</v>
      </c>
      <c r="BO32" s="273">
        <v>658235</v>
      </c>
      <c r="BP32" s="273">
        <v>651797</v>
      </c>
      <c r="BQ32" s="273">
        <v>649292</v>
      </c>
      <c r="BR32" s="273">
        <v>661967</v>
      </c>
      <c r="BS32" s="273">
        <v>676366</v>
      </c>
      <c r="BT32" s="273">
        <v>674513</v>
      </c>
      <c r="BU32" s="273">
        <v>684210</v>
      </c>
      <c r="BV32" s="273">
        <v>688509</v>
      </c>
      <c r="BW32" s="273">
        <v>726420</v>
      </c>
      <c r="BX32" s="273">
        <v>756932</v>
      </c>
      <c r="BY32" s="273">
        <v>790305</v>
      </c>
      <c r="BZ32" s="273">
        <v>542390</v>
      </c>
      <c r="CA32" s="273">
        <v>519471</v>
      </c>
      <c r="CB32" s="273">
        <v>575483</v>
      </c>
      <c r="CC32" s="273">
        <v>611509</v>
      </c>
      <c r="CD32" s="273">
        <v>653438</v>
      </c>
      <c r="CE32" s="273">
        <v>655855</v>
      </c>
      <c r="CF32" s="273">
        <v>643466</v>
      </c>
      <c r="CG32" s="273">
        <v>622192</v>
      </c>
      <c r="CH32" s="273">
        <v>612371</v>
      </c>
      <c r="CI32" s="273">
        <v>606800</v>
      </c>
      <c r="CJ32" s="273">
        <v>594620</v>
      </c>
      <c r="CK32" s="273">
        <v>575061</v>
      </c>
      <c r="CL32" s="273">
        <v>546920</v>
      </c>
      <c r="CM32" s="273">
        <v>523632</v>
      </c>
      <c r="CN32" s="273">
        <v>503754</v>
      </c>
      <c r="CO32" s="273">
        <v>474067</v>
      </c>
      <c r="CP32" s="273">
        <v>447468</v>
      </c>
      <c r="CQ32" s="273">
        <v>414959</v>
      </c>
      <c r="CR32" s="273">
        <v>389875</v>
      </c>
      <c r="CS32" s="273">
        <v>359773</v>
      </c>
      <c r="CT32" s="273">
        <v>311977</v>
      </c>
      <c r="CU32" s="273">
        <v>284511</v>
      </c>
      <c r="CV32" s="273">
        <v>261909</v>
      </c>
      <c r="CW32" s="273">
        <v>236571</v>
      </c>
      <c r="CX32" s="273">
        <v>213470</v>
      </c>
      <c r="CY32" s="273">
        <v>186706</v>
      </c>
      <c r="CZ32" s="273">
        <v>167956</v>
      </c>
      <c r="DA32" s="273">
        <v>145126</v>
      </c>
      <c r="DB32" s="273">
        <v>126475</v>
      </c>
      <c r="DC32" s="273">
        <v>106571</v>
      </c>
      <c r="DD32" s="273">
        <v>92670</v>
      </c>
      <c r="DE32" s="273">
        <v>76814</v>
      </c>
      <c r="DF32" s="273">
        <v>60202</v>
      </c>
      <c r="DG32" s="273">
        <v>48525</v>
      </c>
      <c r="DH32" s="273">
        <v>144372</v>
      </c>
    </row>
    <row r="33" spans="2:112">
      <c r="B33" s="262" t="s">
        <v>1852</v>
      </c>
      <c r="C33" s="262">
        <f t="shared" si="0"/>
        <v>89105643.599397272</v>
      </c>
      <c r="D33" s="265"/>
      <c r="E33">
        <v>46660000</v>
      </c>
      <c r="F33" s="262">
        <f t="shared" si="1"/>
        <v>20967390.643335208</v>
      </c>
      <c r="G33" s="262">
        <f t="shared" si="2"/>
        <v>10999364.153923037</v>
      </c>
      <c r="H33" s="262">
        <f t="shared" si="3"/>
        <v>8055351.5821555881</v>
      </c>
      <c r="I33" s="262">
        <f t="shared" si="4"/>
        <v>6637893.6205861662</v>
      </c>
      <c r="K33">
        <v>56216121</v>
      </c>
      <c r="L33" s="269">
        <f t="shared" si="5"/>
        <v>0.44936542313191619</v>
      </c>
      <c r="M33" s="269">
        <f t="shared" si="6"/>
        <v>0.23573433677503292</v>
      </c>
      <c r="N33" s="269">
        <f t="shared" si="7"/>
        <v>0.17263933952326593</v>
      </c>
      <c r="O33" s="269">
        <f t="shared" si="8"/>
        <v>0.14226090056978496</v>
      </c>
      <c r="Q33" s="268">
        <f t="shared" si="13"/>
        <v>25261581</v>
      </c>
      <c r="R33" s="268">
        <f t="shared" si="14"/>
        <v>13252070</v>
      </c>
      <c r="S33" s="268">
        <f t="shared" si="15"/>
        <v>9705114</v>
      </c>
      <c r="T33" s="268">
        <f t="shared" si="16"/>
        <v>7997356</v>
      </c>
      <c r="U33" s="273"/>
      <c r="V33" s="273">
        <v>677320</v>
      </c>
      <c r="W33" s="273">
        <v>703053</v>
      </c>
      <c r="X33" s="273">
        <v>727975</v>
      </c>
      <c r="Y33" s="273">
        <v>781701</v>
      </c>
      <c r="Z33" s="273">
        <v>830587</v>
      </c>
      <c r="AA33" s="273">
        <v>882209</v>
      </c>
      <c r="AB33" s="273">
        <v>864671</v>
      </c>
      <c r="AC33" s="273">
        <v>899594</v>
      </c>
      <c r="AD33" s="273">
        <v>904220</v>
      </c>
      <c r="AE33" s="273">
        <v>932285</v>
      </c>
      <c r="AF33" s="273">
        <v>930452</v>
      </c>
      <c r="AG33" s="273">
        <v>957352</v>
      </c>
      <c r="AH33" s="273">
        <v>955812</v>
      </c>
      <c r="AI33" s="273">
        <v>931842</v>
      </c>
      <c r="AJ33" s="273">
        <v>917783</v>
      </c>
      <c r="AK33" s="273">
        <v>899779</v>
      </c>
      <c r="AL33" s="273">
        <v>866926</v>
      </c>
      <c r="AM33" s="273">
        <v>843330</v>
      </c>
      <c r="AN33" s="273">
        <v>827231</v>
      </c>
      <c r="AO33" s="273">
        <v>806930</v>
      </c>
      <c r="AP33" s="273">
        <v>789615</v>
      </c>
      <c r="AQ33" s="273">
        <v>766075</v>
      </c>
      <c r="AR33" s="273">
        <v>783022</v>
      </c>
      <c r="AS33" s="273">
        <v>776724</v>
      </c>
      <c r="AT33" s="273">
        <v>765913</v>
      </c>
      <c r="AU33" s="273">
        <v>778526</v>
      </c>
      <c r="AV33" s="273">
        <v>798701</v>
      </c>
      <c r="AW33" s="273">
        <v>823545</v>
      </c>
      <c r="AX33" s="273">
        <v>879458</v>
      </c>
      <c r="AY33" s="273">
        <v>958950</v>
      </c>
      <c r="AZ33" s="273">
        <v>756703</v>
      </c>
      <c r="BA33" s="273">
        <v>744697</v>
      </c>
      <c r="BB33" s="273">
        <v>751283</v>
      </c>
      <c r="BC33" s="273">
        <v>718381</v>
      </c>
      <c r="BD33" s="273">
        <v>658208</v>
      </c>
      <c r="BE33" s="273">
        <v>614526</v>
      </c>
      <c r="BF33" s="273">
        <v>652735</v>
      </c>
      <c r="BG33" s="273">
        <v>656830</v>
      </c>
      <c r="BH33" s="273">
        <v>654358</v>
      </c>
      <c r="BI33" s="273">
        <v>646448</v>
      </c>
      <c r="BJ33" s="273">
        <v>638109</v>
      </c>
      <c r="BK33" s="273">
        <v>628587</v>
      </c>
      <c r="BL33" s="273">
        <v>612258</v>
      </c>
      <c r="BM33" s="273">
        <v>618192</v>
      </c>
      <c r="BN33" s="273">
        <v>639226</v>
      </c>
      <c r="BO33" s="273">
        <v>652673</v>
      </c>
      <c r="BP33" s="273">
        <v>655268</v>
      </c>
      <c r="BQ33" s="273">
        <v>649012</v>
      </c>
      <c r="BR33" s="273">
        <v>646031</v>
      </c>
      <c r="BS33" s="273">
        <v>658545</v>
      </c>
      <c r="BT33" s="273">
        <v>671922</v>
      </c>
      <c r="BU33" s="273">
        <v>669995</v>
      </c>
      <c r="BV33" s="273">
        <v>678903</v>
      </c>
      <c r="BW33" s="273">
        <v>682599</v>
      </c>
      <c r="BX33" s="273">
        <v>719907</v>
      </c>
      <c r="BY33" s="273">
        <v>750521</v>
      </c>
      <c r="BZ33" s="273">
        <v>783308</v>
      </c>
      <c r="CA33" s="273">
        <v>536308</v>
      </c>
      <c r="CB33" s="273">
        <v>512813</v>
      </c>
      <c r="CC33" s="273">
        <v>567702</v>
      </c>
      <c r="CD33" s="273">
        <v>603006</v>
      </c>
      <c r="CE33" s="273">
        <v>643292</v>
      </c>
      <c r="CF33" s="273">
        <v>644719</v>
      </c>
      <c r="CG33" s="273">
        <v>631301</v>
      </c>
      <c r="CH33" s="273">
        <v>608818</v>
      </c>
      <c r="CI33" s="273">
        <v>597212</v>
      </c>
      <c r="CJ33" s="273">
        <v>590870</v>
      </c>
      <c r="CK33" s="273">
        <v>577660</v>
      </c>
      <c r="CL33" s="273">
        <v>557182</v>
      </c>
      <c r="CM33" s="273">
        <v>528394</v>
      </c>
      <c r="CN33" s="273">
        <v>504551</v>
      </c>
      <c r="CO33" s="273">
        <v>483647</v>
      </c>
      <c r="CP33" s="273">
        <v>453334</v>
      </c>
      <c r="CQ33" s="273">
        <v>426139</v>
      </c>
      <c r="CR33" s="273">
        <v>392665</v>
      </c>
      <c r="CS33" s="273">
        <v>367151</v>
      </c>
      <c r="CT33" s="273">
        <v>337237</v>
      </c>
      <c r="CU33" s="273">
        <v>290635</v>
      </c>
      <c r="CV33" s="273">
        <v>262935</v>
      </c>
      <c r="CW33" s="273">
        <v>240755</v>
      </c>
      <c r="CX33" s="273">
        <v>215271</v>
      </c>
      <c r="CY33" s="273">
        <v>192608</v>
      </c>
      <c r="CZ33" s="273">
        <v>166790</v>
      </c>
      <c r="DA33" s="273">
        <v>148385</v>
      </c>
      <c r="DB33" s="273">
        <v>126205</v>
      </c>
      <c r="DC33" s="273">
        <v>109151</v>
      </c>
      <c r="DD33" s="273">
        <v>90440</v>
      </c>
      <c r="DE33" s="273">
        <v>77892</v>
      </c>
      <c r="DF33" s="273">
        <v>63910</v>
      </c>
      <c r="DG33" s="273">
        <v>49003</v>
      </c>
      <c r="DH33" s="273">
        <v>147334</v>
      </c>
    </row>
    <row r="34" spans="2:112">
      <c r="B34" s="262" t="s">
        <v>1853</v>
      </c>
      <c r="C34" s="262">
        <f t="shared" si="0"/>
        <v>89290894.417993218</v>
      </c>
      <c r="D34" s="265"/>
      <c r="E34">
        <v>46640000</v>
      </c>
      <c r="F34" s="262">
        <f t="shared" si="1"/>
        <v>20691813.114489771</v>
      </c>
      <c r="G34" s="262">
        <f t="shared" si="2"/>
        <v>11217782.949287515</v>
      </c>
      <c r="H34" s="262">
        <f t="shared" si="3"/>
        <v>8005121.8049646281</v>
      </c>
      <c r="I34" s="262">
        <f t="shared" si="4"/>
        <v>6725282.1312580863</v>
      </c>
      <c r="K34">
        <v>56189910</v>
      </c>
      <c r="L34" s="269">
        <f t="shared" si="5"/>
        <v>0.44364950931581842</v>
      </c>
      <c r="M34" s="269">
        <f t="shared" si="6"/>
        <v>0.24051850234321429</v>
      </c>
      <c r="N34" s="269">
        <f t="shared" si="7"/>
        <v>0.17163640233629135</v>
      </c>
      <c r="O34" s="269">
        <f t="shared" si="8"/>
        <v>0.14419558600467594</v>
      </c>
      <c r="Q34" s="268">
        <f t="shared" si="13"/>
        <v>24928626</v>
      </c>
      <c r="R34" s="268">
        <f t="shared" si="14"/>
        <v>13514713</v>
      </c>
      <c r="S34" s="268">
        <f t="shared" si="15"/>
        <v>9644234</v>
      </c>
      <c r="T34" s="268">
        <f t="shared" si="16"/>
        <v>8102337</v>
      </c>
      <c r="U34" s="273"/>
      <c r="V34" s="273">
        <v>645940</v>
      </c>
      <c r="W34" s="273">
        <v>673402</v>
      </c>
      <c r="X34" s="273">
        <v>699438</v>
      </c>
      <c r="Y34" s="273">
        <v>724210</v>
      </c>
      <c r="Z34" s="273">
        <v>778549</v>
      </c>
      <c r="AA34" s="273">
        <v>827397</v>
      </c>
      <c r="AB34" s="273">
        <v>880338</v>
      </c>
      <c r="AC34" s="273">
        <v>864090</v>
      </c>
      <c r="AD34" s="273">
        <v>898361</v>
      </c>
      <c r="AE34" s="273">
        <v>903153</v>
      </c>
      <c r="AF34" s="273">
        <v>930961</v>
      </c>
      <c r="AG34" s="273">
        <v>931686</v>
      </c>
      <c r="AH34" s="273">
        <v>958728</v>
      </c>
      <c r="AI34" s="273">
        <v>956978</v>
      </c>
      <c r="AJ34" s="273">
        <v>933357</v>
      </c>
      <c r="AK34" s="273">
        <v>918863</v>
      </c>
      <c r="AL34" s="273">
        <v>899501</v>
      </c>
      <c r="AM34" s="273">
        <v>866453</v>
      </c>
      <c r="AN34" s="273">
        <v>844228</v>
      </c>
      <c r="AO34" s="273">
        <v>829115</v>
      </c>
      <c r="AP34" s="273">
        <v>810622</v>
      </c>
      <c r="AQ34" s="273">
        <v>791509</v>
      </c>
      <c r="AR34" s="273">
        <v>767539</v>
      </c>
      <c r="AS34" s="273">
        <v>782934</v>
      </c>
      <c r="AT34" s="273">
        <v>775895</v>
      </c>
      <c r="AU34" s="273">
        <v>763173</v>
      </c>
      <c r="AV34" s="273">
        <v>776661</v>
      </c>
      <c r="AW34" s="273">
        <v>796828</v>
      </c>
      <c r="AX34" s="273">
        <v>821426</v>
      </c>
      <c r="AY34" s="273">
        <v>877291</v>
      </c>
      <c r="AZ34" s="273">
        <v>956664</v>
      </c>
      <c r="BA34" s="273">
        <v>755227</v>
      </c>
      <c r="BB34" s="273">
        <v>743403</v>
      </c>
      <c r="BC34" s="273">
        <v>750074</v>
      </c>
      <c r="BD34" s="273">
        <v>716800</v>
      </c>
      <c r="BE34" s="273">
        <v>656808</v>
      </c>
      <c r="BF34" s="273">
        <v>612498</v>
      </c>
      <c r="BG34" s="273">
        <v>650674</v>
      </c>
      <c r="BH34" s="273">
        <v>654573</v>
      </c>
      <c r="BI34" s="273">
        <v>652527</v>
      </c>
      <c r="BJ34" s="273">
        <v>645025</v>
      </c>
      <c r="BK34" s="273">
        <v>636941</v>
      </c>
      <c r="BL34" s="273">
        <v>627093</v>
      </c>
      <c r="BM34" s="273">
        <v>611057</v>
      </c>
      <c r="BN34" s="273">
        <v>616451</v>
      </c>
      <c r="BO34" s="273">
        <v>637243</v>
      </c>
      <c r="BP34" s="273">
        <v>650279</v>
      </c>
      <c r="BQ34" s="273">
        <v>652671</v>
      </c>
      <c r="BR34" s="273">
        <v>646148</v>
      </c>
      <c r="BS34" s="273">
        <v>642557</v>
      </c>
      <c r="BT34" s="273">
        <v>654674</v>
      </c>
      <c r="BU34" s="273">
        <v>667538</v>
      </c>
      <c r="BV34" s="273">
        <v>665140</v>
      </c>
      <c r="BW34" s="273">
        <v>673579</v>
      </c>
      <c r="BX34" s="273">
        <v>677058</v>
      </c>
      <c r="BY34" s="273">
        <v>713432</v>
      </c>
      <c r="BZ34" s="273">
        <v>742909</v>
      </c>
      <c r="CA34" s="273">
        <v>774948</v>
      </c>
      <c r="CB34" s="273">
        <v>530125</v>
      </c>
      <c r="CC34" s="273">
        <v>506292</v>
      </c>
      <c r="CD34" s="273">
        <v>560112</v>
      </c>
      <c r="CE34" s="273">
        <v>594236</v>
      </c>
      <c r="CF34" s="273">
        <v>632635</v>
      </c>
      <c r="CG34" s="273">
        <v>632867</v>
      </c>
      <c r="CH34" s="273">
        <v>618689</v>
      </c>
      <c r="CI34" s="273">
        <v>594564</v>
      </c>
      <c r="CJ34" s="273">
        <v>582366</v>
      </c>
      <c r="CK34" s="273">
        <v>574841</v>
      </c>
      <c r="CL34" s="273">
        <v>560551</v>
      </c>
      <c r="CM34" s="273">
        <v>539277</v>
      </c>
      <c r="CN34" s="273">
        <v>509701</v>
      </c>
      <c r="CO34" s="273">
        <v>485303</v>
      </c>
      <c r="CP34" s="273">
        <v>463048</v>
      </c>
      <c r="CQ34" s="273">
        <v>432300</v>
      </c>
      <c r="CR34" s="273">
        <v>404058</v>
      </c>
      <c r="CS34" s="273">
        <v>370941</v>
      </c>
      <c r="CT34" s="273">
        <v>344473</v>
      </c>
      <c r="CU34" s="273">
        <v>314585</v>
      </c>
      <c r="CV34" s="273">
        <v>269441</v>
      </c>
      <c r="CW34" s="273">
        <v>242358</v>
      </c>
      <c r="CX34" s="273">
        <v>219760</v>
      </c>
      <c r="CY34" s="273">
        <v>195473</v>
      </c>
      <c r="CZ34" s="273">
        <v>173077</v>
      </c>
      <c r="DA34" s="273">
        <v>147739</v>
      </c>
      <c r="DB34" s="273">
        <v>129995</v>
      </c>
      <c r="DC34" s="273">
        <v>109152</v>
      </c>
      <c r="DD34" s="273">
        <v>93507</v>
      </c>
      <c r="DE34" s="273">
        <v>76295</v>
      </c>
      <c r="DF34" s="273">
        <v>65028</v>
      </c>
      <c r="DG34" s="273">
        <v>52659</v>
      </c>
      <c r="DH34" s="273">
        <v>151845</v>
      </c>
    </row>
    <row r="35" spans="2:112">
      <c r="B35" s="262" t="s">
        <v>1854</v>
      </c>
      <c r="C35" s="262">
        <f t="shared" si="0"/>
        <v>89570299.808875725</v>
      </c>
      <c r="D35" s="265"/>
      <c r="E35">
        <v>46638000</v>
      </c>
      <c r="F35" s="262">
        <f t="shared" si="1"/>
        <v>20504338.843560271</v>
      </c>
      <c r="G35" s="262">
        <f t="shared" si="2"/>
        <v>11382139.218671357</v>
      </c>
      <c r="H35" s="262">
        <f t="shared" si="3"/>
        <v>7932259.5366782658</v>
      </c>
      <c r="I35" s="262">
        <f t="shared" si="4"/>
        <v>6819262.401090106</v>
      </c>
      <c r="K35">
        <v>56178025</v>
      </c>
      <c r="L35" s="269">
        <f t="shared" si="5"/>
        <v>0.43964875945710091</v>
      </c>
      <c r="M35" s="269">
        <f t="shared" si="6"/>
        <v>0.24405290146814523</v>
      </c>
      <c r="N35" s="269">
        <f t="shared" si="7"/>
        <v>0.17008146868815699</v>
      </c>
      <c r="O35" s="269">
        <f t="shared" si="8"/>
        <v>0.14621687038659689</v>
      </c>
      <c r="Q35" s="268">
        <f t="shared" si="13"/>
        <v>24698599</v>
      </c>
      <c r="R35" s="268">
        <f t="shared" si="14"/>
        <v>13710410</v>
      </c>
      <c r="S35" s="268">
        <f t="shared" si="15"/>
        <v>9554841</v>
      </c>
      <c r="T35" s="268">
        <f t="shared" si="16"/>
        <v>8214175</v>
      </c>
      <c r="U35" s="273"/>
      <c r="V35" s="273">
        <v>655810</v>
      </c>
      <c r="W35" s="273">
        <v>643970</v>
      </c>
      <c r="X35" s="273">
        <v>672126</v>
      </c>
      <c r="Y35" s="273">
        <v>698179</v>
      </c>
      <c r="Z35" s="273">
        <v>723114</v>
      </c>
      <c r="AA35" s="273">
        <v>776573</v>
      </c>
      <c r="AB35" s="273">
        <v>825543</v>
      </c>
      <c r="AC35" s="273">
        <v>879577</v>
      </c>
      <c r="AD35" s="273">
        <v>864278</v>
      </c>
      <c r="AE35" s="273">
        <v>897445</v>
      </c>
      <c r="AF35" s="273">
        <v>902581</v>
      </c>
      <c r="AG35" s="273">
        <v>929978</v>
      </c>
      <c r="AH35" s="273">
        <v>934033</v>
      </c>
      <c r="AI35" s="273">
        <v>961122</v>
      </c>
      <c r="AJ35" s="273">
        <v>958674</v>
      </c>
      <c r="AK35" s="273">
        <v>935004</v>
      </c>
      <c r="AL35" s="273">
        <v>919968</v>
      </c>
      <c r="AM35" s="273">
        <v>899790</v>
      </c>
      <c r="AN35" s="273">
        <v>867481</v>
      </c>
      <c r="AO35" s="273">
        <v>846652</v>
      </c>
      <c r="AP35" s="273">
        <v>832645</v>
      </c>
      <c r="AQ35" s="273">
        <v>812787</v>
      </c>
      <c r="AR35" s="273">
        <v>790701</v>
      </c>
      <c r="AS35" s="273">
        <v>765823</v>
      </c>
      <c r="AT35" s="273">
        <v>781827</v>
      </c>
      <c r="AU35" s="273">
        <v>773665</v>
      </c>
      <c r="AV35" s="273">
        <v>760720</v>
      </c>
      <c r="AW35" s="273">
        <v>774345</v>
      </c>
      <c r="AX35" s="273">
        <v>794887</v>
      </c>
      <c r="AY35" s="273">
        <v>819301</v>
      </c>
      <c r="AZ35" s="273">
        <v>874834</v>
      </c>
      <c r="BA35" s="273">
        <v>954300</v>
      </c>
      <c r="BB35" s="273">
        <v>752854</v>
      </c>
      <c r="BC35" s="273">
        <v>741217</v>
      </c>
      <c r="BD35" s="273">
        <v>748216</v>
      </c>
      <c r="BE35" s="273">
        <v>715023</v>
      </c>
      <c r="BF35" s="273">
        <v>655243</v>
      </c>
      <c r="BG35" s="273">
        <v>610467</v>
      </c>
      <c r="BH35" s="273">
        <v>648559</v>
      </c>
      <c r="BI35" s="273">
        <v>652188</v>
      </c>
      <c r="BJ35" s="273">
        <v>650974</v>
      </c>
      <c r="BK35" s="273">
        <v>643697</v>
      </c>
      <c r="BL35" s="273">
        <v>635544</v>
      </c>
      <c r="BM35" s="273">
        <v>625728</v>
      </c>
      <c r="BN35" s="273">
        <v>610198</v>
      </c>
      <c r="BO35" s="273">
        <v>614723</v>
      </c>
      <c r="BP35" s="273">
        <v>635365</v>
      </c>
      <c r="BQ35" s="273">
        <v>648123</v>
      </c>
      <c r="BR35" s="273">
        <v>650071</v>
      </c>
      <c r="BS35" s="273">
        <v>643086</v>
      </c>
      <c r="BT35" s="273">
        <v>639064</v>
      </c>
      <c r="BU35" s="273">
        <v>650459</v>
      </c>
      <c r="BV35" s="273">
        <v>662635</v>
      </c>
      <c r="BW35" s="273">
        <v>659854</v>
      </c>
      <c r="BX35" s="273">
        <v>667851</v>
      </c>
      <c r="BY35" s="273">
        <v>670782</v>
      </c>
      <c r="BZ35" s="273">
        <v>706136</v>
      </c>
      <c r="CA35" s="273">
        <v>734758</v>
      </c>
      <c r="CB35" s="273">
        <v>764998</v>
      </c>
      <c r="CC35" s="273">
        <v>522851</v>
      </c>
      <c r="CD35" s="273">
        <v>499048</v>
      </c>
      <c r="CE35" s="273">
        <v>551004</v>
      </c>
      <c r="CF35" s="273">
        <v>584241</v>
      </c>
      <c r="CG35" s="273">
        <v>621036</v>
      </c>
      <c r="CH35" s="273">
        <v>620124</v>
      </c>
      <c r="CI35" s="273">
        <v>604534</v>
      </c>
      <c r="CJ35" s="273">
        <v>580492</v>
      </c>
      <c r="CK35" s="273">
        <v>566683</v>
      </c>
      <c r="CL35" s="273">
        <v>557897</v>
      </c>
      <c r="CM35" s="273">
        <v>542633</v>
      </c>
      <c r="CN35" s="273">
        <v>520303</v>
      </c>
      <c r="CO35" s="273">
        <v>490146</v>
      </c>
      <c r="CP35" s="273">
        <v>465191</v>
      </c>
      <c r="CQ35" s="273">
        <v>441824</v>
      </c>
      <c r="CR35" s="273">
        <v>410558</v>
      </c>
      <c r="CS35" s="273">
        <v>381674</v>
      </c>
      <c r="CT35" s="273">
        <v>348403</v>
      </c>
      <c r="CU35" s="273">
        <v>321339</v>
      </c>
      <c r="CV35" s="273">
        <v>291816</v>
      </c>
      <c r="CW35" s="273">
        <v>248623</v>
      </c>
      <c r="CX35" s="273">
        <v>221325</v>
      </c>
      <c r="CY35" s="273">
        <v>199146</v>
      </c>
      <c r="CZ35" s="273">
        <v>176064</v>
      </c>
      <c r="DA35" s="273">
        <v>154109</v>
      </c>
      <c r="DB35" s="273">
        <v>129773</v>
      </c>
      <c r="DC35" s="273">
        <v>112620</v>
      </c>
      <c r="DD35" s="273">
        <v>93370</v>
      </c>
      <c r="DE35" s="273">
        <v>79342</v>
      </c>
      <c r="DF35" s="273">
        <v>63611</v>
      </c>
      <c r="DG35" s="273">
        <v>53499</v>
      </c>
      <c r="DH35" s="273">
        <v>159200</v>
      </c>
    </row>
    <row r="36" spans="2:112">
      <c r="B36" s="262" t="s">
        <v>1855</v>
      </c>
      <c r="C36" s="262">
        <f t="shared" si="0"/>
        <v>89941037.919092521</v>
      </c>
      <c r="D36" s="265"/>
      <c r="E36">
        <v>46698000</v>
      </c>
      <c r="F36" s="262">
        <f t="shared" si="1"/>
        <v>20414983.782572184</v>
      </c>
      <c r="G36" s="262">
        <f t="shared" si="2"/>
        <v>11510207.515273858</v>
      </c>
      <c r="H36" s="262">
        <f t="shared" si="3"/>
        <v>7866466.6456128694</v>
      </c>
      <c r="I36" s="262">
        <f t="shared" si="4"/>
        <v>6906342.0565410918</v>
      </c>
      <c r="K36">
        <v>56240053</v>
      </c>
      <c r="L36" s="269">
        <f t="shared" si="5"/>
        <v>0.43717040949445762</v>
      </c>
      <c r="M36" s="269">
        <f t="shared" si="6"/>
        <v>0.24648180896984576</v>
      </c>
      <c r="N36" s="269">
        <f t="shared" si="7"/>
        <v>0.168454037552205</v>
      </c>
      <c r="O36" s="269">
        <f t="shared" si="8"/>
        <v>0.14789374398349162</v>
      </c>
      <c r="Q36" s="268">
        <f t="shared" si="13"/>
        <v>24586487</v>
      </c>
      <c r="R36" s="268">
        <f t="shared" si="14"/>
        <v>13862150</v>
      </c>
      <c r="S36" s="268">
        <f t="shared" si="15"/>
        <v>9473864</v>
      </c>
      <c r="T36" s="268">
        <f t="shared" si="16"/>
        <v>8317552</v>
      </c>
      <c r="U36" s="273"/>
      <c r="V36" s="273">
        <v>709691</v>
      </c>
      <c r="W36" s="273">
        <v>653317</v>
      </c>
      <c r="X36" s="273">
        <v>642965</v>
      </c>
      <c r="Y36" s="273">
        <v>671253</v>
      </c>
      <c r="Z36" s="273">
        <v>697276</v>
      </c>
      <c r="AA36" s="273">
        <v>721817</v>
      </c>
      <c r="AB36" s="273">
        <v>775325</v>
      </c>
      <c r="AC36" s="273">
        <v>824405</v>
      </c>
      <c r="AD36" s="273">
        <v>878893</v>
      </c>
      <c r="AE36" s="273">
        <v>864563</v>
      </c>
      <c r="AF36" s="273">
        <v>896629</v>
      </c>
      <c r="AG36" s="273">
        <v>902481</v>
      </c>
      <c r="AH36" s="273">
        <v>929724</v>
      </c>
      <c r="AI36" s="273">
        <v>936297</v>
      </c>
      <c r="AJ36" s="273">
        <v>963679</v>
      </c>
      <c r="AK36" s="273">
        <v>961647</v>
      </c>
      <c r="AL36" s="273">
        <v>936592</v>
      </c>
      <c r="AM36" s="273">
        <v>921502</v>
      </c>
      <c r="AN36" s="273">
        <v>901484</v>
      </c>
      <c r="AO36" s="273">
        <v>870708</v>
      </c>
      <c r="AP36" s="273">
        <v>850040</v>
      </c>
      <c r="AQ36" s="273">
        <v>834530</v>
      </c>
      <c r="AR36" s="273">
        <v>814185</v>
      </c>
      <c r="AS36" s="273">
        <v>789500</v>
      </c>
      <c r="AT36" s="273">
        <v>764368</v>
      </c>
      <c r="AU36" s="273">
        <v>778852</v>
      </c>
      <c r="AV36" s="273">
        <v>771312</v>
      </c>
      <c r="AW36" s="273">
        <v>758226</v>
      </c>
      <c r="AX36" s="273">
        <v>772503</v>
      </c>
      <c r="AY36" s="273">
        <v>792723</v>
      </c>
      <c r="AZ36" s="273">
        <v>817681</v>
      </c>
      <c r="BA36" s="273">
        <v>873347</v>
      </c>
      <c r="BB36" s="273">
        <v>952964</v>
      </c>
      <c r="BC36" s="273">
        <v>752182</v>
      </c>
      <c r="BD36" s="273">
        <v>740220</v>
      </c>
      <c r="BE36" s="273">
        <v>747088</v>
      </c>
      <c r="BF36" s="273">
        <v>714289</v>
      </c>
      <c r="BG36" s="273">
        <v>654801</v>
      </c>
      <c r="BH36" s="273">
        <v>610082</v>
      </c>
      <c r="BI36" s="273">
        <v>648174</v>
      </c>
      <c r="BJ36" s="273">
        <v>651867</v>
      </c>
      <c r="BK36" s="273">
        <v>650340</v>
      </c>
      <c r="BL36" s="273">
        <v>642352</v>
      </c>
      <c r="BM36" s="273">
        <v>634476</v>
      </c>
      <c r="BN36" s="273">
        <v>624584</v>
      </c>
      <c r="BO36" s="273">
        <v>608662</v>
      </c>
      <c r="BP36" s="273">
        <v>612828</v>
      </c>
      <c r="BQ36" s="273">
        <v>633254</v>
      </c>
      <c r="BR36" s="273">
        <v>645623</v>
      </c>
      <c r="BS36" s="273">
        <v>647336</v>
      </c>
      <c r="BT36" s="273">
        <v>640165</v>
      </c>
      <c r="BU36" s="273">
        <v>635814</v>
      </c>
      <c r="BV36" s="273">
        <v>646402</v>
      </c>
      <c r="BW36" s="273">
        <v>657800</v>
      </c>
      <c r="BX36" s="273">
        <v>654544</v>
      </c>
      <c r="BY36" s="273">
        <v>661789</v>
      </c>
      <c r="BZ36" s="273">
        <v>664181</v>
      </c>
      <c r="CA36" s="273">
        <v>698822</v>
      </c>
      <c r="CB36" s="273">
        <v>726418</v>
      </c>
      <c r="CC36" s="273">
        <v>755700</v>
      </c>
      <c r="CD36" s="273">
        <v>516429</v>
      </c>
      <c r="CE36" s="273">
        <v>491683</v>
      </c>
      <c r="CF36" s="273">
        <v>541826</v>
      </c>
      <c r="CG36" s="273">
        <v>573834</v>
      </c>
      <c r="CH36" s="273">
        <v>608457</v>
      </c>
      <c r="CI36" s="273">
        <v>605952</v>
      </c>
      <c r="CJ36" s="273">
        <v>589987</v>
      </c>
      <c r="CK36" s="273">
        <v>565272</v>
      </c>
      <c r="CL36" s="273">
        <v>550263</v>
      </c>
      <c r="CM36" s="273">
        <v>540596</v>
      </c>
      <c r="CN36" s="273">
        <v>524053</v>
      </c>
      <c r="CO36" s="273">
        <v>500627</v>
      </c>
      <c r="CP36" s="273">
        <v>469785</v>
      </c>
      <c r="CQ36" s="273">
        <v>444018</v>
      </c>
      <c r="CR36" s="273">
        <v>419212</v>
      </c>
      <c r="CS36" s="273">
        <v>387878</v>
      </c>
      <c r="CT36" s="273">
        <v>358557</v>
      </c>
      <c r="CU36" s="273">
        <v>325082</v>
      </c>
      <c r="CV36" s="273">
        <v>298192</v>
      </c>
      <c r="CW36" s="273">
        <v>268616</v>
      </c>
      <c r="CX36" s="273">
        <v>227089</v>
      </c>
      <c r="CY36" s="273">
        <v>200297</v>
      </c>
      <c r="CZ36" s="273">
        <v>178736</v>
      </c>
      <c r="DA36" s="273">
        <v>156552</v>
      </c>
      <c r="DB36" s="273">
        <v>135144</v>
      </c>
      <c r="DC36" s="273">
        <v>112272</v>
      </c>
      <c r="DD36" s="273">
        <v>96450</v>
      </c>
      <c r="DE36" s="273">
        <v>78500</v>
      </c>
      <c r="DF36" s="273">
        <v>66418</v>
      </c>
      <c r="DG36" s="273">
        <v>51977</v>
      </c>
      <c r="DH36" s="273">
        <v>166027</v>
      </c>
    </row>
    <row r="37" spans="2:112">
      <c r="B37" s="262" t="s">
        <v>1856</v>
      </c>
      <c r="C37" s="262">
        <f t="shared" si="0"/>
        <v>90379819.440237597</v>
      </c>
      <c r="D37" s="265"/>
      <c r="E37">
        <v>46787000</v>
      </c>
      <c r="F37" s="262">
        <f t="shared" si="1"/>
        <v>20366759.304532088</v>
      </c>
      <c r="G37" s="262">
        <f t="shared" si="2"/>
        <v>11607800.81838927</v>
      </c>
      <c r="H37" s="262">
        <f t="shared" si="3"/>
        <v>7816243.5529849427</v>
      </c>
      <c r="I37" s="262">
        <f t="shared" si="4"/>
        <v>6996196.3240936985</v>
      </c>
      <c r="K37">
        <v>56329673</v>
      </c>
      <c r="L37" s="269">
        <f t="shared" si="5"/>
        <v>0.43530808353884815</v>
      </c>
      <c r="M37" s="269">
        <f t="shared" si="6"/>
        <v>0.24809884836363244</v>
      </c>
      <c r="N37" s="269">
        <f t="shared" si="7"/>
        <v>0.16706015673124891</v>
      </c>
      <c r="O37" s="269">
        <f t="shared" si="8"/>
        <v>0.1495329113662705</v>
      </c>
      <c r="Q37" s="268">
        <f t="shared" si="13"/>
        <v>24520762</v>
      </c>
      <c r="R37" s="268">
        <f t="shared" si="14"/>
        <v>13975327</v>
      </c>
      <c r="S37" s="268">
        <f t="shared" si="15"/>
        <v>9410444</v>
      </c>
      <c r="T37" s="268">
        <f t="shared" si="16"/>
        <v>8423140</v>
      </c>
      <c r="U37" s="273"/>
      <c r="V37" s="273">
        <v>734109</v>
      </c>
      <c r="W37" s="273">
        <v>706379</v>
      </c>
      <c r="X37" s="273">
        <v>652006</v>
      </c>
      <c r="Y37" s="273">
        <v>641043</v>
      </c>
      <c r="Z37" s="273">
        <v>669995</v>
      </c>
      <c r="AA37" s="273">
        <v>695867</v>
      </c>
      <c r="AB37" s="273">
        <v>720467</v>
      </c>
      <c r="AC37" s="273">
        <v>774300</v>
      </c>
      <c r="AD37" s="273">
        <v>822960</v>
      </c>
      <c r="AE37" s="273">
        <v>878476</v>
      </c>
      <c r="AF37" s="273">
        <v>865443</v>
      </c>
      <c r="AG37" s="273">
        <v>896051</v>
      </c>
      <c r="AH37" s="273">
        <v>902489</v>
      </c>
      <c r="AI37" s="273">
        <v>929655</v>
      </c>
      <c r="AJ37" s="273">
        <v>938603</v>
      </c>
      <c r="AK37" s="273">
        <v>965946</v>
      </c>
      <c r="AL37" s="273">
        <v>962444</v>
      </c>
      <c r="AM37" s="273">
        <v>938496</v>
      </c>
      <c r="AN37" s="273">
        <v>923465</v>
      </c>
      <c r="AO37" s="273">
        <v>905432</v>
      </c>
      <c r="AP37" s="273">
        <v>875841</v>
      </c>
      <c r="AQ37" s="273">
        <v>852782</v>
      </c>
      <c r="AR37" s="273">
        <v>836418</v>
      </c>
      <c r="AS37" s="273">
        <v>812541</v>
      </c>
      <c r="AT37" s="273">
        <v>787699</v>
      </c>
      <c r="AU37" s="273">
        <v>761274</v>
      </c>
      <c r="AV37" s="273">
        <v>775355</v>
      </c>
      <c r="AW37" s="273">
        <v>769716</v>
      </c>
      <c r="AX37" s="273">
        <v>755151</v>
      </c>
      <c r="AY37" s="273">
        <v>770359</v>
      </c>
      <c r="AZ37" s="273">
        <v>789603</v>
      </c>
      <c r="BA37" s="273">
        <v>816014</v>
      </c>
      <c r="BB37" s="273">
        <v>871772</v>
      </c>
      <c r="BC37" s="273">
        <v>951187</v>
      </c>
      <c r="BD37" s="273">
        <v>750850</v>
      </c>
      <c r="BE37" s="273">
        <v>738670</v>
      </c>
      <c r="BF37" s="273">
        <v>745679</v>
      </c>
      <c r="BG37" s="273">
        <v>713455</v>
      </c>
      <c r="BH37" s="273">
        <v>653686</v>
      </c>
      <c r="BI37" s="273">
        <v>609197</v>
      </c>
      <c r="BJ37" s="273">
        <v>646365</v>
      </c>
      <c r="BK37" s="273">
        <v>650760</v>
      </c>
      <c r="BL37" s="273">
        <v>649585</v>
      </c>
      <c r="BM37" s="273">
        <v>641027</v>
      </c>
      <c r="BN37" s="273">
        <v>632858</v>
      </c>
      <c r="BO37" s="273">
        <v>623225</v>
      </c>
      <c r="BP37" s="273">
        <v>606737</v>
      </c>
      <c r="BQ37" s="273">
        <v>610637</v>
      </c>
      <c r="BR37" s="273">
        <v>631030</v>
      </c>
      <c r="BS37" s="273">
        <v>642990</v>
      </c>
      <c r="BT37" s="273">
        <v>644293</v>
      </c>
      <c r="BU37" s="273">
        <v>636853</v>
      </c>
      <c r="BV37" s="273">
        <v>632119</v>
      </c>
      <c r="BW37" s="273">
        <v>641939</v>
      </c>
      <c r="BX37" s="273">
        <v>652535</v>
      </c>
      <c r="BY37" s="273">
        <v>649361</v>
      </c>
      <c r="BZ37" s="273">
        <v>655150</v>
      </c>
      <c r="CA37" s="273">
        <v>656959</v>
      </c>
      <c r="CB37" s="273">
        <v>691162</v>
      </c>
      <c r="CC37" s="273">
        <v>717643</v>
      </c>
      <c r="CD37" s="273">
        <v>746044</v>
      </c>
      <c r="CE37" s="273">
        <v>508511</v>
      </c>
      <c r="CF37" s="273">
        <v>483521</v>
      </c>
      <c r="CG37" s="273">
        <v>531563</v>
      </c>
      <c r="CH37" s="273">
        <v>562791</v>
      </c>
      <c r="CI37" s="273">
        <v>595331</v>
      </c>
      <c r="CJ37" s="273">
        <v>592124</v>
      </c>
      <c r="CK37" s="273">
        <v>575168</v>
      </c>
      <c r="CL37" s="273">
        <v>550031</v>
      </c>
      <c r="CM37" s="273">
        <v>534002</v>
      </c>
      <c r="CN37" s="273">
        <v>522858</v>
      </c>
      <c r="CO37" s="273">
        <v>505575</v>
      </c>
      <c r="CP37" s="273">
        <v>480713</v>
      </c>
      <c r="CQ37" s="273">
        <v>448895</v>
      </c>
      <c r="CR37" s="273">
        <v>422817</v>
      </c>
      <c r="CS37" s="273">
        <v>397182</v>
      </c>
      <c r="CT37" s="273">
        <v>365533</v>
      </c>
      <c r="CU37" s="273">
        <v>335861</v>
      </c>
      <c r="CV37" s="273">
        <v>302772</v>
      </c>
      <c r="CW37" s="273">
        <v>275373</v>
      </c>
      <c r="CX37" s="273">
        <v>245817</v>
      </c>
      <c r="CY37" s="273">
        <v>206685</v>
      </c>
      <c r="CZ37" s="273">
        <v>180456</v>
      </c>
      <c r="DA37" s="273">
        <v>159277</v>
      </c>
      <c r="DB37" s="273">
        <v>138526</v>
      </c>
      <c r="DC37" s="273">
        <v>117861</v>
      </c>
      <c r="DD37" s="273">
        <v>96328</v>
      </c>
      <c r="DE37" s="273">
        <v>81915</v>
      </c>
      <c r="DF37" s="273">
        <v>65700</v>
      </c>
      <c r="DG37" s="273">
        <v>55305</v>
      </c>
      <c r="DH37" s="273">
        <v>171035</v>
      </c>
    </row>
    <row r="38" spans="2:112">
      <c r="B38" s="262" t="s">
        <v>1857</v>
      </c>
      <c r="C38" s="262">
        <f t="shared" si="0"/>
        <v>90573959.805242747</v>
      </c>
      <c r="D38" s="265"/>
      <c r="E38">
        <v>46821000</v>
      </c>
      <c r="F38" s="262">
        <f t="shared" si="1"/>
        <v>20313281.913731959</v>
      </c>
      <c r="G38" s="262">
        <f t="shared" si="2"/>
        <v>11668665.501520792</v>
      </c>
      <c r="H38" s="262">
        <f t="shared" si="3"/>
        <v>7797614.9879100313</v>
      </c>
      <c r="I38" s="262">
        <f t="shared" si="4"/>
        <v>7041437.5968372179</v>
      </c>
      <c r="K38">
        <v>56357464</v>
      </c>
      <c r="L38" s="269">
        <f t="shared" si="5"/>
        <v>0.43384980913974414</v>
      </c>
      <c r="M38" s="269">
        <f t="shared" si="6"/>
        <v>0.24921863056151711</v>
      </c>
      <c r="N38" s="269">
        <f t="shared" si="7"/>
        <v>0.16654097494521755</v>
      </c>
      <c r="O38" s="269">
        <f t="shared" si="8"/>
        <v>0.15039058535352123</v>
      </c>
      <c r="Q38" s="268">
        <f t="shared" si="13"/>
        <v>24450675</v>
      </c>
      <c r="R38" s="268">
        <f t="shared" si="14"/>
        <v>14045330</v>
      </c>
      <c r="S38" s="268">
        <f t="shared" si="15"/>
        <v>9385827</v>
      </c>
      <c r="T38" s="268">
        <f t="shared" si="16"/>
        <v>8475632</v>
      </c>
      <c r="U38" s="272"/>
      <c r="V38" s="272">
        <v>729873</v>
      </c>
      <c r="W38" s="272">
        <v>731302</v>
      </c>
      <c r="X38" s="272">
        <v>705202</v>
      </c>
      <c r="Y38" s="272">
        <v>650422</v>
      </c>
      <c r="Z38" s="272">
        <v>639530</v>
      </c>
      <c r="AA38" s="272">
        <v>668816</v>
      </c>
      <c r="AB38" s="272">
        <v>694695</v>
      </c>
      <c r="AC38" s="272">
        <v>719314</v>
      </c>
      <c r="AD38" s="272">
        <v>772978</v>
      </c>
      <c r="AE38" s="272">
        <v>821630</v>
      </c>
      <c r="AF38" s="272">
        <v>875918</v>
      </c>
      <c r="AG38" s="272">
        <v>865511</v>
      </c>
      <c r="AH38" s="272">
        <v>895751</v>
      </c>
      <c r="AI38" s="272">
        <v>902239</v>
      </c>
      <c r="AJ38" s="272">
        <v>930304</v>
      </c>
      <c r="AK38" s="272">
        <v>939309</v>
      </c>
      <c r="AL38" s="272">
        <v>966399</v>
      </c>
      <c r="AM38" s="272">
        <v>962721</v>
      </c>
      <c r="AN38" s="272">
        <v>939449</v>
      </c>
      <c r="AO38" s="272">
        <v>926795</v>
      </c>
      <c r="AP38" s="272">
        <v>909562</v>
      </c>
      <c r="AQ38" s="272">
        <v>878441</v>
      </c>
      <c r="AR38" s="272">
        <v>854940</v>
      </c>
      <c r="AS38" s="272">
        <v>833717</v>
      </c>
      <c r="AT38" s="272">
        <v>807617</v>
      </c>
      <c r="AU38" s="272">
        <v>784445</v>
      </c>
      <c r="AV38" s="272">
        <v>758198</v>
      </c>
      <c r="AW38" s="272">
        <v>769103</v>
      </c>
      <c r="AX38" s="272">
        <v>765755</v>
      </c>
      <c r="AY38" s="272">
        <v>750739</v>
      </c>
      <c r="AZ38" s="272">
        <v>765061</v>
      </c>
      <c r="BA38" s="272">
        <v>786422</v>
      </c>
      <c r="BB38" s="272">
        <v>813689</v>
      </c>
      <c r="BC38" s="272">
        <v>868562</v>
      </c>
      <c r="BD38" s="272">
        <v>948252</v>
      </c>
      <c r="BE38" s="272">
        <v>746930</v>
      </c>
      <c r="BF38" s="272">
        <v>736066</v>
      </c>
      <c r="BG38" s="272">
        <v>742848</v>
      </c>
      <c r="BH38" s="272">
        <v>711255</v>
      </c>
      <c r="BI38" s="272">
        <v>651955</v>
      </c>
      <c r="BJ38" s="272">
        <v>606741</v>
      </c>
      <c r="BK38" s="272">
        <v>644244</v>
      </c>
      <c r="BL38" s="272">
        <v>648299</v>
      </c>
      <c r="BM38" s="272">
        <v>647143</v>
      </c>
      <c r="BN38" s="272">
        <v>638161</v>
      </c>
      <c r="BO38" s="272">
        <v>630219</v>
      </c>
      <c r="BP38" s="272">
        <v>620403</v>
      </c>
      <c r="BQ38" s="272">
        <v>603491</v>
      </c>
      <c r="BR38" s="272">
        <v>607590</v>
      </c>
      <c r="BS38" s="272">
        <v>627999</v>
      </c>
      <c r="BT38" s="272">
        <v>639280</v>
      </c>
      <c r="BU38" s="272">
        <v>640870</v>
      </c>
      <c r="BV38" s="272">
        <v>633225</v>
      </c>
      <c r="BW38" s="272">
        <v>628311</v>
      </c>
      <c r="BX38" s="272">
        <v>637645</v>
      </c>
      <c r="BY38" s="272">
        <v>647269</v>
      </c>
      <c r="BZ38" s="272">
        <v>643189</v>
      </c>
      <c r="CA38" s="272">
        <v>648226</v>
      </c>
      <c r="CB38" s="272">
        <v>649859</v>
      </c>
      <c r="CC38" s="272">
        <v>682533</v>
      </c>
      <c r="CD38" s="272">
        <v>707868</v>
      </c>
      <c r="CE38" s="272">
        <v>735832</v>
      </c>
      <c r="CF38" s="272">
        <v>498471</v>
      </c>
      <c r="CG38" s="272">
        <v>473074</v>
      </c>
      <c r="CH38" s="272">
        <v>520175</v>
      </c>
      <c r="CI38" s="272">
        <v>551034</v>
      </c>
      <c r="CJ38" s="272">
        <v>580832</v>
      </c>
      <c r="CK38" s="272">
        <v>576177</v>
      </c>
      <c r="CL38" s="272">
        <v>559002</v>
      </c>
      <c r="CM38" s="272">
        <v>533937</v>
      </c>
      <c r="CN38" s="272">
        <v>515839</v>
      </c>
      <c r="CO38" s="272">
        <v>504654</v>
      </c>
      <c r="CP38" s="272">
        <v>485901</v>
      </c>
      <c r="CQ38" s="272">
        <v>460827</v>
      </c>
      <c r="CR38" s="272">
        <v>426593</v>
      </c>
      <c r="CS38" s="272">
        <v>398900</v>
      </c>
      <c r="CT38" s="272">
        <v>374689</v>
      </c>
      <c r="CU38" s="272">
        <v>342031</v>
      </c>
      <c r="CV38" s="272">
        <v>312774</v>
      </c>
      <c r="CW38" s="272">
        <v>280282</v>
      </c>
      <c r="CX38" s="272">
        <v>253791</v>
      </c>
      <c r="CY38" s="272">
        <v>226161</v>
      </c>
      <c r="CZ38" s="272">
        <v>186949</v>
      </c>
      <c r="DA38" s="272">
        <v>161015</v>
      </c>
      <c r="DB38" s="272">
        <v>140890</v>
      </c>
      <c r="DC38" s="272">
        <v>603354</v>
      </c>
      <c r="DD38" s="270" t="s">
        <v>1858</v>
      </c>
      <c r="DE38" s="270" t="s">
        <v>1858</v>
      </c>
      <c r="DF38" s="270" t="s">
        <v>1858</v>
      </c>
      <c r="DG38" s="270" t="s">
        <v>1858</v>
      </c>
      <c r="DH38" s="270" t="s">
        <v>1858</v>
      </c>
    </row>
    <row r="39" spans="2:112">
      <c r="B39" s="262" t="s">
        <v>1859</v>
      </c>
      <c r="C39" s="262">
        <f t="shared" ref="C39:C70" si="17">(F39*F$5)+(G39*G$5)+(H39*H$5)+(I39*I$5)</f>
        <v>90471321.783241898</v>
      </c>
      <c r="D39" s="265"/>
      <c r="E39">
        <v>46777000</v>
      </c>
      <c r="F39" s="262">
        <f t="shared" si="1"/>
        <v>20212196.091411956</v>
      </c>
      <c r="G39" s="262">
        <f t="shared" si="2"/>
        <v>11720326.663949935</v>
      </c>
      <c r="H39" s="262">
        <f t="shared" si="3"/>
        <v>7803063.7425240558</v>
      </c>
      <c r="I39" s="262">
        <f t="shared" si="4"/>
        <v>7041413.5021140529</v>
      </c>
      <c r="K39">
        <v>56290711</v>
      </c>
      <c r="L39" s="269">
        <f t="shared" si="5"/>
        <v>0.43209688717557682</v>
      </c>
      <c r="M39" s="269">
        <f t="shared" si="6"/>
        <v>0.25055746764328485</v>
      </c>
      <c r="N39" s="269">
        <f t="shared" si="7"/>
        <v>0.16681411254514089</v>
      </c>
      <c r="O39" s="269">
        <f t="shared" si="8"/>
        <v>0.15053153263599744</v>
      </c>
      <c r="Q39" s="268">
        <f t="shared" si="13"/>
        <v>24323041</v>
      </c>
      <c r="R39" s="268">
        <f t="shared" si="14"/>
        <v>14104058</v>
      </c>
      <c r="S39" s="268">
        <f t="shared" si="15"/>
        <v>9390085</v>
      </c>
      <c r="T39" s="268">
        <f t="shared" si="16"/>
        <v>8473527</v>
      </c>
      <c r="U39" s="267"/>
      <c r="V39" s="267">
        <v>713110</v>
      </c>
      <c r="W39" s="267">
        <v>724575</v>
      </c>
      <c r="X39" s="267">
        <v>729747</v>
      </c>
      <c r="Y39" s="267">
        <v>703396</v>
      </c>
      <c r="Z39" s="267">
        <v>648728</v>
      </c>
      <c r="AA39" s="267">
        <v>638045</v>
      </c>
      <c r="AB39" s="267">
        <v>667390</v>
      </c>
      <c r="AC39" s="267">
        <v>693233</v>
      </c>
      <c r="AD39" s="267">
        <v>717915</v>
      </c>
      <c r="AE39" s="267">
        <v>771430</v>
      </c>
      <c r="AF39" s="267">
        <v>819839</v>
      </c>
      <c r="AG39" s="267">
        <v>872790</v>
      </c>
      <c r="AH39" s="267">
        <v>863153</v>
      </c>
      <c r="AI39" s="267">
        <v>893618</v>
      </c>
      <c r="AJ39" s="267">
        <v>900527</v>
      </c>
      <c r="AK39" s="267">
        <v>929285</v>
      </c>
      <c r="AL39" s="267">
        <v>940654</v>
      </c>
      <c r="AM39" s="267">
        <v>973805</v>
      </c>
      <c r="AN39" s="267">
        <v>964368</v>
      </c>
      <c r="AO39" s="267">
        <v>945693</v>
      </c>
      <c r="AP39" s="267">
        <v>926815</v>
      </c>
      <c r="AQ39" s="267">
        <v>905162</v>
      </c>
      <c r="AR39" s="267">
        <v>870150</v>
      </c>
      <c r="AS39" s="267">
        <v>844646</v>
      </c>
      <c r="AT39" s="267">
        <v>822769</v>
      </c>
      <c r="AU39" s="267">
        <v>796253</v>
      </c>
      <c r="AV39" s="267">
        <v>775033</v>
      </c>
      <c r="AW39" s="267">
        <v>750646</v>
      </c>
      <c r="AX39" s="267">
        <v>761969</v>
      </c>
      <c r="AY39" s="267">
        <v>758297</v>
      </c>
      <c r="AZ39" s="267">
        <v>744280</v>
      </c>
      <c r="BA39" s="267">
        <v>759735</v>
      </c>
      <c r="BB39" s="267">
        <v>782133</v>
      </c>
      <c r="BC39" s="267">
        <v>809910</v>
      </c>
      <c r="BD39" s="267">
        <v>865039</v>
      </c>
      <c r="BE39" s="267">
        <v>944719</v>
      </c>
      <c r="BF39" s="267">
        <v>744607</v>
      </c>
      <c r="BG39" s="267">
        <v>733142</v>
      </c>
      <c r="BH39" s="267">
        <v>739423</v>
      </c>
      <c r="BI39" s="267">
        <v>707770</v>
      </c>
      <c r="BJ39" s="267">
        <v>649996</v>
      </c>
      <c r="BK39" s="267">
        <v>604878</v>
      </c>
      <c r="BL39" s="267">
        <v>641840</v>
      </c>
      <c r="BM39" s="267">
        <v>645990</v>
      </c>
      <c r="BN39" s="267">
        <v>644617</v>
      </c>
      <c r="BO39" s="267">
        <v>635311</v>
      </c>
      <c r="BP39" s="267">
        <v>627457</v>
      </c>
      <c r="BQ39" s="267">
        <v>617638</v>
      </c>
      <c r="BR39" s="267">
        <v>600775</v>
      </c>
      <c r="BS39" s="267">
        <v>604798</v>
      </c>
      <c r="BT39" s="267">
        <v>625007</v>
      </c>
      <c r="BU39" s="267">
        <v>636094</v>
      </c>
      <c r="BV39" s="267">
        <v>637179</v>
      </c>
      <c r="BW39" s="267">
        <v>628621</v>
      </c>
      <c r="BX39" s="267">
        <v>623235</v>
      </c>
      <c r="BY39" s="267">
        <v>632276</v>
      </c>
      <c r="BZ39" s="267">
        <v>641307</v>
      </c>
      <c r="CA39" s="267">
        <v>636504</v>
      </c>
      <c r="CB39" s="267">
        <v>640688</v>
      </c>
      <c r="CC39" s="267">
        <v>641896</v>
      </c>
      <c r="CD39" s="267">
        <v>673028</v>
      </c>
      <c r="CE39" s="267">
        <v>697173</v>
      </c>
      <c r="CF39" s="267">
        <v>723487</v>
      </c>
      <c r="CG39" s="267">
        <v>489470</v>
      </c>
      <c r="CH39" s="267">
        <v>464120</v>
      </c>
      <c r="CI39" s="267">
        <v>509006</v>
      </c>
      <c r="CJ39" s="267">
        <v>538501</v>
      </c>
      <c r="CK39" s="267">
        <v>565930</v>
      </c>
      <c r="CL39" s="267">
        <v>559534</v>
      </c>
      <c r="CM39" s="267">
        <v>541136</v>
      </c>
      <c r="CN39" s="267">
        <v>515868</v>
      </c>
      <c r="CO39" s="267">
        <v>496592</v>
      </c>
      <c r="CP39" s="267">
        <v>483581</v>
      </c>
      <c r="CQ39" s="267">
        <v>463464</v>
      </c>
      <c r="CR39" s="267">
        <v>438014</v>
      </c>
      <c r="CS39" s="267">
        <v>403859</v>
      </c>
      <c r="CT39" s="267">
        <v>375609</v>
      </c>
      <c r="CU39" s="267">
        <v>350891</v>
      </c>
      <c r="CV39" s="267">
        <v>318170</v>
      </c>
      <c r="CW39" s="267">
        <v>289121</v>
      </c>
      <c r="CX39" s="267">
        <v>258820</v>
      </c>
      <c r="CY39" s="267">
        <v>231239</v>
      </c>
      <c r="CZ39" s="267">
        <v>203987</v>
      </c>
      <c r="DA39" s="267">
        <v>167487</v>
      </c>
      <c r="DB39" s="267">
        <v>142994</v>
      </c>
      <c r="DC39" s="271">
        <v>619724</v>
      </c>
      <c r="DD39" s="270" t="s">
        <v>1858</v>
      </c>
      <c r="DE39" s="270" t="s">
        <v>1858</v>
      </c>
      <c r="DF39" s="270" t="s">
        <v>1858</v>
      </c>
      <c r="DG39" s="270" t="s">
        <v>1858</v>
      </c>
      <c r="DH39" s="270" t="s">
        <v>1858</v>
      </c>
    </row>
    <row r="40" spans="2:112">
      <c r="B40" s="262" t="s">
        <v>1860</v>
      </c>
      <c r="C40" s="262">
        <f t="shared" si="17"/>
        <v>90309866.006475031</v>
      </c>
      <c r="D40" s="265"/>
      <c r="E40">
        <v>46814000</v>
      </c>
      <c r="F40" s="262">
        <f t="shared" si="1"/>
        <v>20153505.182970632</v>
      </c>
      <c r="G40" s="262">
        <f t="shared" si="2"/>
        <v>11819200.43049469</v>
      </c>
      <c r="H40" s="262">
        <f t="shared" si="3"/>
        <v>7839442.2891870765</v>
      </c>
      <c r="I40" s="262">
        <f t="shared" si="4"/>
        <v>7001852.0973476004</v>
      </c>
      <c r="K40">
        <v>56315677</v>
      </c>
      <c r="L40" s="269">
        <f t="shared" si="5"/>
        <v>0.43050167007669998</v>
      </c>
      <c r="M40" s="269">
        <f t="shared" si="6"/>
        <v>0.25247149208558745</v>
      </c>
      <c r="N40" s="269">
        <f t="shared" si="7"/>
        <v>0.16745935594452677</v>
      </c>
      <c r="O40" s="269">
        <f t="shared" si="8"/>
        <v>0.14956748189318581</v>
      </c>
      <c r="Q40" s="268">
        <f t="shared" si="13"/>
        <v>24243993</v>
      </c>
      <c r="R40" s="268">
        <f t="shared" si="14"/>
        <v>14218103</v>
      </c>
      <c r="S40" s="268">
        <f t="shared" si="15"/>
        <v>9430587</v>
      </c>
      <c r="T40" s="268">
        <f t="shared" si="16"/>
        <v>8422994</v>
      </c>
      <c r="U40" s="267"/>
      <c r="V40" s="267">
        <v>714626</v>
      </c>
      <c r="W40" s="267">
        <v>710623</v>
      </c>
      <c r="X40" s="267">
        <v>723259</v>
      </c>
      <c r="Y40" s="267">
        <v>728543</v>
      </c>
      <c r="Z40" s="267">
        <v>702473</v>
      </c>
      <c r="AA40" s="267">
        <v>647987</v>
      </c>
      <c r="AB40" s="267">
        <v>637327</v>
      </c>
      <c r="AC40" s="267">
        <v>666969</v>
      </c>
      <c r="AD40" s="267">
        <v>692789</v>
      </c>
      <c r="AE40" s="267">
        <v>717371</v>
      </c>
      <c r="AF40" s="267">
        <v>770715</v>
      </c>
      <c r="AG40" s="267">
        <v>818854</v>
      </c>
      <c r="AH40" s="267">
        <v>870130</v>
      </c>
      <c r="AI40" s="267">
        <v>861132</v>
      </c>
      <c r="AJ40" s="267">
        <v>892221</v>
      </c>
      <c r="AK40" s="267">
        <v>900209</v>
      </c>
      <c r="AL40" s="267">
        <v>930895</v>
      </c>
      <c r="AM40" s="267">
        <v>947382</v>
      </c>
      <c r="AN40" s="267">
        <v>972641</v>
      </c>
      <c r="AO40" s="267">
        <v>970642</v>
      </c>
      <c r="AP40" s="267">
        <v>947633</v>
      </c>
      <c r="AQ40" s="267">
        <v>926249</v>
      </c>
      <c r="AR40" s="267">
        <v>902571</v>
      </c>
      <c r="AS40" s="267">
        <v>865128</v>
      </c>
      <c r="AT40" s="267">
        <v>839072</v>
      </c>
      <c r="AU40" s="267">
        <v>816994</v>
      </c>
      <c r="AV40" s="267">
        <v>791702</v>
      </c>
      <c r="AW40" s="267">
        <v>771848</v>
      </c>
      <c r="AX40" s="267">
        <v>747495</v>
      </c>
      <c r="AY40" s="267">
        <v>758513</v>
      </c>
      <c r="AZ40" s="267">
        <v>755357</v>
      </c>
      <c r="BA40" s="267">
        <v>741919</v>
      </c>
      <c r="BB40" s="267">
        <v>757620</v>
      </c>
      <c r="BC40" s="267">
        <v>780997</v>
      </c>
      <c r="BD40" s="267">
        <v>808543</v>
      </c>
      <c r="BE40" s="267">
        <v>864362</v>
      </c>
      <c r="BF40" s="267">
        <v>943767</v>
      </c>
      <c r="BG40" s="267">
        <v>742155</v>
      </c>
      <c r="BH40" s="267">
        <v>730965</v>
      </c>
      <c r="BI40" s="267">
        <v>737151</v>
      </c>
      <c r="BJ40" s="267">
        <v>706785</v>
      </c>
      <c r="BK40" s="267">
        <v>648319</v>
      </c>
      <c r="BL40" s="267">
        <v>602770</v>
      </c>
      <c r="BM40" s="267">
        <v>639590</v>
      </c>
      <c r="BN40" s="267">
        <v>643988</v>
      </c>
      <c r="BO40" s="267">
        <v>642350</v>
      </c>
      <c r="BP40" s="267">
        <v>632909</v>
      </c>
      <c r="BQ40" s="267">
        <v>625100</v>
      </c>
      <c r="BR40" s="267">
        <v>615006</v>
      </c>
      <c r="BS40" s="267">
        <v>598450</v>
      </c>
      <c r="BT40" s="267">
        <v>602079</v>
      </c>
      <c r="BU40" s="267">
        <v>621690</v>
      </c>
      <c r="BV40" s="267">
        <v>632709</v>
      </c>
      <c r="BW40" s="267">
        <v>632939</v>
      </c>
      <c r="BX40" s="267">
        <v>623993</v>
      </c>
      <c r="BY40" s="267">
        <v>618377</v>
      </c>
      <c r="BZ40" s="267">
        <v>626595</v>
      </c>
      <c r="CA40" s="267">
        <v>635338</v>
      </c>
      <c r="CB40" s="267">
        <v>629680</v>
      </c>
      <c r="CC40" s="267">
        <v>633309</v>
      </c>
      <c r="CD40" s="267">
        <v>633735</v>
      </c>
      <c r="CE40" s="267">
        <v>663650</v>
      </c>
      <c r="CF40" s="267">
        <v>685949</v>
      </c>
      <c r="CG40" s="267">
        <v>710546</v>
      </c>
      <c r="CH40" s="267">
        <v>479998</v>
      </c>
      <c r="CI40" s="267">
        <v>454264</v>
      </c>
      <c r="CJ40" s="267">
        <v>497726</v>
      </c>
      <c r="CK40" s="267">
        <v>525188</v>
      </c>
      <c r="CL40" s="267">
        <v>550389</v>
      </c>
      <c r="CM40" s="267">
        <v>542876</v>
      </c>
      <c r="CN40" s="267">
        <v>523154</v>
      </c>
      <c r="CO40" s="267">
        <v>497539</v>
      </c>
      <c r="CP40" s="267">
        <v>476867</v>
      </c>
      <c r="CQ40" s="267">
        <v>462169</v>
      </c>
      <c r="CR40" s="267">
        <v>441393</v>
      </c>
      <c r="CS40" s="267">
        <v>415032</v>
      </c>
      <c r="CT40" s="267">
        <v>381075</v>
      </c>
      <c r="CU40" s="267">
        <v>352535</v>
      </c>
      <c r="CV40" s="267">
        <v>327067</v>
      </c>
      <c r="CW40" s="267">
        <v>294924</v>
      </c>
      <c r="CX40" s="267">
        <v>267536</v>
      </c>
      <c r="CY40" s="267">
        <v>235891</v>
      </c>
      <c r="CZ40" s="267">
        <v>209070</v>
      </c>
      <c r="DA40" s="267">
        <v>182496</v>
      </c>
      <c r="DB40" s="267">
        <v>148746</v>
      </c>
      <c r="DC40" s="267">
        <v>637057</v>
      </c>
      <c r="DD40" s="270" t="s">
        <v>1858</v>
      </c>
      <c r="DE40" s="270" t="s">
        <v>1858</v>
      </c>
      <c r="DF40" s="270" t="s">
        <v>1858</v>
      </c>
      <c r="DG40" s="270" t="s">
        <v>1858</v>
      </c>
      <c r="DH40" s="270" t="s">
        <v>1858</v>
      </c>
    </row>
    <row r="41" spans="2:112">
      <c r="B41" s="262" t="s">
        <v>1861</v>
      </c>
      <c r="C41" s="262">
        <f t="shared" si="17"/>
        <v>90315804.336554229</v>
      </c>
      <c r="D41" s="265"/>
      <c r="E41">
        <v>46912000</v>
      </c>
      <c r="F41" s="262">
        <f t="shared" si="1"/>
        <v>20121912.906211413</v>
      </c>
      <c r="G41" s="262">
        <f t="shared" si="2"/>
        <v>11944929.006793505</v>
      </c>
      <c r="H41" s="262">
        <f t="shared" si="3"/>
        <v>7861272.6018163627</v>
      </c>
      <c r="I41" s="262">
        <f t="shared" si="4"/>
        <v>6983885.4851787183</v>
      </c>
      <c r="K41">
        <v>56409327</v>
      </c>
      <c r="L41" s="269">
        <f t="shared" si="5"/>
        <v>0.42892890744823103</v>
      </c>
      <c r="M41" s="269">
        <f t="shared" si="6"/>
        <v>0.25462416880102118</v>
      </c>
      <c r="N41" s="269">
        <f t="shared" si="7"/>
        <v>0.167574876402975</v>
      </c>
      <c r="O41" s="269">
        <f t="shared" si="8"/>
        <v>0.14887204734777282</v>
      </c>
      <c r="Q41" s="268">
        <f t="shared" si="13"/>
        <v>24195591</v>
      </c>
      <c r="R41" s="268">
        <f t="shared" si="14"/>
        <v>14363178</v>
      </c>
      <c r="S41" s="268">
        <f t="shared" si="15"/>
        <v>9452786</v>
      </c>
      <c r="T41" s="268">
        <f t="shared" si="16"/>
        <v>8397772</v>
      </c>
      <c r="U41" s="267"/>
      <c r="V41" s="267">
        <v>712754</v>
      </c>
      <c r="W41" s="267">
        <v>714180</v>
      </c>
      <c r="X41" s="267">
        <v>710837</v>
      </c>
      <c r="Y41" s="267">
        <v>723870</v>
      </c>
      <c r="Z41" s="267">
        <v>729062</v>
      </c>
      <c r="AA41" s="267">
        <v>703009</v>
      </c>
      <c r="AB41" s="267">
        <v>648475</v>
      </c>
      <c r="AC41" s="267">
        <v>637919</v>
      </c>
      <c r="AD41" s="267">
        <v>667601</v>
      </c>
      <c r="AE41" s="267">
        <v>693554</v>
      </c>
      <c r="AF41" s="267">
        <v>717633</v>
      </c>
      <c r="AG41" s="267">
        <v>770897</v>
      </c>
      <c r="AH41" s="267">
        <v>818552</v>
      </c>
      <c r="AI41" s="267">
        <v>868403</v>
      </c>
      <c r="AJ41" s="267">
        <v>859703</v>
      </c>
      <c r="AK41" s="267">
        <v>892271</v>
      </c>
      <c r="AL41" s="267">
        <v>901814</v>
      </c>
      <c r="AM41" s="267">
        <v>929722</v>
      </c>
      <c r="AN41" s="267">
        <v>940119</v>
      </c>
      <c r="AO41" s="267">
        <v>967897</v>
      </c>
      <c r="AP41" s="267">
        <v>967710</v>
      </c>
      <c r="AQ41" s="267">
        <v>948094</v>
      </c>
      <c r="AR41" s="267">
        <v>926407</v>
      </c>
      <c r="AS41" s="267">
        <v>904213</v>
      </c>
      <c r="AT41" s="267">
        <v>866844</v>
      </c>
      <c r="AU41" s="267">
        <v>841001</v>
      </c>
      <c r="AV41" s="267">
        <v>818901</v>
      </c>
      <c r="AW41" s="267">
        <v>793335</v>
      </c>
      <c r="AX41" s="267">
        <v>772627</v>
      </c>
      <c r="AY41" s="267">
        <v>748187</v>
      </c>
      <c r="AZ41" s="267">
        <v>759122</v>
      </c>
      <c r="BA41" s="267">
        <v>755470</v>
      </c>
      <c r="BB41" s="267">
        <v>741933</v>
      </c>
      <c r="BC41" s="267">
        <v>757930</v>
      </c>
      <c r="BD41" s="267">
        <v>780985</v>
      </c>
      <c r="BE41" s="267">
        <v>809336</v>
      </c>
      <c r="BF41" s="267">
        <v>864744</v>
      </c>
      <c r="BG41" s="267">
        <v>943710</v>
      </c>
      <c r="BH41" s="267">
        <v>741231</v>
      </c>
      <c r="BI41" s="267">
        <v>731077</v>
      </c>
      <c r="BJ41" s="267">
        <v>737636</v>
      </c>
      <c r="BK41" s="267">
        <v>705562</v>
      </c>
      <c r="BL41" s="267">
        <v>646859</v>
      </c>
      <c r="BM41" s="267">
        <v>601042</v>
      </c>
      <c r="BN41" s="267">
        <v>637636</v>
      </c>
      <c r="BO41" s="267">
        <v>642472</v>
      </c>
      <c r="BP41" s="267">
        <v>640378</v>
      </c>
      <c r="BQ41" s="267">
        <v>630799</v>
      </c>
      <c r="BR41" s="267">
        <v>622590</v>
      </c>
      <c r="BS41" s="267">
        <v>612666</v>
      </c>
      <c r="BT41" s="267">
        <v>595928</v>
      </c>
      <c r="BU41" s="267">
        <v>599034</v>
      </c>
      <c r="BV41" s="267">
        <v>618347</v>
      </c>
      <c r="BW41" s="267">
        <v>629056</v>
      </c>
      <c r="BX41" s="267">
        <v>628817</v>
      </c>
      <c r="BY41" s="267">
        <v>619555</v>
      </c>
      <c r="BZ41" s="267">
        <v>613263</v>
      </c>
      <c r="CA41" s="267">
        <v>620777</v>
      </c>
      <c r="CB41" s="267">
        <v>629225</v>
      </c>
      <c r="CC41" s="267">
        <v>622836</v>
      </c>
      <c r="CD41" s="267">
        <v>625489</v>
      </c>
      <c r="CE41" s="267">
        <v>625564</v>
      </c>
      <c r="CF41" s="267">
        <v>653770</v>
      </c>
      <c r="CG41" s="267">
        <v>674089</v>
      </c>
      <c r="CH41" s="267">
        <v>697036</v>
      </c>
      <c r="CI41" s="267">
        <v>470570</v>
      </c>
      <c r="CJ41" s="267">
        <v>444715</v>
      </c>
      <c r="CK41" s="267">
        <v>485985</v>
      </c>
      <c r="CL41" s="267">
        <v>511675</v>
      </c>
      <c r="CM41" s="267">
        <v>534472</v>
      </c>
      <c r="CN41" s="267">
        <v>525583</v>
      </c>
      <c r="CO41" s="267">
        <v>504935</v>
      </c>
      <c r="CP41" s="267">
        <v>478700</v>
      </c>
      <c r="CQ41" s="267">
        <v>456825</v>
      </c>
      <c r="CR41" s="267">
        <v>440700</v>
      </c>
      <c r="CS41" s="267">
        <v>418929</v>
      </c>
      <c r="CT41" s="267">
        <v>392105</v>
      </c>
      <c r="CU41" s="267">
        <v>358093</v>
      </c>
      <c r="CV41" s="267">
        <v>329244</v>
      </c>
      <c r="CW41" s="267">
        <v>303669</v>
      </c>
      <c r="CX41" s="267">
        <v>273351</v>
      </c>
      <c r="CY41" s="267">
        <v>244836</v>
      </c>
      <c r="CZ41" s="267">
        <v>213915</v>
      </c>
      <c r="DA41" s="267">
        <v>187862</v>
      </c>
      <c r="DB41" s="267">
        <v>162222</v>
      </c>
      <c r="DC41" s="267">
        <v>659386</v>
      </c>
      <c r="DD41" s="270" t="s">
        <v>1858</v>
      </c>
      <c r="DE41" s="270" t="s">
        <v>1858</v>
      </c>
      <c r="DF41" s="270" t="s">
        <v>1858</v>
      </c>
      <c r="DG41" s="270" t="s">
        <v>1858</v>
      </c>
      <c r="DH41" s="270" t="s">
        <v>1858</v>
      </c>
    </row>
    <row r="42" spans="2:112">
      <c r="B42" s="262" t="s">
        <v>1862</v>
      </c>
      <c r="C42" s="262">
        <f t="shared" si="17"/>
        <v>91108334.513375163</v>
      </c>
      <c r="D42" s="265"/>
      <c r="E42">
        <v>47057000</v>
      </c>
      <c r="F42" s="262">
        <f t="shared" si="1"/>
        <v>20141914.748950802</v>
      </c>
      <c r="G42" s="262">
        <f t="shared" si="2"/>
        <v>12057589.105006006</v>
      </c>
      <c r="H42" s="262">
        <f t="shared" si="3"/>
        <v>7720146.5765568474</v>
      </c>
      <c r="I42" s="262">
        <f t="shared" si="4"/>
        <v>7137349.5694863424</v>
      </c>
      <c r="K42">
        <v>56553955</v>
      </c>
      <c r="L42" s="269">
        <f t="shared" si="5"/>
        <v>0.42803227466584787</v>
      </c>
      <c r="M42" s="269">
        <f t="shared" si="6"/>
        <v>0.25623369753715719</v>
      </c>
      <c r="N42" s="269">
        <f t="shared" si="7"/>
        <v>0.16405947205637519</v>
      </c>
      <c r="O42" s="269">
        <f t="shared" si="8"/>
        <v>0.15167455574061972</v>
      </c>
      <c r="Q42" s="268">
        <f t="shared" si="13"/>
        <v>24206918</v>
      </c>
      <c r="R42" s="268">
        <f t="shared" si="14"/>
        <v>14491029</v>
      </c>
      <c r="S42" s="268">
        <f t="shared" si="15"/>
        <v>9278212</v>
      </c>
      <c r="T42" s="268">
        <f t="shared" si="16"/>
        <v>8577796</v>
      </c>
      <c r="U42" s="267"/>
      <c r="V42" s="267">
        <v>741302</v>
      </c>
      <c r="W42" s="267">
        <v>711463</v>
      </c>
      <c r="X42" s="267">
        <v>713857</v>
      </c>
      <c r="Y42" s="267">
        <v>712394</v>
      </c>
      <c r="Z42" s="267">
        <v>725597</v>
      </c>
      <c r="AA42" s="267">
        <v>731029</v>
      </c>
      <c r="AB42" s="267">
        <v>704576</v>
      </c>
      <c r="AC42" s="267">
        <v>649993</v>
      </c>
      <c r="AD42" s="267">
        <v>639571</v>
      </c>
      <c r="AE42" s="267">
        <v>669012</v>
      </c>
      <c r="AF42" s="267">
        <v>695133</v>
      </c>
      <c r="AG42" s="267">
        <v>719614</v>
      </c>
      <c r="AH42" s="267">
        <v>771877</v>
      </c>
      <c r="AI42" s="267">
        <v>819715</v>
      </c>
      <c r="AJ42" s="267">
        <v>867871</v>
      </c>
      <c r="AK42" s="267">
        <v>860144</v>
      </c>
      <c r="AL42" s="267">
        <v>894050</v>
      </c>
      <c r="AM42" s="267">
        <v>902839</v>
      </c>
      <c r="AN42" s="267">
        <v>929289</v>
      </c>
      <c r="AO42" s="267">
        <v>941324</v>
      </c>
      <c r="AP42" s="267">
        <v>967728</v>
      </c>
      <c r="AQ42" s="267">
        <v>967679</v>
      </c>
      <c r="AR42" s="267">
        <v>947711</v>
      </c>
      <c r="AS42" s="267">
        <v>925472</v>
      </c>
      <c r="AT42" s="267">
        <v>904241</v>
      </c>
      <c r="AU42" s="267">
        <v>866381</v>
      </c>
      <c r="AV42" s="267">
        <v>841156</v>
      </c>
      <c r="AW42" s="267">
        <v>819804</v>
      </c>
      <c r="AX42" s="267">
        <v>793770</v>
      </c>
      <c r="AY42" s="267">
        <v>772326</v>
      </c>
      <c r="AZ42" s="267">
        <v>748784</v>
      </c>
      <c r="BA42" s="267">
        <v>759686</v>
      </c>
      <c r="BB42" s="267">
        <v>756325</v>
      </c>
      <c r="BC42" s="267">
        <v>743005</v>
      </c>
      <c r="BD42" s="267">
        <v>759344</v>
      </c>
      <c r="BE42" s="267">
        <v>782060</v>
      </c>
      <c r="BF42" s="267">
        <v>809913</v>
      </c>
      <c r="BG42" s="267">
        <v>864843</v>
      </c>
      <c r="BH42" s="267">
        <v>943328</v>
      </c>
      <c r="BI42" s="267">
        <v>740843</v>
      </c>
      <c r="BJ42" s="267">
        <v>730973</v>
      </c>
      <c r="BK42" s="267">
        <v>737136</v>
      </c>
      <c r="BL42" s="267">
        <v>704565</v>
      </c>
      <c r="BM42" s="267">
        <v>645950</v>
      </c>
      <c r="BN42" s="267">
        <v>599760</v>
      </c>
      <c r="BO42" s="267">
        <v>635740</v>
      </c>
      <c r="BP42" s="267">
        <v>640957</v>
      </c>
      <c r="BQ42" s="267">
        <v>638716</v>
      </c>
      <c r="BR42" s="267">
        <v>628745</v>
      </c>
      <c r="BS42" s="267">
        <v>620356</v>
      </c>
      <c r="BT42" s="267">
        <v>610126</v>
      </c>
      <c r="BU42" s="267">
        <v>593671</v>
      </c>
      <c r="BV42" s="267">
        <v>596247</v>
      </c>
      <c r="BW42" s="267">
        <v>614955</v>
      </c>
      <c r="BX42" s="267">
        <v>625397</v>
      </c>
      <c r="BY42" s="267">
        <v>624442</v>
      </c>
      <c r="BZ42" s="267">
        <v>614530</v>
      </c>
      <c r="CA42" s="267">
        <v>607800</v>
      </c>
      <c r="CB42" s="267">
        <v>614597</v>
      </c>
      <c r="CC42" s="267">
        <v>622839</v>
      </c>
      <c r="CD42" s="267">
        <v>615273</v>
      </c>
      <c r="CE42" s="267">
        <v>617271</v>
      </c>
      <c r="CF42" s="267">
        <v>616553</v>
      </c>
      <c r="CG42" s="267">
        <v>643124</v>
      </c>
      <c r="CH42" s="267">
        <v>661387</v>
      </c>
      <c r="CI42" s="267">
        <v>682553</v>
      </c>
      <c r="CJ42" s="267">
        <v>460278</v>
      </c>
      <c r="CK42" s="267">
        <v>434283</v>
      </c>
      <c r="CL42" s="267">
        <v>473614</v>
      </c>
      <c r="CM42" s="267">
        <v>497137</v>
      </c>
      <c r="CN42" s="267">
        <v>517437</v>
      </c>
      <c r="CO42" s="267">
        <v>507292</v>
      </c>
      <c r="CP42" s="267">
        <v>485650</v>
      </c>
      <c r="CQ42" s="267">
        <v>458718</v>
      </c>
      <c r="CR42" s="267">
        <v>435704</v>
      </c>
      <c r="CS42" s="267">
        <v>418475</v>
      </c>
      <c r="CT42" s="267">
        <v>395536</v>
      </c>
      <c r="CU42" s="267">
        <v>368591</v>
      </c>
      <c r="CV42" s="267">
        <v>334999</v>
      </c>
      <c r="CW42" s="267">
        <v>305966</v>
      </c>
      <c r="CX42" s="267">
        <v>280826</v>
      </c>
      <c r="CY42" s="267">
        <v>249864</v>
      </c>
      <c r="CZ42" s="267">
        <v>222225</v>
      </c>
      <c r="DA42" s="267">
        <v>192197</v>
      </c>
      <c r="DB42" s="267">
        <v>167111</v>
      </c>
      <c r="DC42" s="267">
        <v>689340</v>
      </c>
      <c r="DD42" s="270" t="s">
        <v>1858</v>
      </c>
      <c r="DE42" s="270" t="s">
        <v>1858</v>
      </c>
      <c r="DF42" s="270" t="s">
        <v>1858</v>
      </c>
      <c r="DG42" s="270" t="s">
        <v>1858</v>
      </c>
      <c r="DH42" s="270" t="s">
        <v>1858</v>
      </c>
    </row>
    <row r="43" spans="2:112">
      <c r="B43" s="262" t="s">
        <v>1863</v>
      </c>
      <c r="C43" s="262">
        <f t="shared" si="17"/>
        <v>91701794.002411336</v>
      </c>
      <c r="D43" s="265"/>
      <c r="E43">
        <v>47188000</v>
      </c>
      <c r="F43" s="262">
        <f t="shared" si="1"/>
        <v>20147478.2280345</v>
      </c>
      <c r="G43" s="262">
        <f t="shared" si="2"/>
        <v>12176840.405523021</v>
      </c>
      <c r="H43" s="262">
        <f t="shared" si="3"/>
        <v>7615368.1895376341</v>
      </c>
      <c r="I43" s="262">
        <f t="shared" si="4"/>
        <v>7248313.1769048432</v>
      </c>
      <c r="K43">
        <v>56683835</v>
      </c>
      <c r="L43" s="269">
        <f t="shared" si="5"/>
        <v>0.42696190192494915</v>
      </c>
      <c r="M43" s="269">
        <f t="shared" si="6"/>
        <v>0.25804951270498899</v>
      </c>
      <c r="N43" s="269">
        <f t="shared" si="7"/>
        <v>0.16138357611124934</v>
      </c>
      <c r="O43" s="269">
        <f t="shared" si="8"/>
        <v>0.15360500925881249</v>
      </c>
      <c r="Q43" s="268">
        <f t="shared" si="13"/>
        <v>24201838</v>
      </c>
      <c r="R43" s="268">
        <f t="shared" si="14"/>
        <v>14627236</v>
      </c>
      <c r="S43" s="268">
        <f t="shared" si="15"/>
        <v>9147840</v>
      </c>
      <c r="T43" s="268">
        <f t="shared" si="16"/>
        <v>8706921</v>
      </c>
      <c r="U43" s="267"/>
      <c r="V43" s="267">
        <v>748199</v>
      </c>
      <c r="W43" s="267">
        <v>741795</v>
      </c>
      <c r="X43" s="267">
        <v>711751</v>
      </c>
      <c r="Y43" s="267">
        <v>716385</v>
      </c>
      <c r="Z43" s="267">
        <v>716141</v>
      </c>
      <c r="AA43" s="267">
        <v>728194</v>
      </c>
      <c r="AB43" s="267">
        <v>733152</v>
      </c>
      <c r="AC43" s="267">
        <v>706116</v>
      </c>
      <c r="AD43" s="267">
        <v>651636</v>
      </c>
      <c r="AE43" s="267">
        <v>641464</v>
      </c>
      <c r="AF43" s="267">
        <v>670116</v>
      </c>
      <c r="AG43" s="267">
        <v>697618</v>
      </c>
      <c r="AH43" s="267">
        <v>720752</v>
      </c>
      <c r="AI43" s="267">
        <v>773174</v>
      </c>
      <c r="AJ43" s="267">
        <v>821093</v>
      </c>
      <c r="AK43" s="267">
        <v>867823</v>
      </c>
      <c r="AL43" s="267">
        <v>861884</v>
      </c>
      <c r="AM43" s="267">
        <v>894026</v>
      </c>
      <c r="AN43" s="267">
        <v>902000</v>
      </c>
      <c r="AO43" s="267">
        <v>930407</v>
      </c>
      <c r="AP43" s="267">
        <v>941346</v>
      </c>
      <c r="AQ43" s="267">
        <v>967023</v>
      </c>
      <c r="AR43" s="267">
        <v>965688</v>
      </c>
      <c r="AS43" s="267">
        <v>945868</v>
      </c>
      <c r="AT43" s="267">
        <v>924315</v>
      </c>
      <c r="AU43" s="267">
        <v>903532</v>
      </c>
      <c r="AV43" s="267">
        <v>865623</v>
      </c>
      <c r="AW43" s="267">
        <v>841155</v>
      </c>
      <c r="AX43" s="267">
        <v>820010</v>
      </c>
      <c r="AY43" s="267">
        <v>793552</v>
      </c>
      <c r="AZ43" s="267">
        <v>772928</v>
      </c>
      <c r="BA43" s="267">
        <v>749093</v>
      </c>
      <c r="BB43" s="267">
        <v>760295</v>
      </c>
      <c r="BC43" s="267">
        <v>757065</v>
      </c>
      <c r="BD43" s="267">
        <v>743630</v>
      </c>
      <c r="BE43" s="267">
        <v>759361</v>
      </c>
      <c r="BF43" s="267">
        <v>781997</v>
      </c>
      <c r="BG43" s="267">
        <v>809400</v>
      </c>
      <c r="BH43" s="267">
        <v>863819</v>
      </c>
      <c r="BI43" s="267">
        <v>942547</v>
      </c>
      <c r="BJ43" s="267">
        <v>740357</v>
      </c>
      <c r="BK43" s="267">
        <v>729871</v>
      </c>
      <c r="BL43" s="267">
        <v>736060</v>
      </c>
      <c r="BM43" s="267">
        <v>703144</v>
      </c>
      <c r="BN43" s="267">
        <v>644556</v>
      </c>
      <c r="BO43" s="267">
        <v>597951</v>
      </c>
      <c r="BP43" s="267">
        <v>633525</v>
      </c>
      <c r="BQ43" s="267">
        <v>639041</v>
      </c>
      <c r="BR43" s="267">
        <v>636413</v>
      </c>
      <c r="BS43" s="267">
        <v>626183</v>
      </c>
      <c r="BT43" s="267">
        <v>617721</v>
      </c>
      <c r="BU43" s="267">
        <v>607287</v>
      </c>
      <c r="BV43" s="267">
        <v>590846</v>
      </c>
      <c r="BW43" s="267">
        <v>592716</v>
      </c>
      <c r="BX43" s="267">
        <v>610886</v>
      </c>
      <c r="BY43" s="267">
        <v>621329</v>
      </c>
      <c r="BZ43" s="267">
        <v>619463</v>
      </c>
      <c r="CA43" s="267">
        <v>608947</v>
      </c>
      <c r="CB43" s="267">
        <v>601850</v>
      </c>
      <c r="CC43" s="267">
        <v>607800</v>
      </c>
      <c r="CD43" s="267">
        <v>615479</v>
      </c>
      <c r="CE43" s="267">
        <v>607152</v>
      </c>
      <c r="CF43" s="267">
        <v>608047</v>
      </c>
      <c r="CG43" s="267">
        <v>606645</v>
      </c>
      <c r="CH43" s="267">
        <v>631672</v>
      </c>
      <c r="CI43" s="267">
        <v>647775</v>
      </c>
      <c r="CJ43" s="267">
        <v>667055</v>
      </c>
      <c r="CK43" s="267">
        <v>449158</v>
      </c>
      <c r="CL43" s="267">
        <v>423077</v>
      </c>
      <c r="CM43" s="267">
        <v>460276</v>
      </c>
      <c r="CN43" s="267">
        <v>481998</v>
      </c>
      <c r="CO43" s="267">
        <v>499581</v>
      </c>
      <c r="CP43" s="267">
        <v>488011</v>
      </c>
      <c r="CQ43" s="267">
        <v>465145</v>
      </c>
      <c r="CR43" s="267">
        <v>437884</v>
      </c>
      <c r="CS43" s="267">
        <v>413512</v>
      </c>
      <c r="CT43" s="267">
        <v>394808</v>
      </c>
      <c r="CU43" s="267">
        <v>371372</v>
      </c>
      <c r="CV43" s="267">
        <v>344393</v>
      </c>
      <c r="CW43" s="267">
        <v>310832</v>
      </c>
      <c r="CX43" s="267">
        <v>282263</v>
      </c>
      <c r="CY43" s="267">
        <v>256881</v>
      </c>
      <c r="CZ43" s="267">
        <v>226321</v>
      </c>
      <c r="DA43" s="267">
        <v>199613</v>
      </c>
      <c r="DB43" s="267">
        <v>170749</v>
      </c>
      <c r="DC43" s="267">
        <v>716217</v>
      </c>
      <c r="DD43" s="270" t="s">
        <v>1858</v>
      </c>
      <c r="DE43" s="270" t="s">
        <v>1858</v>
      </c>
      <c r="DF43" s="270" t="s">
        <v>1858</v>
      </c>
      <c r="DG43" s="270" t="s">
        <v>1858</v>
      </c>
      <c r="DH43" s="270" t="s">
        <v>1858</v>
      </c>
    </row>
    <row r="44" spans="2:112">
      <c r="B44" s="262" t="s">
        <v>1864</v>
      </c>
      <c r="C44" s="262">
        <f t="shared" si="17"/>
        <v>92186575.737377539</v>
      </c>
      <c r="D44" s="265"/>
      <c r="E44">
        <v>47300000</v>
      </c>
      <c r="F44" s="262">
        <f t="shared" si="1"/>
        <v>20120911.449515544</v>
      </c>
      <c r="G44" s="262">
        <f t="shared" si="2"/>
        <v>12302557.23729674</v>
      </c>
      <c r="H44" s="262">
        <f t="shared" si="3"/>
        <v>7534691.3959763153</v>
      </c>
      <c r="I44" s="262">
        <f t="shared" si="4"/>
        <v>7341839.9172114031</v>
      </c>
      <c r="K44">
        <v>56803958</v>
      </c>
      <c r="L44" s="269">
        <f t="shared" si="5"/>
        <v>0.42538924840413411</v>
      </c>
      <c r="M44" s="269">
        <f t="shared" si="6"/>
        <v>0.26009634751155897</v>
      </c>
      <c r="N44" s="269">
        <f t="shared" si="7"/>
        <v>0.15929580118343162</v>
      </c>
      <c r="O44" s="269">
        <f t="shared" si="8"/>
        <v>0.15521860290087533</v>
      </c>
      <c r="Q44" s="268">
        <f t="shared" si="13"/>
        <v>24163793</v>
      </c>
      <c r="R44" s="268">
        <f t="shared" si="14"/>
        <v>14774502</v>
      </c>
      <c r="S44" s="268">
        <f t="shared" si="15"/>
        <v>9048632</v>
      </c>
      <c r="T44" s="268">
        <f t="shared" si="16"/>
        <v>8817031</v>
      </c>
      <c r="U44" s="267"/>
      <c r="V44" s="267">
        <v>756788</v>
      </c>
      <c r="W44" s="267">
        <v>746361</v>
      </c>
      <c r="X44" s="267">
        <v>741943</v>
      </c>
      <c r="Y44" s="267">
        <v>714051</v>
      </c>
      <c r="Z44" s="267">
        <v>717181</v>
      </c>
      <c r="AA44" s="267">
        <v>716890</v>
      </c>
      <c r="AB44" s="267">
        <v>729053</v>
      </c>
      <c r="AC44" s="267">
        <v>734297</v>
      </c>
      <c r="AD44" s="267">
        <v>706978</v>
      </c>
      <c r="AE44" s="267">
        <v>652567</v>
      </c>
      <c r="AF44" s="267">
        <v>641904</v>
      </c>
      <c r="AG44" s="267">
        <v>671616</v>
      </c>
      <c r="AH44" s="267">
        <v>698050</v>
      </c>
      <c r="AI44" s="267">
        <v>721745</v>
      </c>
      <c r="AJ44" s="267">
        <v>773781</v>
      </c>
      <c r="AK44" s="267">
        <v>821601</v>
      </c>
      <c r="AL44" s="267">
        <v>868335</v>
      </c>
      <c r="AM44" s="267">
        <v>862217</v>
      </c>
      <c r="AN44" s="267">
        <v>893361</v>
      </c>
      <c r="AO44" s="267">
        <v>903605</v>
      </c>
      <c r="AP44" s="267">
        <v>930391</v>
      </c>
      <c r="AQ44" s="267">
        <v>941473</v>
      </c>
      <c r="AR44" s="267">
        <v>965320</v>
      </c>
      <c r="AS44" s="267">
        <v>963285</v>
      </c>
      <c r="AT44" s="267">
        <v>943490</v>
      </c>
      <c r="AU44" s="267">
        <v>921950</v>
      </c>
      <c r="AV44" s="267">
        <v>902449</v>
      </c>
      <c r="AW44" s="267">
        <v>864343</v>
      </c>
      <c r="AX44" s="267">
        <v>839877</v>
      </c>
      <c r="AY44" s="267">
        <v>818891</v>
      </c>
      <c r="AZ44" s="267">
        <v>793722</v>
      </c>
      <c r="BA44" s="267">
        <v>772493</v>
      </c>
      <c r="BB44" s="267">
        <v>748972</v>
      </c>
      <c r="BC44" s="267">
        <v>760365</v>
      </c>
      <c r="BD44" s="267">
        <v>757140</v>
      </c>
      <c r="BE44" s="267">
        <v>743337</v>
      </c>
      <c r="BF44" s="267">
        <v>759497</v>
      </c>
      <c r="BG44" s="267">
        <v>781544</v>
      </c>
      <c r="BH44" s="267">
        <v>808387</v>
      </c>
      <c r="BI44" s="267">
        <v>863256</v>
      </c>
      <c r="BJ44" s="267">
        <v>941794</v>
      </c>
      <c r="BK44" s="267">
        <v>738993</v>
      </c>
      <c r="BL44" s="267">
        <v>728568</v>
      </c>
      <c r="BM44" s="267">
        <v>734732</v>
      </c>
      <c r="BN44" s="267">
        <v>701367</v>
      </c>
      <c r="BO44" s="267">
        <v>642669</v>
      </c>
      <c r="BP44" s="267">
        <v>595973</v>
      </c>
      <c r="BQ44" s="267">
        <v>631101</v>
      </c>
      <c r="BR44" s="267">
        <v>636729</v>
      </c>
      <c r="BS44" s="267">
        <v>633863</v>
      </c>
      <c r="BT44" s="267">
        <v>623142</v>
      </c>
      <c r="BU44" s="267">
        <v>614635</v>
      </c>
      <c r="BV44" s="267">
        <v>604036</v>
      </c>
      <c r="BW44" s="267">
        <v>587144</v>
      </c>
      <c r="BX44" s="267">
        <v>588672</v>
      </c>
      <c r="BY44" s="267">
        <v>606112</v>
      </c>
      <c r="BZ44" s="267">
        <v>616396</v>
      </c>
      <c r="CA44" s="267">
        <v>613760</v>
      </c>
      <c r="CB44" s="267">
        <v>602363</v>
      </c>
      <c r="CC44" s="267">
        <v>594602</v>
      </c>
      <c r="CD44" s="267">
        <v>600120</v>
      </c>
      <c r="CE44" s="267">
        <v>607129</v>
      </c>
      <c r="CF44" s="267">
        <v>598026</v>
      </c>
      <c r="CG44" s="267">
        <v>597482</v>
      </c>
      <c r="CH44" s="267">
        <v>595013</v>
      </c>
      <c r="CI44" s="267">
        <v>617728</v>
      </c>
      <c r="CJ44" s="267">
        <v>636904</v>
      </c>
      <c r="CK44" s="267">
        <v>655382</v>
      </c>
      <c r="CL44" s="267">
        <v>436217</v>
      </c>
      <c r="CM44" s="267">
        <v>409047</v>
      </c>
      <c r="CN44" s="267">
        <v>444026</v>
      </c>
      <c r="CO44" s="267">
        <v>464366</v>
      </c>
      <c r="CP44" s="267">
        <v>480708</v>
      </c>
      <c r="CQ44" s="267">
        <v>468458</v>
      </c>
      <c r="CR44" s="267">
        <v>444188</v>
      </c>
      <c r="CS44" s="267">
        <v>416142</v>
      </c>
      <c r="CT44" s="267">
        <v>391004</v>
      </c>
      <c r="CU44" s="267">
        <v>371965</v>
      </c>
      <c r="CV44" s="267">
        <v>348028</v>
      </c>
      <c r="CW44" s="267">
        <v>321040</v>
      </c>
      <c r="CX44" s="267">
        <v>288111</v>
      </c>
      <c r="CY44" s="267">
        <v>258912</v>
      </c>
      <c r="CZ44" s="267">
        <v>233825</v>
      </c>
      <c r="DA44" s="267">
        <v>204055</v>
      </c>
      <c r="DB44" s="267">
        <v>178396</v>
      </c>
      <c r="DC44" s="267">
        <v>748529</v>
      </c>
      <c r="DD44" s="270" t="s">
        <v>1858</v>
      </c>
      <c r="DE44" s="270" t="s">
        <v>1858</v>
      </c>
      <c r="DF44" s="270" t="s">
        <v>1858</v>
      </c>
      <c r="DG44" s="270" t="s">
        <v>1858</v>
      </c>
      <c r="DH44" s="270" t="s">
        <v>1858</v>
      </c>
    </row>
    <row r="45" spans="2:112">
      <c r="B45" s="262" t="s">
        <v>1865</v>
      </c>
      <c r="C45" s="262">
        <f t="shared" si="17"/>
        <v>92534744.357115865</v>
      </c>
      <c r="D45" s="265"/>
      <c r="E45">
        <v>47412000</v>
      </c>
      <c r="F45" s="262">
        <f t="shared" si="1"/>
        <v>20070339.742423844</v>
      </c>
      <c r="G45" s="262">
        <f t="shared" si="2"/>
        <v>12437293.571657881</v>
      </c>
      <c r="H45" s="262">
        <f t="shared" si="3"/>
        <v>7499336.320003666</v>
      </c>
      <c r="I45" s="262">
        <f t="shared" si="4"/>
        <v>7405030.3659146121</v>
      </c>
      <c r="K45">
        <v>56916448</v>
      </c>
      <c r="L45" s="269">
        <f t="shared" si="5"/>
        <v>0.4233177200376243</v>
      </c>
      <c r="M45" s="269">
        <f t="shared" si="6"/>
        <v>0.2623237486640066</v>
      </c>
      <c r="N45" s="269">
        <f t="shared" si="7"/>
        <v>0.15817380241296858</v>
      </c>
      <c r="O45" s="269">
        <f t="shared" si="8"/>
        <v>0.15618472888540058</v>
      </c>
      <c r="Q45" s="268">
        <f t="shared" si="13"/>
        <v>24093741</v>
      </c>
      <c r="R45" s="268">
        <f t="shared" si="14"/>
        <v>14930536</v>
      </c>
      <c r="S45" s="268">
        <f t="shared" si="15"/>
        <v>9002691</v>
      </c>
      <c r="T45" s="268">
        <f t="shared" si="16"/>
        <v>8889480</v>
      </c>
      <c r="U45" s="267"/>
      <c r="V45" s="267">
        <v>778213</v>
      </c>
      <c r="W45" s="267">
        <v>753737</v>
      </c>
      <c r="X45" s="267">
        <v>746162</v>
      </c>
      <c r="Y45" s="267">
        <v>743650</v>
      </c>
      <c r="Z45" s="267">
        <v>714304</v>
      </c>
      <c r="AA45" s="267">
        <v>717180</v>
      </c>
      <c r="AB45" s="267">
        <v>717188</v>
      </c>
      <c r="AC45" s="267">
        <v>729569</v>
      </c>
      <c r="AD45" s="267">
        <v>734522</v>
      </c>
      <c r="AE45" s="267">
        <v>707484</v>
      </c>
      <c r="AF45" s="267">
        <v>652598</v>
      </c>
      <c r="AG45" s="267">
        <v>642810</v>
      </c>
      <c r="AH45" s="267">
        <v>672088</v>
      </c>
      <c r="AI45" s="267">
        <v>698733</v>
      </c>
      <c r="AJ45" s="267">
        <v>722164</v>
      </c>
      <c r="AK45" s="267">
        <v>774374</v>
      </c>
      <c r="AL45" s="267">
        <v>823158</v>
      </c>
      <c r="AM45" s="267">
        <v>867313</v>
      </c>
      <c r="AN45" s="267">
        <v>860180</v>
      </c>
      <c r="AO45" s="267">
        <v>893759</v>
      </c>
      <c r="AP45" s="267">
        <v>902426</v>
      </c>
      <c r="AQ45" s="267">
        <v>928854</v>
      </c>
      <c r="AR45" s="267">
        <v>938664</v>
      </c>
      <c r="AS45" s="267">
        <v>960959</v>
      </c>
      <c r="AT45" s="267">
        <v>958953</v>
      </c>
      <c r="AU45" s="267">
        <v>939128</v>
      </c>
      <c r="AV45" s="267">
        <v>917981</v>
      </c>
      <c r="AW45" s="267">
        <v>899651</v>
      </c>
      <c r="AX45" s="267">
        <v>861088</v>
      </c>
      <c r="AY45" s="267">
        <v>836851</v>
      </c>
      <c r="AZ45" s="267">
        <v>817965</v>
      </c>
      <c r="BA45" s="267">
        <v>792313</v>
      </c>
      <c r="BB45" s="267">
        <v>771392</v>
      </c>
      <c r="BC45" s="267">
        <v>748242</v>
      </c>
      <c r="BD45" s="267">
        <v>759768</v>
      </c>
      <c r="BE45" s="267">
        <v>756190</v>
      </c>
      <c r="BF45" s="267">
        <v>742515</v>
      </c>
      <c r="BG45" s="267">
        <v>758447</v>
      </c>
      <c r="BH45" s="267">
        <v>780323</v>
      </c>
      <c r="BI45" s="267">
        <v>807419</v>
      </c>
      <c r="BJ45" s="267">
        <v>861723</v>
      </c>
      <c r="BK45" s="267">
        <v>940432</v>
      </c>
      <c r="BL45" s="267">
        <v>737339</v>
      </c>
      <c r="BM45" s="267">
        <v>727059</v>
      </c>
      <c r="BN45" s="267">
        <v>733026</v>
      </c>
      <c r="BO45" s="267">
        <v>699098</v>
      </c>
      <c r="BP45" s="267">
        <v>640635</v>
      </c>
      <c r="BQ45" s="267">
        <v>593719</v>
      </c>
      <c r="BR45" s="267">
        <v>628541</v>
      </c>
      <c r="BS45" s="267">
        <v>634390</v>
      </c>
      <c r="BT45" s="267">
        <v>630938</v>
      </c>
      <c r="BU45" s="267">
        <v>620186</v>
      </c>
      <c r="BV45" s="267">
        <v>611652</v>
      </c>
      <c r="BW45" s="267">
        <v>600555</v>
      </c>
      <c r="BX45" s="267">
        <v>583770</v>
      </c>
      <c r="BY45" s="267">
        <v>584658</v>
      </c>
      <c r="BZ45" s="267">
        <v>601330</v>
      </c>
      <c r="CA45" s="267">
        <v>611067</v>
      </c>
      <c r="CB45" s="267">
        <v>607904</v>
      </c>
      <c r="CC45" s="267">
        <v>595844</v>
      </c>
      <c r="CD45" s="267">
        <v>587736</v>
      </c>
      <c r="CE45" s="267">
        <v>592448</v>
      </c>
      <c r="CF45" s="267">
        <v>598737</v>
      </c>
      <c r="CG45" s="267">
        <v>588730</v>
      </c>
      <c r="CH45" s="267">
        <v>587136</v>
      </c>
      <c r="CI45" s="267">
        <v>583646</v>
      </c>
      <c r="CJ45" s="267">
        <v>604751</v>
      </c>
      <c r="CK45" s="267">
        <v>621860</v>
      </c>
      <c r="CL45" s="267">
        <v>638275</v>
      </c>
      <c r="CM45" s="267">
        <v>423836</v>
      </c>
      <c r="CN45" s="267">
        <v>396921</v>
      </c>
      <c r="CO45" s="267">
        <v>429663</v>
      </c>
      <c r="CP45" s="267">
        <v>448111</v>
      </c>
      <c r="CQ45" s="267">
        <v>461475</v>
      </c>
      <c r="CR45" s="267">
        <v>448395</v>
      </c>
      <c r="CS45" s="267">
        <v>422982</v>
      </c>
      <c r="CT45" s="267">
        <v>394577</v>
      </c>
      <c r="CU45" s="267">
        <v>368805</v>
      </c>
      <c r="CV45" s="267">
        <v>349072</v>
      </c>
      <c r="CW45" s="267">
        <v>324658</v>
      </c>
      <c r="CX45" s="267">
        <v>297095</v>
      </c>
      <c r="CY45" s="267">
        <v>264904</v>
      </c>
      <c r="CZ45" s="267">
        <v>236065</v>
      </c>
      <c r="DA45" s="267">
        <v>211218</v>
      </c>
      <c r="DB45" s="267">
        <v>182508</v>
      </c>
      <c r="DC45" s="267">
        <v>780663</v>
      </c>
      <c r="DD45" s="270" t="s">
        <v>1858</v>
      </c>
      <c r="DE45" s="270" t="s">
        <v>1858</v>
      </c>
      <c r="DF45" s="270" t="s">
        <v>1858</v>
      </c>
      <c r="DG45" s="270" t="s">
        <v>1858</v>
      </c>
      <c r="DH45" s="270" t="s">
        <v>1858</v>
      </c>
    </row>
    <row r="46" spans="2:112">
      <c r="B46" s="262" t="s">
        <v>1866</v>
      </c>
      <c r="C46" s="262">
        <f t="shared" si="17"/>
        <v>92912540.43492505</v>
      </c>
      <c r="D46" s="265"/>
      <c r="E46">
        <v>47553000</v>
      </c>
      <c r="F46" s="262">
        <f t="shared" si="1"/>
        <v>20014964.199473441</v>
      </c>
      <c r="G46" s="262">
        <f t="shared" si="2"/>
        <v>12594264.54376079</v>
      </c>
      <c r="H46" s="262">
        <f t="shared" si="3"/>
        <v>7475227.3758051284</v>
      </c>
      <c r="I46" s="262">
        <f t="shared" si="4"/>
        <v>7468543.8809606433</v>
      </c>
      <c r="K46">
        <v>57076451</v>
      </c>
      <c r="L46" s="269">
        <f t="shared" si="5"/>
        <v>0.42089803376176982</v>
      </c>
      <c r="M46" s="269">
        <f t="shared" si="6"/>
        <v>0.26484689806659495</v>
      </c>
      <c r="N46" s="269">
        <f t="shared" si="7"/>
        <v>0.15719780825195315</v>
      </c>
      <c r="O46" s="269">
        <f t="shared" si="8"/>
        <v>0.15705725991968211</v>
      </c>
      <c r="Q46" s="268">
        <f t="shared" si="13"/>
        <v>24023366</v>
      </c>
      <c r="R46" s="268">
        <f t="shared" si="14"/>
        <v>15116521</v>
      </c>
      <c r="S46" s="268">
        <f t="shared" si="15"/>
        <v>8972293</v>
      </c>
      <c r="T46" s="268">
        <f t="shared" si="16"/>
        <v>8964271</v>
      </c>
      <c r="U46" s="267"/>
      <c r="V46" s="267">
        <v>769297</v>
      </c>
      <c r="W46" s="267">
        <v>777111</v>
      </c>
      <c r="X46" s="267">
        <v>754272</v>
      </c>
      <c r="Y46" s="267">
        <v>748864</v>
      </c>
      <c r="Z46" s="267">
        <v>744526</v>
      </c>
      <c r="AA46" s="267">
        <v>714889</v>
      </c>
      <c r="AB46" s="267">
        <v>718806</v>
      </c>
      <c r="AC46" s="267">
        <v>717901</v>
      </c>
      <c r="AD46" s="267">
        <v>731235</v>
      </c>
      <c r="AE46" s="267">
        <v>734884</v>
      </c>
      <c r="AF46" s="267">
        <v>708079</v>
      </c>
      <c r="AG46" s="267">
        <v>654263</v>
      </c>
      <c r="AH46" s="267">
        <v>643592</v>
      </c>
      <c r="AI46" s="267">
        <v>672930</v>
      </c>
      <c r="AJ46" s="267">
        <v>699170</v>
      </c>
      <c r="AK46" s="267">
        <v>723383</v>
      </c>
      <c r="AL46" s="267">
        <v>776850</v>
      </c>
      <c r="AM46" s="267">
        <v>824424</v>
      </c>
      <c r="AN46" s="267">
        <v>865135</v>
      </c>
      <c r="AO46" s="267">
        <v>860298</v>
      </c>
      <c r="AP46" s="267">
        <v>893028</v>
      </c>
      <c r="AQ46" s="267">
        <v>902833</v>
      </c>
      <c r="AR46" s="267">
        <v>927865</v>
      </c>
      <c r="AS46" s="267">
        <v>935717</v>
      </c>
      <c r="AT46" s="267">
        <v>956982</v>
      </c>
      <c r="AU46" s="267">
        <v>955618</v>
      </c>
      <c r="AV46" s="267">
        <v>936779</v>
      </c>
      <c r="AW46" s="267">
        <v>916709</v>
      </c>
      <c r="AX46" s="267">
        <v>898069</v>
      </c>
      <c r="AY46" s="267">
        <v>859857</v>
      </c>
      <c r="AZ46" s="267">
        <v>837070</v>
      </c>
      <c r="BA46" s="267">
        <v>817873</v>
      </c>
      <c r="BB46" s="267">
        <v>792757</v>
      </c>
      <c r="BC46" s="267">
        <v>771913</v>
      </c>
      <c r="BD46" s="267">
        <v>748332</v>
      </c>
      <c r="BE46" s="267">
        <v>759879</v>
      </c>
      <c r="BF46" s="267">
        <v>755945</v>
      </c>
      <c r="BG46" s="267">
        <v>741348</v>
      </c>
      <c r="BH46" s="267">
        <v>757030</v>
      </c>
      <c r="BI46" s="267">
        <v>778674</v>
      </c>
      <c r="BJ46" s="267">
        <v>805774</v>
      </c>
      <c r="BK46" s="267">
        <v>861146</v>
      </c>
      <c r="BL46" s="267">
        <v>940177</v>
      </c>
      <c r="BM46" s="267">
        <v>736332</v>
      </c>
      <c r="BN46" s="267">
        <v>726004</v>
      </c>
      <c r="BO46" s="267">
        <v>731860</v>
      </c>
      <c r="BP46" s="267">
        <v>697501</v>
      </c>
      <c r="BQ46" s="267">
        <v>639117</v>
      </c>
      <c r="BR46" s="267">
        <v>591708</v>
      </c>
      <c r="BS46" s="267">
        <v>626081</v>
      </c>
      <c r="BT46" s="267">
        <v>631983</v>
      </c>
      <c r="BU46" s="267">
        <v>628348</v>
      </c>
      <c r="BV46" s="267">
        <v>617410</v>
      </c>
      <c r="BW46" s="267">
        <v>608522</v>
      </c>
      <c r="BX46" s="267">
        <v>597097</v>
      </c>
      <c r="BY46" s="267">
        <v>580325</v>
      </c>
      <c r="BZ46" s="267">
        <v>580267</v>
      </c>
      <c r="CA46" s="267">
        <v>596368</v>
      </c>
      <c r="CB46" s="267">
        <v>605926</v>
      </c>
      <c r="CC46" s="267">
        <v>602067</v>
      </c>
      <c r="CD46" s="267">
        <v>589280</v>
      </c>
      <c r="CE46" s="267">
        <v>580754</v>
      </c>
      <c r="CF46" s="267">
        <v>584471</v>
      </c>
      <c r="CG46" s="267">
        <v>590220</v>
      </c>
      <c r="CH46" s="267">
        <v>579255</v>
      </c>
      <c r="CI46" s="267">
        <v>576420</v>
      </c>
      <c r="CJ46" s="267">
        <v>572330</v>
      </c>
      <c r="CK46" s="267">
        <v>591074</v>
      </c>
      <c r="CL46" s="267">
        <v>606690</v>
      </c>
      <c r="CM46" s="267">
        <v>620850</v>
      </c>
      <c r="CN46" s="267">
        <v>411222</v>
      </c>
      <c r="CO46" s="267">
        <v>384336</v>
      </c>
      <c r="CP46" s="267">
        <v>415187</v>
      </c>
      <c r="CQ46" s="267">
        <v>431614</v>
      </c>
      <c r="CR46" s="267">
        <v>442189</v>
      </c>
      <c r="CS46" s="267">
        <v>428085</v>
      </c>
      <c r="CT46" s="267">
        <v>401579</v>
      </c>
      <c r="CU46" s="267">
        <v>372962</v>
      </c>
      <c r="CV46" s="267">
        <v>346713</v>
      </c>
      <c r="CW46" s="267">
        <v>326235</v>
      </c>
      <c r="CX46" s="267">
        <v>301037</v>
      </c>
      <c r="CY46" s="267">
        <v>273656</v>
      </c>
      <c r="CZ46" s="267">
        <v>242347</v>
      </c>
      <c r="DA46" s="267">
        <v>213983</v>
      </c>
      <c r="DB46" s="267">
        <v>189511</v>
      </c>
      <c r="DC46" s="267">
        <v>816251</v>
      </c>
      <c r="DD46" s="270" t="s">
        <v>1858</v>
      </c>
      <c r="DE46" s="270" t="s">
        <v>1858</v>
      </c>
      <c r="DF46" s="270" t="s">
        <v>1858</v>
      </c>
      <c r="DG46" s="270" t="s">
        <v>1858</v>
      </c>
      <c r="DH46" s="270" t="s">
        <v>1858</v>
      </c>
    </row>
    <row r="47" spans="2:112">
      <c r="B47" s="262" t="s">
        <v>1867</v>
      </c>
      <c r="C47" s="262">
        <f t="shared" si="17"/>
        <v>93171388.807212159</v>
      </c>
      <c r="D47" s="265"/>
      <c r="E47">
        <v>47699000</v>
      </c>
      <c r="F47" s="262">
        <f t="shared" si="1"/>
        <v>19961943.314236354</v>
      </c>
      <c r="G47" s="262">
        <f t="shared" si="2"/>
        <v>12782691.048697747</v>
      </c>
      <c r="H47" s="262">
        <f t="shared" si="3"/>
        <v>7451390.1462455736</v>
      </c>
      <c r="I47" s="262">
        <f t="shared" si="4"/>
        <v>7502975.4908203268</v>
      </c>
      <c r="K47">
        <v>57237493</v>
      </c>
      <c r="L47" s="269">
        <f t="shared" si="5"/>
        <v>0.41849815120309342</v>
      </c>
      <c r="M47" s="269">
        <f t="shared" si="6"/>
        <v>0.26798656258407405</v>
      </c>
      <c r="N47" s="269">
        <f t="shared" si="7"/>
        <v>0.15621690488785034</v>
      </c>
      <c r="O47" s="269">
        <f t="shared" si="8"/>
        <v>0.15729838132498222</v>
      </c>
      <c r="Q47" s="268">
        <f t="shared" si="13"/>
        <v>23953785</v>
      </c>
      <c r="R47" s="268">
        <f t="shared" si="14"/>
        <v>15338879</v>
      </c>
      <c r="S47" s="268">
        <f t="shared" si="15"/>
        <v>8941464</v>
      </c>
      <c r="T47" s="268">
        <f t="shared" si="16"/>
        <v>9003365</v>
      </c>
      <c r="U47" s="267"/>
      <c r="V47" s="267">
        <v>773414</v>
      </c>
      <c r="W47" s="267">
        <v>767281</v>
      </c>
      <c r="X47" s="267">
        <v>776796</v>
      </c>
      <c r="Y47" s="267">
        <v>756506</v>
      </c>
      <c r="Z47" s="267">
        <v>749767</v>
      </c>
      <c r="AA47" s="267">
        <v>745099</v>
      </c>
      <c r="AB47" s="267">
        <v>716425</v>
      </c>
      <c r="AC47" s="267">
        <v>719380</v>
      </c>
      <c r="AD47" s="267">
        <v>719057</v>
      </c>
      <c r="AE47" s="267">
        <v>731765</v>
      </c>
      <c r="AF47" s="267">
        <v>736424</v>
      </c>
      <c r="AG47" s="267">
        <v>709513</v>
      </c>
      <c r="AH47" s="267">
        <v>655133</v>
      </c>
      <c r="AI47" s="267">
        <v>644951</v>
      </c>
      <c r="AJ47" s="267">
        <v>674693</v>
      </c>
      <c r="AK47" s="267">
        <v>701236</v>
      </c>
      <c r="AL47" s="267">
        <v>726940</v>
      </c>
      <c r="AM47" s="267">
        <v>779160</v>
      </c>
      <c r="AN47" s="267">
        <v>824500</v>
      </c>
      <c r="AO47" s="267">
        <v>866389</v>
      </c>
      <c r="AP47" s="267">
        <v>860928</v>
      </c>
      <c r="AQ47" s="267">
        <v>893599</v>
      </c>
      <c r="AR47" s="267">
        <v>902219</v>
      </c>
      <c r="AS47" s="267">
        <v>926359</v>
      </c>
      <c r="AT47" s="267">
        <v>936160</v>
      </c>
      <c r="AU47" s="267">
        <v>957501</v>
      </c>
      <c r="AV47" s="267">
        <v>954831</v>
      </c>
      <c r="AW47" s="267">
        <v>935582</v>
      </c>
      <c r="AX47" s="267">
        <v>915235</v>
      </c>
      <c r="AY47" s="267">
        <v>896942</v>
      </c>
      <c r="AZ47" s="267">
        <v>858865</v>
      </c>
      <c r="BA47" s="267">
        <v>836095</v>
      </c>
      <c r="BB47" s="267">
        <v>818447</v>
      </c>
      <c r="BC47" s="267">
        <v>793432</v>
      </c>
      <c r="BD47" s="267">
        <v>772445</v>
      </c>
      <c r="BE47" s="267">
        <v>748741</v>
      </c>
      <c r="BF47" s="267">
        <v>759849</v>
      </c>
      <c r="BG47" s="267">
        <v>756161</v>
      </c>
      <c r="BH47" s="267">
        <v>741355</v>
      </c>
      <c r="BI47" s="267">
        <v>757943</v>
      </c>
      <c r="BJ47" s="267">
        <v>779372</v>
      </c>
      <c r="BK47" s="267">
        <v>806349</v>
      </c>
      <c r="BL47" s="267">
        <v>860239</v>
      </c>
      <c r="BM47" s="267">
        <v>938282</v>
      </c>
      <c r="BN47" s="267">
        <v>734916</v>
      </c>
      <c r="BO47" s="267">
        <v>724197</v>
      </c>
      <c r="BP47" s="267">
        <v>730019</v>
      </c>
      <c r="BQ47" s="267">
        <v>695287</v>
      </c>
      <c r="BR47" s="267">
        <v>637109</v>
      </c>
      <c r="BS47" s="267">
        <v>589776</v>
      </c>
      <c r="BT47" s="267">
        <v>623666</v>
      </c>
      <c r="BU47" s="267">
        <v>629697</v>
      </c>
      <c r="BV47" s="267">
        <v>625704</v>
      </c>
      <c r="BW47" s="267">
        <v>614367</v>
      </c>
      <c r="BX47" s="267">
        <v>605297</v>
      </c>
      <c r="BY47" s="267">
        <v>593319</v>
      </c>
      <c r="BZ47" s="267">
        <v>576095</v>
      </c>
      <c r="CA47" s="267">
        <v>575365</v>
      </c>
      <c r="CB47" s="267">
        <v>590783</v>
      </c>
      <c r="CC47" s="267">
        <v>600193</v>
      </c>
      <c r="CD47" s="267">
        <v>595489</v>
      </c>
      <c r="CE47" s="267">
        <v>582068</v>
      </c>
      <c r="CF47" s="267">
        <v>572955</v>
      </c>
      <c r="CG47" s="267">
        <v>575804</v>
      </c>
      <c r="CH47" s="267">
        <v>580662</v>
      </c>
      <c r="CI47" s="267">
        <v>568400</v>
      </c>
      <c r="CJ47" s="267">
        <v>564572</v>
      </c>
      <c r="CK47" s="267">
        <v>559702</v>
      </c>
      <c r="CL47" s="267">
        <v>576319</v>
      </c>
      <c r="CM47" s="267">
        <v>589973</v>
      </c>
      <c r="CN47" s="267">
        <v>601903</v>
      </c>
      <c r="CO47" s="267">
        <v>397857</v>
      </c>
      <c r="CP47" s="267">
        <v>370973</v>
      </c>
      <c r="CQ47" s="267">
        <v>399424</v>
      </c>
      <c r="CR47" s="267">
        <v>413756</v>
      </c>
      <c r="CS47" s="267">
        <v>421780</v>
      </c>
      <c r="CT47" s="267">
        <v>406299</v>
      </c>
      <c r="CU47" s="267">
        <v>379017</v>
      </c>
      <c r="CV47" s="267">
        <v>350127</v>
      </c>
      <c r="CW47" s="267">
        <v>323334</v>
      </c>
      <c r="CX47" s="267">
        <v>301742</v>
      </c>
      <c r="CY47" s="267">
        <v>276250</v>
      </c>
      <c r="CZ47" s="267">
        <v>249436</v>
      </c>
      <c r="DA47" s="267">
        <v>218573</v>
      </c>
      <c r="DB47" s="267">
        <v>191503</v>
      </c>
      <c r="DC47" s="267">
        <v>842425</v>
      </c>
      <c r="DD47" s="270" t="s">
        <v>1858</v>
      </c>
      <c r="DE47" s="270" t="s">
        <v>1858</v>
      </c>
      <c r="DF47" s="270" t="s">
        <v>1858</v>
      </c>
      <c r="DG47" s="270" t="s">
        <v>1858</v>
      </c>
      <c r="DH47" s="270" t="s">
        <v>1858</v>
      </c>
    </row>
    <row r="48" spans="2:112">
      <c r="B48" s="262" t="s">
        <v>1868</v>
      </c>
      <c r="C48" s="262">
        <f t="shared" si="17"/>
        <v>93501966.075056911</v>
      </c>
      <c r="D48" s="265"/>
      <c r="E48">
        <v>47875000</v>
      </c>
      <c r="F48" s="262">
        <f t="shared" si="1"/>
        <v>19892285.544867709</v>
      </c>
      <c r="G48" s="262">
        <f t="shared" si="2"/>
        <v>13034721.698233269</v>
      </c>
      <c r="H48" s="262">
        <f t="shared" si="3"/>
        <v>7397348.746379137</v>
      </c>
      <c r="I48" s="262">
        <f t="shared" si="4"/>
        <v>7550644.0105198836</v>
      </c>
      <c r="K48">
        <v>57438658</v>
      </c>
      <c r="L48" s="269">
        <f t="shared" si="5"/>
        <v>0.41550465890063099</v>
      </c>
      <c r="M48" s="269">
        <f t="shared" si="6"/>
        <v>0.27226572737824062</v>
      </c>
      <c r="N48" s="269">
        <f t="shared" si="7"/>
        <v>0.15451381193481226</v>
      </c>
      <c r="O48" s="269">
        <f t="shared" si="8"/>
        <v>0.15771580178631611</v>
      </c>
      <c r="Q48" s="268">
        <f t="shared" si="13"/>
        <v>23866030</v>
      </c>
      <c r="R48" s="268">
        <f t="shared" si="14"/>
        <v>15638578</v>
      </c>
      <c r="S48" s="268">
        <f t="shared" si="15"/>
        <v>8875066</v>
      </c>
      <c r="T48" s="268">
        <f t="shared" si="16"/>
        <v>9058984</v>
      </c>
      <c r="U48" s="267"/>
      <c r="V48" s="267">
        <v>789720</v>
      </c>
      <c r="W48" s="267">
        <v>771556</v>
      </c>
      <c r="X48" s="267">
        <v>767759</v>
      </c>
      <c r="Y48" s="267">
        <v>779656</v>
      </c>
      <c r="Z48" s="267">
        <v>758179</v>
      </c>
      <c r="AA48" s="267">
        <v>750808</v>
      </c>
      <c r="AB48" s="267">
        <v>746733</v>
      </c>
      <c r="AC48" s="267">
        <v>717800</v>
      </c>
      <c r="AD48" s="267">
        <v>720684</v>
      </c>
      <c r="AE48" s="267">
        <v>720572</v>
      </c>
      <c r="AF48" s="267">
        <v>732870</v>
      </c>
      <c r="AG48" s="267">
        <v>738147</v>
      </c>
      <c r="AH48" s="267">
        <v>710696</v>
      </c>
      <c r="AI48" s="267">
        <v>656698</v>
      </c>
      <c r="AJ48" s="267">
        <v>646302</v>
      </c>
      <c r="AK48" s="267">
        <v>676493</v>
      </c>
      <c r="AL48" s="267">
        <v>705444</v>
      </c>
      <c r="AM48" s="267">
        <v>729537</v>
      </c>
      <c r="AN48" s="267">
        <v>779874</v>
      </c>
      <c r="AO48" s="267">
        <v>828066</v>
      </c>
      <c r="AP48" s="267">
        <v>866431</v>
      </c>
      <c r="AQ48" s="267">
        <v>861090</v>
      </c>
      <c r="AR48" s="267">
        <v>893262</v>
      </c>
      <c r="AS48" s="267">
        <v>901743</v>
      </c>
      <c r="AT48" s="267">
        <v>925657</v>
      </c>
      <c r="AU48" s="267">
        <v>934841</v>
      </c>
      <c r="AV48" s="267">
        <v>955226</v>
      </c>
      <c r="AW48" s="267">
        <v>952994</v>
      </c>
      <c r="AX48" s="267">
        <v>934178</v>
      </c>
      <c r="AY48" s="267">
        <v>913014</v>
      </c>
      <c r="AZ48" s="267">
        <v>897204</v>
      </c>
      <c r="BA48" s="267">
        <v>858682</v>
      </c>
      <c r="BB48" s="267">
        <v>836852</v>
      </c>
      <c r="BC48" s="267">
        <v>819648</v>
      </c>
      <c r="BD48" s="267">
        <v>795080</v>
      </c>
      <c r="BE48" s="267">
        <v>772649</v>
      </c>
      <c r="BF48" s="267">
        <v>749177</v>
      </c>
      <c r="BG48" s="267">
        <v>759975</v>
      </c>
      <c r="BH48" s="267">
        <v>755430</v>
      </c>
      <c r="BI48" s="267">
        <v>741118</v>
      </c>
      <c r="BJ48" s="267">
        <v>757471</v>
      </c>
      <c r="BK48" s="267">
        <v>778970</v>
      </c>
      <c r="BL48" s="267">
        <v>805644</v>
      </c>
      <c r="BM48" s="267">
        <v>859571</v>
      </c>
      <c r="BN48" s="267">
        <v>937556</v>
      </c>
      <c r="BO48" s="267">
        <v>733274</v>
      </c>
      <c r="BP48" s="267">
        <v>722893</v>
      </c>
      <c r="BQ48" s="267">
        <v>728591</v>
      </c>
      <c r="BR48" s="267">
        <v>693435</v>
      </c>
      <c r="BS48" s="267">
        <v>635358</v>
      </c>
      <c r="BT48" s="267">
        <v>587554</v>
      </c>
      <c r="BU48" s="267">
        <v>621040</v>
      </c>
      <c r="BV48" s="267">
        <v>627175</v>
      </c>
      <c r="BW48" s="267">
        <v>622853</v>
      </c>
      <c r="BX48" s="267">
        <v>611007</v>
      </c>
      <c r="BY48" s="267">
        <v>601419</v>
      </c>
      <c r="BZ48" s="267">
        <v>589005</v>
      </c>
      <c r="CA48" s="267">
        <v>571549</v>
      </c>
      <c r="CB48" s="267">
        <v>570306</v>
      </c>
      <c r="CC48" s="267">
        <v>584964</v>
      </c>
      <c r="CD48" s="267">
        <v>594078</v>
      </c>
      <c r="CE48" s="267">
        <v>588419</v>
      </c>
      <c r="CF48" s="267">
        <v>574415</v>
      </c>
      <c r="CG48" s="267">
        <v>564621</v>
      </c>
      <c r="CH48" s="267">
        <v>566661</v>
      </c>
      <c r="CI48" s="267">
        <v>570318</v>
      </c>
      <c r="CJ48" s="267">
        <v>557278</v>
      </c>
      <c r="CK48" s="267">
        <v>552324</v>
      </c>
      <c r="CL48" s="267">
        <v>546609</v>
      </c>
      <c r="CM48" s="267">
        <v>561134</v>
      </c>
      <c r="CN48" s="267">
        <v>572450</v>
      </c>
      <c r="CO48" s="267">
        <v>582605</v>
      </c>
      <c r="CP48" s="267">
        <v>383809</v>
      </c>
      <c r="CQ48" s="267">
        <v>357229</v>
      </c>
      <c r="CR48" s="267">
        <v>383371</v>
      </c>
      <c r="CS48" s="267">
        <v>395628</v>
      </c>
      <c r="CT48" s="267">
        <v>401405</v>
      </c>
      <c r="CU48" s="267">
        <v>384513</v>
      </c>
      <c r="CV48" s="267">
        <v>356614</v>
      </c>
      <c r="CW48" s="267">
        <v>327303</v>
      </c>
      <c r="CX48" s="267">
        <v>299944</v>
      </c>
      <c r="CY48" s="267">
        <v>278151</v>
      </c>
      <c r="CZ48" s="267">
        <v>252584</v>
      </c>
      <c r="DA48" s="267">
        <v>226288</v>
      </c>
      <c r="DB48" s="267">
        <v>196125</v>
      </c>
      <c r="DC48" s="267">
        <v>169676</v>
      </c>
      <c r="DD48" s="267">
        <v>147220</v>
      </c>
      <c r="DE48" s="267">
        <v>123019</v>
      </c>
      <c r="DF48" s="267">
        <v>102543</v>
      </c>
      <c r="DG48" s="267">
        <v>83059</v>
      </c>
      <c r="DH48" s="267">
        <v>247785</v>
      </c>
    </row>
    <row r="49" spans="2:112">
      <c r="B49" s="262" t="s">
        <v>1869</v>
      </c>
      <c r="C49" s="262">
        <f t="shared" si="17"/>
        <v>93709104.756987125</v>
      </c>
      <c r="D49" s="265"/>
      <c r="E49">
        <v>47998000</v>
      </c>
      <c r="F49" s="262">
        <f t="shared" si="1"/>
        <v>19768875.103539091</v>
      </c>
      <c r="G49" s="262">
        <f t="shared" si="2"/>
        <v>13243899.461435214</v>
      </c>
      <c r="H49" s="262">
        <f t="shared" si="3"/>
        <v>7398246.3039639294</v>
      </c>
      <c r="I49" s="262">
        <f t="shared" si="4"/>
        <v>7586979.1310617626</v>
      </c>
      <c r="K49">
        <v>57584530</v>
      </c>
      <c r="L49" s="269">
        <f t="shared" si="5"/>
        <v>0.41186872585397499</v>
      </c>
      <c r="M49" s="269">
        <f t="shared" si="6"/>
        <v>0.27592606903277667</v>
      </c>
      <c r="N49" s="269">
        <f t="shared" si="7"/>
        <v>0.15413655368898557</v>
      </c>
      <c r="O49" s="269">
        <f t="shared" si="8"/>
        <v>0.15806865142426274</v>
      </c>
      <c r="Q49" s="268">
        <f t="shared" si="13"/>
        <v>23717267</v>
      </c>
      <c r="R49" s="268">
        <f t="shared" si="14"/>
        <v>15889073</v>
      </c>
      <c r="S49" s="268">
        <f t="shared" si="15"/>
        <v>8875881</v>
      </c>
      <c r="T49" s="268">
        <f t="shared" si="16"/>
        <v>9102309</v>
      </c>
      <c r="U49" s="267"/>
      <c r="V49" s="266">
        <v>785117</v>
      </c>
      <c r="W49" s="266">
        <v>787696</v>
      </c>
      <c r="X49" s="266">
        <v>771504</v>
      </c>
      <c r="Y49" s="266">
        <v>768282</v>
      </c>
      <c r="Z49" s="266">
        <v>778861</v>
      </c>
      <c r="AA49" s="266">
        <v>757843</v>
      </c>
      <c r="AB49" s="266">
        <v>750752</v>
      </c>
      <c r="AC49" s="266">
        <v>747181</v>
      </c>
      <c r="AD49" s="266">
        <v>718447</v>
      </c>
      <c r="AE49" s="266">
        <v>720354</v>
      </c>
      <c r="AF49" s="266">
        <v>719482</v>
      </c>
      <c r="AG49" s="266">
        <v>733699</v>
      </c>
      <c r="AH49" s="266">
        <v>737833</v>
      </c>
      <c r="AI49" s="266">
        <v>711006</v>
      </c>
      <c r="AJ49" s="266">
        <v>656784</v>
      </c>
      <c r="AK49" s="266">
        <v>646807</v>
      </c>
      <c r="AL49" s="266">
        <v>676068</v>
      </c>
      <c r="AM49" s="266">
        <v>702941</v>
      </c>
      <c r="AN49" s="266">
        <v>726060</v>
      </c>
      <c r="AO49" s="266">
        <v>779327</v>
      </c>
      <c r="AP49" s="266">
        <v>828974</v>
      </c>
      <c r="AQ49" s="266">
        <v>866872</v>
      </c>
      <c r="AR49" s="266">
        <v>861451</v>
      </c>
      <c r="AS49" s="266">
        <v>892476</v>
      </c>
      <c r="AT49" s="266">
        <v>900556</v>
      </c>
      <c r="AU49" s="266">
        <v>925074</v>
      </c>
      <c r="AV49" s="266">
        <v>933763</v>
      </c>
      <c r="AW49" s="266">
        <v>952242</v>
      </c>
      <c r="AX49" s="266">
        <v>948606</v>
      </c>
      <c r="AY49" s="266">
        <v>931209</v>
      </c>
      <c r="AZ49" s="266">
        <v>909373</v>
      </c>
      <c r="BA49" s="266">
        <v>893905</v>
      </c>
      <c r="BB49" s="266">
        <v>856495</v>
      </c>
      <c r="BC49" s="266">
        <v>836374</v>
      </c>
      <c r="BD49" s="266">
        <v>819728</v>
      </c>
      <c r="BE49" s="266">
        <v>794440</v>
      </c>
      <c r="BF49" s="266">
        <v>772284</v>
      </c>
      <c r="BG49" s="266">
        <v>749196</v>
      </c>
      <c r="BH49" s="266">
        <v>759071</v>
      </c>
      <c r="BI49" s="266">
        <v>755124</v>
      </c>
      <c r="BJ49" s="266">
        <v>740844</v>
      </c>
      <c r="BK49" s="266">
        <v>756597</v>
      </c>
      <c r="BL49" s="266">
        <v>777652</v>
      </c>
      <c r="BM49" s="266">
        <v>804387</v>
      </c>
      <c r="BN49" s="266">
        <v>858871</v>
      </c>
      <c r="BO49" s="266">
        <v>931988</v>
      </c>
      <c r="BP49" s="266">
        <v>733267</v>
      </c>
      <c r="BQ49" s="266">
        <v>722097</v>
      </c>
      <c r="BR49" s="266">
        <v>725655</v>
      </c>
      <c r="BS49" s="266">
        <v>691725</v>
      </c>
      <c r="BT49" s="266">
        <v>632621</v>
      </c>
      <c r="BU49" s="266">
        <v>586807</v>
      </c>
      <c r="BV49" s="266">
        <v>618837</v>
      </c>
      <c r="BW49" s="266">
        <v>624469</v>
      </c>
      <c r="BX49" s="266">
        <v>620487</v>
      </c>
      <c r="BY49" s="266">
        <v>608208</v>
      </c>
      <c r="BZ49" s="266">
        <v>597914</v>
      </c>
      <c r="CA49" s="266">
        <v>584785</v>
      </c>
      <c r="CB49" s="266">
        <v>567133</v>
      </c>
      <c r="CC49" s="266">
        <v>565773</v>
      </c>
      <c r="CD49" s="266">
        <v>579122</v>
      </c>
      <c r="CE49" s="266">
        <v>587231</v>
      </c>
      <c r="CF49" s="266">
        <v>580587</v>
      </c>
      <c r="CG49" s="266">
        <v>566482</v>
      </c>
      <c r="CH49" s="266">
        <v>555425</v>
      </c>
      <c r="CI49" s="266">
        <v>556738</v>
      </c>
      <c r="CJ49" s="266">
        <v>558786</v>
      </c>
      <c r="CK49" s="266">
        <v>544886</v>
      </c>
      <c r="CL49" s="266">
        <v>539199</v>
      </c>
      <c r="CM49" s="266">
        <v>532178</v>
      </c>
      <c r="CN49" s="266">
        <v>545162</v>
      </c>
      <c r="CO49" s="266">
        <v>554835</v>
      </c>
      <c r="CP49" s="266">
        <v>561503</v>
      </c>
      <c r="CQ49" s="266">
        <v>371139</v>
      </c>
      <c r="CR49" s="266">
        <v>342496</v>
      </c>
      <c r="CS49" s="266">
        <v>365853</v>
      </c>
      <c r="CT49" s="266">
        <v>376201</v>
      </c>
      <c r="CU49" s="266">
        <v>379659</v>
      </c>
      <c r="CV49" s="266">
        <v>361722</v>
      </c>
      <c r="CW49" s="266">
        <v>333948</v>
      </c>
      <c r="CX49" s="266">
        <v>304349</v>
      </c>
      <c r="CY49" s="266">
        <v>277053</v>
      </c>
      <c r="CZ49" s="266">
        <v>254987</v>
      </c>
      <c r="DA49" s="266">
        <v>229539</v>
      </c>
      <c r="DB49" s="266">
        <v>203810</v>
      </c>
      <c r="DC49" s="266">
        <v>174931</v>
      </c>
      <c r="DD49" s="266">
        <v>149401</v>
      </c>
      <c r="DE49" s="266">
        <v>128252</v>
      </c>
      <c r="DF49" s="266">
        <v>105798</v>
      </c>
      <c r="DG49" s="266">
        <v>86962</v>
      </c>
      <c r="DH49" s="266">
        <v>262922</v>
      </c>
    </row>
    <row r="50" spans="2:112">
      <c r="B50" s="262" t="s">
        <v>1870</v>
      </c>
      <c r="C50" s="262">
        <f t="shared" si="17"/>
        <v>93852989.154189378</v>
      </c>
      <c r="D50" s="265"/>
      <c r="E50">
        <v>48102000</v>
      </c>
      <c r="F50" s="262">
        <f t="shared" si="1"/>
        <v>19613673.645801272</v>
      </c>
      <c r="G50" s="262">
        <f t="shared" si="2"/>
        <v>13418316.825123323</v>
      </c>
      <c r="H50" s="262">
        <f t="shared" si="3"/>
        <v>7454994.2172152009</v>
      </c>
      <c r="I50" s="262">
        <f t="shared" si="4"/>
        <v>7615015.3118602009</v>
      </c>
      <c r="K50">
        <v>57713889</v>
      </c>
      <c r="L50" s="269">
        <f t="shared" si="5"/>
        <v>0.40775172853106467</v>
      </c>
      <c r="M50" s="269">
        <f t="shared" si="6"/>
        <v>0.27895548678066034</v>
      </c>
      <c r="N50" s="269">
        <f t="shared" si="7"/>
        <v>0.15498304056411794</v>
      </c>
      <c r="O50" s="269">
        <f t="shared" si="8"/>
        <v>0.15830974412415702</v>
      </c>
      <c r="Q50" s="268">
        <f t="shared" si="13"/>
        <v>23532938</v>
      </c>
      <c r="R50" s="268">
        <f t="shared" si="14"/>
        <v>16099606</v>
      </c>
      <c r="S50" s="268">
        <f t="shared" si="15"/>
        <v>8944674</v>
      </c>
      <c r="T50" s="268">
        <f t="shared" si="16"/>
        <v>9136671</v>
      </c>
      <c r="U50" s="267"/>
      <c r="V50" s="266">
        <v>756991</v>
      </c>
      <c r="W50" s="266">
        <v>782337</v>
      </c>
      <c r="X50" s="266">
        <v>787394</v>
      </c>
      <c r="Y50" s="266">
        <v>772006</v>
      </c>
      <c r="Z50" s="266">
        <v>767743</v>
      </c>
      <c r="AA50" s="266">
        <v>778838</v>
      </c>
      <c r="AB50" s="266">
        <v>758169</v>
      </c>
      <c r="AC50" s="266">
        <v>750367</v>
      </c>
      <c r="AD50" s="266">
        <v>748079</v>
      </c>
      <c r="AE50" s="266">
        <v>719132</v>
      </c>
      <c r="AF50" s="266">
        <v>719442</v>
      </c>
      <c r="AG50" s="266">
        <v>720077</v>
      </c>
      <c r="AH50" s="266">
        <v>733826</v>
      </c>
      <c r="AI50" s="266">
        <v>738057</v>
      </c>
      <c r="AJ50" s="266">
        <v>711085</v>
      </c>
      <c r="AK50" s="266">
        <v>657369</v>
      </c>
      <c r="AL50" s="266">
        <v>646707</v>
      </c>
      <c r="AM50" s="266">
        <v>675319</v>
      </c>
      <c r="AN50" s="266">
        <v>699549</v>
      </c>
      <c r="AO50" s="266">
        <v>726531</v>
      </c>
      <c r="AP50" s="266">
        <v>781942</v>
      </c>
      <c r="AQ50" s="266">
        <v>830398</v>
      </c>
      <c r="AR50" s="266">
        <v>867413</v>
      </c>
      <c r="AS50" s="266">
        <v>861233</v>
      </c>
      <c r="AT50" s="266">
        <v>890964</v>
      </c>
      <c r="AU50" s="266">
        <v>899754</v>
      </c>
      <c r="AV50" s="266">
        <v>924708</v>
      </c>
      <c r="AW50" s="266">
        <v>932926</v>
      </c>
      <c r="AX50" s="266">
        <v>949150</v>
      </c>
      <c r="AY50" s="266">
        <v>945432</v>
      </c>
      <c r="AZ50" s="266">
        <v>928136</v>
      </c>
      <c r="BA50" s="266">
        <v>906986</v>
      </c>
      <c r="BB50" s="266">
        <v>890848</v>
      </c>
      <c r="BC50" s="266">
        <v>854979</v>
      </c>
      <c r="BD50" s="266">
        <v>835157</v>
      </c>
      <c r="BE50" s="266">
        <v>819134</v>
      </c>
      <c r="BF50" s="266">
        <v>794327</v>
      </c>
      <c r="BG50" s="266">
        <v>771518</v>
      </c>
      <c r="BH50" s="266">
        <v>748998</v>
      </c>
      <c r="BI50" s="266">
        <v>758830</v>
      </c>
      <c r="BJ50" s="266">
        <v>753545</v>
      </c>
      <c r="BK50" s="266">
        <v>740589</v>
      </c>
      <c r="BL50" s="266">
        <v>755192</v>
      </c>
      <c r="BM50" s="266">
        <v>776540</v>
      </c>
      <c r="BN50" s="266">
        <v>802928</v>
      </c>
      <c r="BO50" s="266">
        <v>857219</v>
      </c>
      <c r="BP50" s="266">
        <v>927582</v>
      </c>
      <c r="BQ50" s="266">
        <v>732950</v>
      </c>
      <c r="BR50" s="266">
        <v>721142</v>
      </c>
      <c r="BS50" s="266">
        <v>723006</v>
      </c>
      <c r="BT50" s="266">
        <v>689517</v>
      </c>
      <c r="BU50" s="266">
        <v>630163</v>
      </c>
      <c r="BV50" s="266">
        <v>585489</v>
      </c>
      <c r="BW50" s="266">
        <v>616099</v>
      </c>
      <c r="BX50" s="266">
        <v>621735</v>
      </c>
      <c r="BY50" s="266">
        <v>617491</v>
      </c>
      <c r="BZ50" s="266">
        <v>604963</v>
      </c>
      <c r="CA50" s="266">
        <v>593819</v>
      </c>
      <c r="CB50" s="266">
        <v>580169</v>
      </c>
      <c r="CC50" s="266">
        <v>562196</v>
      </c>
      <c r="CD50" s="266">
        <v>560569</v>
      </c>
      <c r="CE50" s="266">
        <v>572845</v>
      </c>
      <c r="CF50" s="266">
        <v>579562</v>
      </c>
      <c r="CG50" s="266">
        <v>572221</v>
      </c>
      <c r="CH50" s="266">
        <v>557836</v>
      </c>
      <c r="CI50" s="266">
        <v>545497</v>
      </c>
      <c r="CJ50" s="266">
        <v>545985</v>
      </c>
      <c r="CK50" s="266">
        <v>546324</v>
      </c>
      <c r="CL50" s="266">
        <v>532195</v>
      </c>
      <c r="CM50" s="266">
        <v>525251</v>
      </c>
      <c r="CN50" s="266">
        <v>517047</v>
      </c>
      <c r="CO50" s="266">
        <v>528514</v>
      </c>
      <c r="CP50" s="266">
        <v>536489</v>
      </c>
      <c r="CQ50" s="266">
        <v>539781</v>
      </c>
      <c r="CR50" s="266">
        <v>357885</v>
      </c>
      <c r="CS50" s="266">
        <v>327080</v>
      </c>
      <c r="CT50" s="266">
        <v>347970</v>
      </c>
      <c r="CU50" s="266">
        <v>354849</v>
      </c>
      <c r="CV50" s="266">
        <v>357398</v>
      </c>
      <c r="CW50" s="266">
        <v>339167</v>
      </c>
      <c r="CX50" s="266">
        <v>311125</v>
      </c>
      <c r="CY50" s="266">
        <v>281466</v>
      </c>
      <c r="CZ50" s="266">
        <v>254134</v>
      </c>
      <c r="DA50" s="266">
        <v>232159</v>
      </c>
      <c r="DB50" s="266">
        <v>207200</v>
      </c>
      <c r="DC50" s="266">
        <v>182212</v>
      </c>
      <c r="DD50" s="266">
        <v>154566</v>
      </c>
      <c r="DE50" s="266">
        <v>130476</v>
      </c>
      <c r="DF50" s="266">
        <v>110587</v>
      </c>
      <c r="DG50" s="266">
        <v>90246</v>
      </c>
      <c r="DH50" s="266">
        <v>281068</v>
      </c>
    </row>
    <row r="51" spans="2:112">
      <c r="B51" s="262" t="s">
        <v>1871</v>
      </c>
      <c r="C51" s="262">
        <f t="shared" si="17"/>
        <v>93973249.869194508</v>
      </c>
      <c r="D51" s="265"/>
      <c r="E51">
        <v>48229000</v>
      </c>
      <c r="F51" s="262">
        <f t="shared" si="1"/>
        <v>19465163.785079174</v>
      </c>
      <c r="G51" s="262">
        <f t="shared" si="2"/>
        <v>13594490.09380831</v>
      </c>
      <c r="H51" s="262">
        <f t="shared" si="3"/>
        <v>7539191.0320469448</v>
      </c>
      <c r="I51" s="262">
        <f t="shared" si="4"/>
        <v>7630155.0890655704</v>
      </c>
      <c r="K51">
        <v>57862145</v>
      </c>
      <c r="L51" s="269">
        <f t="shared" si="5"/>
        <v>0.40359874318520339</v>
      </c>
      <c r="M51" s="269">
        <f t="shared" si="6"/>
        <v>0.28187377083929399</v>
      </c>
      <c r="N51" s="269">
        <f t="shared" si="7"/>
        <v>0.15632069982887775</v>
      </c>
      <c r="O51" s="269">
        <f t="shared" si="8"/>
        <v>0.15820678614662487</v>
      </c>
      <c r="Q51" s="268">
        <f t="shared" si="13"/>
        <v>23353089</v>
      </c>
      <c r="R51" s="268">
        <f t="shared" si="14"/>
        <v>16309821</v>
      </c>
      <c r="S51" s="268">
        <f t="shared" si="15"/>
        <v>9045051</v>
      </c>
      <c r="T51" s="268">
        <f t="shared" si="16"/>
        <v>9154184</v>
      </c>
      <c r="U51" s="267"/>
      <c r="V51" s="266">
        <v>755216</v>
      </c>
      <c r="W51" s="266">
        <v>754510</v>
      </c>
      <c r="X51" s="266">
        <v>781701</v>
      </c>
      <c r="Y51" s="266">
        <v>787911</v>
      </c>
      <c r="Z51" s="266">
        <v>772821</v>
      </c>
      <c r="AA51" s="266">
        <v>768060</v>
      </c>
      <c r="AB51" s="266">
        <v>779132</v>
      </c>
      <c r="AC51" s="266">
        <v>758891</v>
      </c>
      <c r="AD51" s="266">
        <v>750727</v>
      </c>
      <c r="AE51" s="266">
        <v>749337</v>
      </c>
      <c r="AF51" s="266">
        <v>720330</v>
      </c>
      <c r="AG51" s="266">
        <v>720101</v>
      </c>
      <c r="AH51" s="266">
        <v>720165</v>
      </c>
      <c r="AI51" s="266">
        <v>734419</v>
      </c>
      <c r="AJ51" s="266">
        <v>738569</v>
      </c>
      <c r="AK51" s="266">
        <v>711735</v>
      </c>
      <c r="AL51" s="266">
        <v>657425</v>
      </c>
      <c r="AM51" s="266">
        <v>646532</v>
      </c>
      <c r="AN51" s="266">
        <v>671330</v>
      </c>
      <c r="AO51" s="266">
        <v>699883</v>
      </c>
      <c r="AP51" s="266">
        <v>730588</v>
      </c>
      <c r="AQ51" s="266">
        <v>782933</v>
      </c>
      <c r="AR51" s="266">
        <v>832126</v>
      </c>
      <c r="AS51" s="266">
        <v>867425</v>
      </c>
      <c r="AT51" s="266">
        <v>860872</v>
      </c>
      <c r="AU51" s="266">
        <v>890945</v>
      </c>
      <c r="AV51" s="266">
        <v>900842</v>
      </c>
      <c r="AW51" s="266">
        <v>926292</v>
      </c>
      <c r="AX51" s="266">
        <v>933345</v>
      </c>
      <c r="AY51" s="266">
        <v>948926</v>
      </c>
      <c r="AZ51" s="266">
        <v>943982</v>
      </c>
      <c r="BA51" s="266">
        <v>927638</v>
      </c>
      <c r="BB51" s="266">
        <v>906306</v>
      </c>
      <c r="BC51" s="266">
        <v>890003</v>
      </c>
      <c r="BD51" s="266">
        <v>854421</v>
      </c>
      <c r="BE51" s="266">
        <v>834849</v>
      </c>
      <c r="BF51" s="266">
        <v>820038</v>
      </c>
      <c r="BG51" s="266">
        <v>794872</v>
      </c>
      <c r="BH51" s="266">
        <v>771658</v>
      </c>
      <c r="BI51" s="266">
        <v>749892</v>
      </c>
      <c r="BJ51" s="266">
        <v>758684</v>
      </c>
      <c r="BK51" s="266">
        <v>753216</v>
      </c>
      <c r="BL51" s="266">
        <v>740562</v>
      </c>
      <c r="BM51" s="266">
        <v>754097</v>
      </c>
      <c r="BN51" s="266">
        <v>775862</v>
      </c>
      <c r="BO51" s="266">
        <v>801242</v>
      </c>
      <c r="BP51" s="266">
        <v>856276</v>
      </c>
      <c r="BQ51" s="266">
        <v>923300</v>
      </c>
      <c r="BR51" s="266">
        <v>732611</v>
      </c>
      <c r="BS51" s="266">
        <v>720312</v>
      </c>
      <c r="BT51" s="266">
        <v>719868</v>
      </c>
      <c r="BU51" s="266">
        <v>687567</v>
      </c>
      <c r="BV51" s="266">
        <v>627442</v>
      </c>
      <c r="BW51" s="266">
        <v>583734</v>
      </c>
      <c r="BX51" s="266">
        <v>613749</v>
      </c>
      <c r="BY51" s="266">
        <v>618729</v>
      </c>
      <c r="BZ51" s="266">
        <v>614050</v>
      </c>
      <c r="CA51" s="266">
        <v>601049</v>
      </c>
      <c r="CB51" s="266">
        <v>589478</v>
      </c>
      <c r="CC51" s="266">
        <v>575324</v>
      </c>
      <c r="CD51" s="266">
        <v>557244</v>
      </c>
      <c r="CE51" s="266">
        <v>555745</v>
      </c>
      <c r="CF51" s="266">
        <v>565926</v>
      </c>
      <c r="CG51" s="266">
        <v>571679</v>
      </c>
      <c r="CH51" s="266">
        <v>563467</v>
      </c>
      <c r="CI51" s="266">
        <v>548572</v>
      </c>
      <c r="CJ51" s="266">
        <v>535016</v>
      </c>
      <c r="CK51" s="266">
        <v>534488</v>
      </c>
      <c r="CL51" s="266">
        <v>533801</v>
      </c>
      <c r="CM51" s="266">
        <v>519000</v>
      </c>
      <c r="CN51" s="266">
        <v>510536</v>
      </c>
      <c r="CO51" s="266">
        <v>501207</v>
      </c>
      <c r="CP51" s="266">
        <v>510738</v>
      </c>
      <c r="CQ51" s="266">
        <v>517318</v>
      </c>
      <c r="CR51" s="266">
        <v>516548</v>
      </c>
      <c r="CS51" s="266">
        <v>343662</v>
      </c>
      <c r="CT51" s="266">
        <v>311041</v>
      </c>
      <c r="CU51" s="266">
        <v>329286</v>
      </c>
      <c r="CV51" s="266">
        <v>334690</v>
      </c>
      <c r="CW51" s="266">
        <v>334779</v>
      </c>
      <c r="CX51" s="266">
        <v>315112</v>
      </c>
      <c r="CY51" s="266">
        <v>286831</v>
      </c>
      <c r="CZ51" s="266">
        <v>257736</v>
      </c>
      <c r="DA51" s="266">
        <v>231172</v>
      </c>
      <c r="DB51" s="266">
        <v>208555</v>
      </c>
      <c r="DC51" s="266">
        <v>184250</v>
      </c>
      <c r="DD51" s="266">
        <v>160030</v>
      </c>
      <c r="DE51" s="266">
        <v>134146</v>
      </c>
      <c r="DF51" s="266">
        <v>111326</v>
      </c>
      <c r="DG51" s="266">
        <v>93245</v>
      </c>
      <c r="DH51" s="266">
        <v>291099</v>
      </c>
    </row>
    <row r="52" spans="2:112">
      <c r="B52" s="262" t="s">
        <v>1872</v>
      </c>
      <c r="C52" s="262">
        <f t="shared" si="17"/>
        <v>94218695.430743337</v>
      </c>
      <c r="D52" s="265"/>
      <c r="E52">
        <v>48383000</v>
      </c>
      <c r="F52" s="262">
        <f t="shared" si="1"/>
        <v>19319214.128824472</v>
      </c>
      <c r="G52" s="262">
        <f t="shared" si="2"/>
        <v>13774747.434920024</v>
      </c>
      <c r="H52" s="262">
        <f t="shared" si="3"/>
        <v>7621228.1741122445</v>
      </c>
      <c r="I52" s="262">
        <f t="shared" si="4"/>
        <v>7667810.2621432608</v>
      </c>
      <c r="K52">
        <v>58024799</v>
      </c>
      <c r="L52" s="269">
        <f t="shared" si="5"/>
        <v>0.39929756585628157</v>
      </c>
      <c r="M52" s="269">
        <f t="shared" si="6"/>
        <v>0.28470221844284199</v>
      </c>
      <c r="N52" s="269">
        <f t="shared" si="7"/>
        <v>0.157518718849849</v>
      </c>
      <c r="O52" s="269">
        <f t="shared" si="8"/>
        <v>0.15848149685102744</v>
      </c>
      <c r="Q52" s="268">
        <f t="shared" si="13"/>
        <v>23169161</v>
      </c>
      <c r="R52" s="268">
        <f t="shared" si="14"/>
        <v>16519789</v>
      </c>
      <c r="S52" s="268">
        <f t="shared" si="15"/>
        <v>9139992</v>
      </c>
      <c r="T52" s="268">
        <f t="shared" si="16"/>
        <v>9195857</v>
      </c>
      <c r="U52" s="267"/>
      <c r="V52" s="266">
        <v>731719</v>
      </c>
      <c r="W52" s="266">
        <v>753543</v>
      </c>
      <c r="X52" s="266">
        <v>754795</v>
      </c>
      <c r="Y52" s="266">
        <v>781441</v>
      </c>
      <c r="Z52" s="266">
        <v>788644</v>
      </c>
      <c r="AA52" s="266">
        <v>773102</v>
      </c>
      <c r="AB52" s="266">
        <v>769148</v>
      </c>
      <c r="AC52" s="266">
        <v>779519</v>
      </c>
      <c r="AD52" s="266">
        <v>759780</v>
      </c>
      <c r="AE52" s="266">
        <v>750853</v>
      </c>
      <c r="AF52" s="266">
        <v>750782</v>
      </c>
      <c r="AG52" s="266">
        <v>721881</v>
      </c>
      <c r="AH52" s="266">
        <v>720269</v>
      </c>
      <c r="AI52" s="266">
        <v>720730</v>
      </c>
      <c r="AJ52" s="266">
        <v>734936</v>
      </c>
      <c r="AK52" s="266">
        <v>739584</v>
      </c>
      <c r="AL52" s="266">
        <v>712032</v>
      </c>
      <c r="AM52" s="266">
        <v>657154</v>
      </c>
      <c r="AN52" s="266">
        <v>641235</v>
      </c>
      <c r="AO52" s="266">
        <v>673717</v>
      </c>
      <c r="AP52" s="266">
        <v>706148</v>
      </c>
      <c r="AQ52" s="266">
        <v>733331</v>
      </c>
      <c r="AR52" s="266">
        <v>786289</v>
      </c>
      <c r="AS52" s="266">
        <v>835239</v>
      </c>
      <c r="AT52" s="266">
        <v>868406</v>
      </c>
      <c r="AU52" s="266">
        <v>863465</v>
      </c>
      <c r="AV52" s="266">
        <v>893866</v>
      </c>
      <c r="AW52" s="266">
        <v>903962</v>
      </c>
      <c r="AX52" s="266">
        <v>928686</v>
      </c>
      <c r="AY52" s="266">
        <v>934905</v>
      </c>
      <c r="AZ52" s="266">
        <v>948860</v>
      </c>
      <c r="BA52" s="266">
        <v>943379</v>
      </c>
      <c r="BB52" s="266">
        <v>927131</v>
      </c>
      <c r="BC52" s="266">
        <v>905988</v>
      </c>
      <c r="BD52" s="266">
        <v>888441</v>
      </c>
      <c r="BE52" s="266">
        <v>852555</v>
      </c>
      <c r="BF52" s="266">
        <v>834429</v>
      </c>
      <c r="BG52" s="266">
        <v>819713</v>
      </c>
      <c r="BH52" s="266">
        <v>794817</v>
      </c>
      <c r="BI52" s="266">
        <v>771582</v>
      </c>
      <c r="BJ52" s="266">
        <v>750104</v>
      </c>
      <c r="BK52" s="266">
        <v>758153</v>
      </c>
      <c r="BL52" s="266">
        <v>752392</v>
      </c>
      <c r="BM52" s="266">
        <v>740401</v>
      </c>
      <c r="BN52" s="266">
        <v>753113</v>
      </c>
      <c r="BO52" s="266">
        <v>774018</v>
      </c>
      <c r="BP52" s="266">
        <v>799623</v>
      </c>
      <c r="BQ52" s="266">
        <v>854548</v>
      </c>
      <c r="BR52" s="266">
        <v>918965</v>
      </c>
      <c r="BS52" s="266">
        <v>731577</v>
      </c>
      <c r="BT52" s="266">
        <v>718946</v>
      </c>
      <c r="BU52" s="266">
        <v>716989</v>
      </c>
      <c r="BV52" s="266">
        <v>685139</v>
      </c>
      <c r="BW52" s="266">
        <v>624585</v>
      </c>
      <c r="BX52" s="266">
        <v>582548</v>
      </c>
      <c r="BY52" s="266">
        <v>610577</v>
      </c>
      <c r="BZ52" s="266">
        <v>615199</v>
      </c>
      <c r="CA52" s="266">
        <v>609932</v>
      </c>
      <c r="CB52" s="266">
        <v>596881</v>
      </c>
      <c r="CC52" s="266">
        <v>584936</v>
      </c>
      <c r="CD52" s="266">
        <v>570334</v>
      </c>
      <c r="CE52" s="266">
        <v>552080</v>
      </c>
      <c r="CF52" s="266">
        <v>549555</v>
      </c>
      <c r="CG52" s="266">
        <v>558722</v>
      </c>
      <c r="CH52" s="266">
        <v>563569</v>
      </c>
      <c r="CI52" s="266">
        <v>554310</v>
      </c>
      <c r="CJ52" s="266">
        <v>538674</v>
      </c>
      <c r="CK52" s="266">
        <v>524145</v>
      </c>
      <c r="CL52" s="266">
        <v>522831</v>
      </c>
      <c r="CM52" s="266">
        <v>520566</v>
      </c>
      <c r="CN52" s="266">
        <v>505018</v>
      </c>
      <c r="CO52" s="266">
        <v>495301</v>
      </c>
      <c r="CP52" s="266">
        <v>484921</v>
      </c>
      <c r="CQ52" s="266">
        <v>492570</v>
      </c>
      <c r="CR52" s="266">
        <v>497350</v>
      </c>
      <c r="CS52" s="266">
        <v>493441</v>
      </c>
      <c r="CT52" s="266">
        <v>329478</v>
      </c>
      <c r="CU52" s="266">
        <v>294838</v>
      </c>
      <c r="CV52" s="266">
        <v>310827</v>
      </c>
      <c r="CW52" s="266">
        <v>313803</v>
      </c>
      <c r="CX52" s="266">
        <v>312226</v>
      </c>
      <c r="CY52" s="266">
        <v>291808</v>
      </c>
      <c r="CZ52" s="266">
        <v>263618</v>
      </c>
      <c r="DA52" s="266">
        <v>234964</v>
      </c>
      <c r="DB52" s="266">
        <v>208686</v>
      </c>
      <c r="DC52" s="266">
        <v>186441</v>
      </c>
      <c r="DD52" s="266">
        <v>163036</v>
      </c>
      <c r="DE52" s="266">
        <v>140080</v>
      </c>
      <c r="DF52" s="266">
        <v>115796</v>
      </c>
      <c r="DG52" s="266">
        <v>95008</v>
      </c>
      <c r="DH52" s="266">
        <v>306121</v>
      </c>
    </row>
    <row r="53" spans="2:112">
      <c r="B53" s="262" t="s">
        <v>1873</v>
      </c>
      <c r="C53" s="262">
        <f t="shared" si="17"/>
        <v>94396669.176653951</v>
      </c>
      <c r="D53" s="265"/>
      <c r="E53">
        <v>48519000</v>
      </c>
      <c r="F53" s="262">
        <f t="shared" si="1"/>
        <v>19171217.292306799</v>
      </c>
      <c r="G53" s="262">
        <f t="shared" si="2"/>
        <v>13938308.620565573</v>
      </c>
      <c r="H53" s="262">
        <f t="shared" si="3"/>
        <v>7715734.3292304669</v>
      </c>
      <c r="I53" s="262">
        <f t="shared" si="4"/>
        <v>7693739.7578971628</v>
      </c>
      <c r="K53">
        <v>58164374</v>
      </c>
      <c r="L53" s="269">
        <f t="shared" si="5"/>
        <v>0.3951280383418207</v>
      </c>
      <c r="M53" s="269">
        <f t="shared" si="6"/>
        <v>0.28727526578382845</v>
      </c>
      <c r="N53" s="269">
        <f t="shared" si="7"/>
        <v>0.15902500730086083</v>
      </c>
      <c r="O53" s="269">
        <f t="shared" si="8"/>
        <v>0.15857168857349002</v>
      </c>
      <c r="Q53" s="268">
        <f t="shared" si="13"/>
        <v>22982375</v>
      </c>
      <c r="R53" s="268">
        <f t="shared" si="14"/>
        <v>16709186</v>
      </c>
      <c r="S53" s="268">
        <f t="shared" si="15"/>
        <v>9249590</v>
      </c>
      <c r="T53" s="268">
        <f t="shared" si="16"/>
        <v>9223223</v>
      </c>
      <c r="U53" s="267"/>
      <c r="V53" s="266">
        <v>718789</v>
      </c>
      <c r="W53" s="266">
        <v>730047</v>
      </c>
      <c r="X53" s="266">
        <v>752234</v>
      </c>
      <c r="Y53" s="266">
        <v>755137</v>
      </c>
      <c r="Z53" s="266">
        <v>781563</v>
      </c>
      <c r="AA53" s="266">
        <v>789457</v>
      </c>
      <c r="AB53" s="266">
        <v>774800</v>
      </c>
      <c r="AC53" s="266">
        <v>769765</v>
      </c>
      <c r="AD53" s="266">
        <v>779915</v>
      </c>
      <c r="AE53" s="266">
        <v>760753</v>
      </c>
      <c r="AF53" s="266">
        <v>751257</v>
      </c>
      <c r="AG53" s="266">
        <v>752779</v>
      </c>
      <c r="AH53" s="266">
        <v>723284</v>
      </c>
      <c r="AI53" s="266">
        <v>720900</v>
      </c>
      <c r="AJ53" s="266">
        <v>721307</v>
      </c>
      <c r="AK53" s="266">
        <v>735895</v>
      </c>
      <c r="AL53" s="266">
        <v>739690</v>
      </c>
      <c r="AM53" s="266">
        <v>712130</v>
      </c>
      <c r="AN53" s="266">
        <v>649900</v>
      </c>
      <c r="AO53" s="266">
        <v>641944</v>
      </c>
      <c r="AP53" s="266">
        <v>681837</v>
      </c>
      <c r="AQ53" s="266">
        <v>708147</v>
      </c>
      <c r="AR53" s="266">
        <v>736310</v>
      </c>
      <c r="AS53" s="266">
        <v>788624</v>
      </c>
      <c r="AT53" s="266">
        <v>836647</v>
      </c>
      <c r="AU53" s="266">
        <v>870755</v>
      </c>
      <c r="AV53" s="266">
        <v>865846</v>
      </c>
      <c r="AW53" s="266">
        <v>895624</v>
      </c>
      <c r="AX53" s="266">
        <v>906548</v>
      </c>
      <c r="AY53" s="266">
        <v>930491</v>
      </c>
      <c r="AZ53" s="266">
        <v>936403</v>
      </c>
      <c r="BA53" s="266">
        <v>948843</v>
      </c>
      <c r="BB53" s="266">
        <v>943478</v>
      </c>
      <c r="BC53" s="266">
        <v>927360</v>
      </c>
      <c r="BD53" s="266">
        <v>905551</v>
      </c>
      <c r="BE53" s="266">
        <v>886237</v>
      </c>
      <c r="BF53" s="266">
        <v>851818</v>
      </c>
      <c r="BG53" s="266">
        <v>833825</v>
      </c>
      <c r="BH53" s="266">
        <v>820013</v>
      </c>
      <c r="BI53" s="266">
        <v>795178</v>
      </c>
      <c r="BJ53" s="266">
        <v>771294</v>
      </c>
      <c r="BK53" s="266">
        <v>750245</v>
      </c>
      <c r="BL53" s="266">
        <v>757880</v>
      </c>
      <c r="BM53" s="266">
        <v>751506</v>
      </c>
      <c r="BN53" s="266">
        <v>740320</v>
      </c>
      <c r="BO53" s="266">
        <v>751255</v>
      </c>
      <c r="BP53" s="266">
        <v>772453</v>
      </c>
      <c r="BQ53" s="266">
        <v>797741</v>
      </c>
      <c r="BR53" s="266">
        <v>853012</v>
      </c>
      <c r="BS53" s="266">
        <v>914774</v>
      </c>
      <c r="BT53" s="266">
        <v>730809</v>
      </c>
      <c r="BU53" s="266">
        <v>717581</v>
      </c>
      <c r="BV53" s="266">
        <v>713839</v>
      </c>
      <c r="BW53" s="266">
        <v>682558</v>
      </c>
      <c r="BX53" s="266">
        <v>621311</v>
      </c>
      <c r="BY53" s="266">
        <v>580466</v>
      </c>
      <c r="BZ53" s="266">
        <v>607541</v>
      </c>
      <c r="CA53" s="266">
        <v>611379</v>
      </c>
      <c r="CB53" s="266">
        <v>605996</v>
      </c>
      <c r="CC53" s="266">
        <v>592633</v>
      </c>
      <c r="CD53" s="266">
        <v>579941</v>
      </c>
      <c r="CE53" s="266">
        <v>565263</v>
      </c>
      <c r="CF53" s="266">
        <v>545943</v>
      </c>
      <c r="CG53" s="266">
        <v>543166</v>
      </c>
      <c r="CH53" s="266">
        <v>551164</v>
      </c>
      <c r="CI53" s="266">
        <v>554556</v>
      </c>
      <c r="CJ53" s="266">
        <v>544590</v>
      </c>
      <c r="CK53" s="266">
        <v>528123</v>
      </c>
      <c r="CL53" s="266">
        <v>512548</v>
      </c>
      <c r="CM53" s="266">
        <v>510287</v>
      </c>
      <c r="CN53" s="266">
        <v>506257</v>
      </c>
      <c r="CO53" s="266">
        <v>489842</v>
      </c>
      <c r="CP53" s="266">
        <v>479229</v>
      </c>
      <c r="CQ53" s="266">
        <v>467530</v>
      </c>
      <c r="CR53" s="266">
        <v>473311</v>
      </c>
      <c r="CS53" s="266">
        <v>476555</v>
      </c>
      <c r="CT53" s="266">
        <v>469237</v>
      </c>
      <c r="CU53" s="266">
        <v>314348</v>
      </c>
      <c r="CV53" s="266">
        <v>277888</v>
      </c>
      <c r="CW53" s="266">
        <v>291437</v>
      </c>
      <c r="CX53" s="266">
        <v>291889</v>
      </c>
      <c r="CY53" s="266">
        <v>288604</v>
      </c>
      <c r="CZ53" s="266">
        <v>267892</v>
      </c>
      <c r="DA53" s="266">
        <v>239878</v>
      </c>
      <c r="DB53" s="266">
        <v>211671</v>
      </c>
      <c r="DC53" s="266">
        <v>186206</v>
      </c>
      <c r="DD53" s="266">
        <v>164389</v>
      </c>
      <c r="DE53" s="266">
        <v>142038</v>
      </c>
      <c r="DF53" s="266">
        <v>120399</v>
      </c>
      <c r="DG53" s="266">
        <v>97809</v>
      </c>
      <c r="DH53" s="266">
        <v>316710</v>
      </c>
    </row>
    <row r="54" spans="2:112">
      <c r="B54" s="262" t="s">
        <v>1874</v>
      </c>
      <c r="C54" s="262">
        <f t="shared" si="17"/>
        <v>94596745.440053433</v>
      </c>
      <c r="D54" s="265"/>
      <c r="E54">
        <v>48665000</v>
      </c>
      <c r="F54" s="262">
        <f t="shared" si="1"/>
        <v>19035040.609885931</v>
      </c>
      <c r="G54" s="262">
        <f t="shared" si="2"/>
        <v>13944989.088687398</v>
      </c>
      <c r="H54" s="262">
        <f t="shared" si="3"/>
        <v>7970948.969350527</v>
      </c>
      <c r="I54" s="262">
        <f t="shared" si="4"/>
        <v>7714021.3320761444</v>
      </c>
      <c r="K54">
        <v>58314249</v>
      </c>
      <c r="L54" s="269">
        <f t="shared" si="5"/>
        <v>0.39114436679103937</v>
      </c>
      <c r="M54" s="269">
        <f t="shared" si="6"/>
        <v>0.28655068506498299</v>
      </c>
      <c r="N54" s="269">
        <f t="shared" si="7"/>
        <v>0.16379223198090059</v>
      </c>
      <c r="O54" s="269">
        <f t="shared" si="8"/>
        <v>0.15851271616307705</v>
      </c>
      <c r="Q54" s="268">
        <f t="shared" si="13"/>
        <v>22809290</v>
      </c>
      <c r="R54" s="268">
        <f t="shared" si="14"/>
        <v>16709988</v>
      </c>
      <c r="S54" s="268">
        <f t="shared" si="15"/>
        <v>9551421</v>
      </c>
      <c r="T54" s="268">
        <f t="shared" si="16"/>
        <v>9243550</v>
      </c>
      <c r="U54" s="267"/>
      <c r="V54" s="266">
        <v>733266</v>
      </c>
      <c r="W54" s="266">
        <v>718727</v>
      </c>
      <c r="X54" s="266">
        <v>729026</v>
      </c>
      <c r="Y54" s="266">
        <v>751047</v>
      </c>
      <c r="Z54" s="266">
        <v>754884</v>
      </c>
      <c r="AA54" s="266">
        <v>781116</v>
      </c>
      <c r="AB54" s="266">
        <v>789842</v>
      </c>
      <c r="AC54" s="266">
        <v>775177</v>
      </c>
      <c r="AD54" s="266">
        <v>769906</v>
      </c>
      <c r="AE54" s="266">
        <v>779925</v>
      </c>
      <c r="AF54" s="266">
        <v>761046</v>
      </c>
      <c r="AG54" s="266">
        <v>751895</v>
      </c>
      <c r="AH54" s="266">
        <v>753697</v>
      </c>
      <c r="AI54" s="266">
        <v>724465</v>
      </c>
      <c r="AJ54" s="266">
        <v>720696</v>
      </c>
      <c r="AK54" s="266">
        <v>722518</v>
      </c>
      <c r="AL54" s="266">
        <v>736588</v>
      </c>
      <c r="AM54" s="266">
        <v>740178</v>
      </c>
      <c r="AN54" s="266">
        <v>702927</v>
      </c>
      <c r="AO54" s="266">
        <v>649452</v>
      </c>
      <c r="AP54" s="266">
        <v>654441</v>
      </c>
      <c r="AQ54" s="266">
        <v>685029</v>
      </c>
      <c r="AR54" s="266">
        <v>710997</v>
      </c>
      <c r="AS54" s="266">
        <v>738709</v>
      </c>
      <c r="AT54" s="266">
        <v>790179</v>
      </c>
      <c r="AU54" s="266">
        <v>838889</v>
      </c>
      <c r="AV54" s="266">
        <v>872277</v>
      </c>
      <c r="AW54" s="266">
        <v>867669</v>
      </c>
      <c r="AX54" s="266">
        <v>896520</v>
      </c>
      <c r="AY54" s="266">
        <v>908202</v>
      </c>
      <c r="AZ54" s="266">
        <v>932039</v>
      </c>
      <c r="BA54" s="266">
        <v>937112</v>
      </c>
      <c r="BB54" s="266">
        <v>948809</v>
      </c>
      <c r="BC54" s="266">
        <v>942904</v>
      </c>
      <c r="BD54" s="266">
        <v>926386</v>
      </c>
      <c r="BE54" s="266">
        <v>903693</v>
      </c>
      <c r="BF54" s="266">
        <v>884976</v>
      </c>
      <c r="BG54" s="266">
        <v>850565</v>
      </c>
      <c r="BH54" s="266">
        <v>833139</v>
      </c>
      <c r="BI54" s="266">
        <v>820281</v>
      </c>
      <c r="BJ54" s="266">
        <v>795062</v>
      </c>
      <c r="BK54" s="266">
        <v>770829</v>
      </c>
      <c r="BL54" s="266">
        <v>750064</v>
      </c>
      <c r="BM54" s="266">
        <v>757210</v>
      </c>
      <c r="BN54" s="266">
        <v>750904</v>
      </c>
      <c r="BO54" s="266">
        <v>739396</v>
      </c>
      <c r="BP54" s="266">
        <v>749462</v>
      </c>
      <c r="BQ54" s="266">
        <v>770446</v>
      </c>
      <c r="BR54" s="266">
        <v>795675</v>
      </c>
      <c r="BS54" s="266">
        <v>851036</v>
      </c>
      <c r="BT54" s="266">
        <v>909821</v>
      </c>
      <c r="BU54" s="266">
        <v>729406</v>
      </c>
      <c r="BV54" s="266">
        <v>715696</v>
      </c>
      <c r="BW54" s="266">
        <v>710409</v>
      </c>
      <c r="BX54" s="266">
        <v>679619</v>
      </c>
      <c r="BY54" s="266">
        <v>617992</v>
      </c>
      <c r="BZ54" s="266">
        <v>578179</v>
      </c>
      <c r="CA54" s="266">
        <v>603785</v>
      </c>
      <c r="CB54" s="266">
        <v>607061</v>
      </c>
      <c r="CC54" s="266">
        <v>601705</v>
      </c>
      <c r="CD54" s="266">
        <v>587949</v>
      </c>
      <c r="CE54" s="266">
        <v>574588</v>
      </c>
      <c r="CF54" s="266">
        <v>559203</v>
      </c>
      <c r="CG54" s="266">
        <v>539626</v>
      </c>
      <c r="CH54" s="266">
        <v>536382</v>
      </c>
      <c r="CI54" s="266">
        <v>542571</v>
      </c>
      <c r="CJ54" s="266">
        <v>545005</v>
      </c>
      <c r="CK54" s="266">
        <v>534229</v>
      </c>
      <c r="CL54" s="266">
        <v>517237</v>
      </c>
      <c r="CM54" s="266">
        <v>500391</v>
      </c>
      <c r="CN54" s="266">
        <v>496937</v>
      </c>
      <c r="CO54" s="266">
        <v>491524</v>
      </c>
      <c r="CP54" s="266">
        <v>474407</v>
      </c>
      <c r="CQ54" s="266">
        <v>462345</v>
      </c>
      <c r="CR54" s="266">
        <v>449694</v>
      </c>
      <c r="CS54" s="266">
        <v>453548</v>
      </c>
      <c r="CT54" s="266">
        <v>455124</v>
      </c>
      <c r="CU54" s="266">
        <v>444331</v>
      </c>
      <c r="CV54" s="266">
        <v>299108</v>
      </c>
      <c r="CW54" s="266">
        <v>260772</v>
      </c>
      <c r="CX54" s="266">
        <v>271730</v>
      </c>
      <c r="CY54" s="266">
        <v>269924</v>
      </c>
      <c r="CZ54" s="266">
        <v>265347</v>
      </c>
      <c r="DA54" s="266">
        <v>243732</v>
      </c>
      <c r="DB54" s="266">
        <v>216645</v>
      </c>
      <c r="DC54" s="266">
        <v>189166</v>
      </c>
      <c r="DD54" s="266">
        <v>164364</v>
      </c>
      <c r="DE54" s="266">
        <v>143256</v>
      </c>
      <c r="DF54" s="266">
        <v>122303</v>
      </c>
      <c r="DG54" s="266">
        <v>101944</v>
      </c>
      <c r="DH54" s="266">
        <v>327916</v>
      </c>
    </row>
    <row r="55" spans="2:112">
      <c r="B55" s="262" t="s">
        <v>1875</v>
      </c>
      <c r="C55" s="262">
        <f t="shared" si="17"/>
        <v>94828232.59239164</v>
      </c>
      <c r="D55" s="265"/>
      <c r="E55">
        <v>48821000</v>
      </c>
      <c r="F55" s="262">
        <f t="shared" si="1"/>
        <v>18909133.54419174</v>
      </c>
      <c r="G55" s="262">
        <f t="shared" si="2"/>
        <v>13986407.335907962</v>
      </c>
      <c r="H55" s="262">
        <f t="shared" si="3"/>
        <v>8185878.2745115282</v>
      </c>
      <c r="I55" s="262">
        <f t="shared" si="4"/>
        <v>7739580.8453887673</v>
      </c>
      <c r="K55">
        <v>58474943</v>
      </c>
      <c r="L55" s="269">
        <f t="shared" si="5"/>
        <v>0.38731557207332379</v>
      </c>
      <c r="M55" s="269">
        <f t="shared" si="6"/>
        <v>0.28648342590090253</v>
      </c>
      <c r="N55" s="269">
        <f t="shared" si="7"/>
        <v>0.1676712536513289</v>
      </c>
      <c r="O55" s="269">
        <f t="shared" si="8"/>
        <v>0.15852974837444475</v>
      </c>
      <c r="Q55" s="268">
        <f t="shared" si="13"/>
        <v>22648256</v>
      </c>
      <c r="R55" s="268">
        <f t="shared" si="14"/>
        <v>16752102</v>
      </c>
      <c r="S55" s="268">
        <f t="shared" si="15"/>
        <v>9804567</v>
      </c>
      <c r="T55" s="268">
        <f t="shared" si="16"/>
        <v>9270018</v>
      </c>
      <c r="U55" s="267"/>
      <c r="V55" s="266">
        <v>712544</v>
      </c>
      <c r="W55" s="266">
        <v>731552</v>
      </c>
      <c r="X55" s="266">
        <v>719903</v>
      </c>
      <c r="Y55" s="266">
        <v>728775</v>
      </c>
      <c r="Z55" s="266">
        <v>749716</v>
      </c>
      <c r="AA55" s="266">
        <v>755165</v>
      </c>
      <c r="AB55" s="266">
        <v>781296</v>
      </c>
      <c r="AC55" s="266">
        <v>790079</v>
      </c>
      <c r="AD55" s="266">
        <v>776092</v>
      </c>
      <c r="AE55" s="266">
        <v>770442</v>
      </c>
      <c r="AF55" s="266">
        <v>780027</v>
      </c>
      <c r="AG55" s="266">
        <v>762286</v>
      </c>
      <c r="AH55" s="266">
        <v>752187</v>
      </c>
      <c r="AI55" s="266">
        <v>755586</v>
      </c>
      <c r="AJ55" s="266">
        <v>725424</v>
      </c>
      <c r="AK55" s="266">
        <v>721461</v>
      </c>
      <c r="AL55" s="266">
        <v>722828</v>
      </c>
      <c r="AM55" s="266">
        <v>736831</v>
      </c>
      <c r="AN55" s="266">
        <v>729094</v>
      </c>
      <c r="AO55" s="266">
        <v>699477</v>
      </c>
      <c r="AP55" s="266">
        <v>665903</v>
      </c>
      <c r="AQ55" s="266">
        <v>659726</v>
      </c>
      <c r="AR55" s="266">
        <v>689704</v>
      </c>
      <c r="AS55" s="266">
        <v>713489</v>
      </c>
      <c r="AT55" s="266">
        <v>740562</v>
      </c>
      <c r="AU55" s="266">
        <v>793528</v>
      </c>
      <c r="AV55" s="266">
        <v>842028</v>
      </c>
      <c r="AW55" s="266">
        <v>874752</v>
      </c>
      <c r="AX55" s="266">
        <v>869510</v>
      </c>
      <c r="AY55" s="266">
        <v>898289</v>
      </c>
      <c r="AZ55" s="266">
        <v>909243</v>
      </c>
      <c r="BA55" s="266">
        <v>933090</v>
      </c>
      <c r="BB55" s="266">
        <v>937354</v>
      </c>
      <c r="BC55" s="266">
        <v>948525</v>
      </c>
      <c r="BD55" s="266">
        <v>941315</v>
      </c>
      <c r="BE55" s="266">
        <v>924873</v>
      </c>
      <c r="BF55" s="266">
        <v>902650</v>
      </c>
      <c r="BG55" s="266">
        <v>883249</v>
      </c>
      <c r="BH55" s="266">
        <v>849669</v>
      </c>
      <c r="BI55" s="266">
        <v>833083</v>
      </c>
      <c r="BJ55" s="266">
        <v>820064</v>
      </c>
      <c r="BK55" s="266">
        <v>794797</v>
      </c>
      <c r="BL55" s="266">
        <v>770328</v>
      </c>
      <c r="BM55" s="266">
        <v>749944</v>
      </c>
      <c r="BN55" s="266">
        <v>756457</v>
      </c>
      <c r="BO55" s="266">
        <v>749170</v>
      </c>
      <c r="BP55" s="266">
        <v>738565</v>
      </c>
      <c r="BQ55" s="266">
        <v>747581</v>
      </c>
      <c r="BR55" s="266">
        <v>768527</v>
      </c>
      <c r="BS55" s="266">
        <v>793618</v>
      </c>
      <c r="BT55" s="266">
        <v>848926</v>
      </c>
      <c r="BU55" s="266">
        <v>905094</v>
      </c>
      <c r="BV55" s="266">
        <v>728019</v>
      </c>
      <c r="BW55" s="266">
        <v>713446</v>
      </c>
      <c r="BX55" s="266">
        <v>706140</v>
      </c>
      <c r="BY55" s="266">
        <v>676500</v>
      </c>
      <c r="BZ55" s="266">
        <v>614232</v>
      </c>
      <c r="CA55" s="266">
        <v>574955</v>
      </c>
      <c r="CB55" s="266">
        <v>599775</v>
      </c>
      <c r="CC55" s="266">
        <v>602612</v>
      </c>
      <c r="CD55" s="266">
        <v>596737</v>
      </c>
      <c r="CE55" s="266">
        <v>583322</v>
      </c>
      <c r="CF55" s="266">
        <v>568631</v>
      </c>
      <c r="CG55" s="266">
        <v>552998</v>
      </c>
      <c r="CH55" s="266">
        <v>533180</v>
      </c>
      <c r="CI55" s="266">
        <v>529311</v>
      </c>
      <c r="CJ55" s="266">
        <v>534019</v>
      </c>
      <c r="CK55" s="266">
        <v>535086</v>
      </c>
      <c r="CL55" s="266">
        <v>523636</v>
      </c>
      <c r="CM55" s="266">
        <v>505858</v>
      </c>
      <c r="CN55" s="266">
        <v>487741</v>
      </c>
      <c r="CO55" s="266">
        <v>483403</v>
      </c>
      <c r="CP55" s="266">
        <v>476279</v>
      </c>
      <c r="CQ55" s="266">
        <v>458484</v>
      </c>
      <c r="CR55" s="266">
        <v>445259</v>
      </c>
      <c r="CS55" s="266">
        <v>431429</v>
      </c>
      <c r="CT55" s="266">
        <v>433618</v>
      </c>
      <c r="CU55" s="266">
        <v>433515</v>
      </c>
      <c r="CV55" s="266">
        <v>419602</v>
      </c>
      <c r="CW55" s="266">
        <v>284208</v>
      </c>
      <c r="CX55" s="266">
        <v>244002</v>
      </c>
      <c r="CY55" s="266">
        <v>252357</v>
      </c>
      <c r="CZ55" s="266">
        <v>248742</v>
      </c>
      <c r="DA55" s="266">
        <v>242710</v>
      </c>
      <c r="DB55" s="266">
        <v>221012</v>
      </c>
      <c r="DC55" s="266">
        <v>194753</v>
      </c>
      <c r="DD55" s="266">
        <v>168009</v>
      </c>
      <c r="DE55" s="266">
        <v>144441</v>
      </c>
      <c r="DF55" s="266">
        <v>123961</v>
      </c>
      <c r="DG55" s="266">
        <v>104461</v>
      </c>
      <c r="DH55" s="266">
        <v>344122</v>
      </c>
    </row>
    <row r="56" spans="2:112">
      <c r="B56" s="262" t="s">
        <v>1876</v>
      </c>
      <c r="C56" s="262">
        <f t="shared" si="17"/>
        <v>95074870.799769297</v>
      </c>
      <c r="D56" s="265"/>
      <c r="E56">
        <v>49033000</v>
      </c>
      <c r="F56" s="262">
        <f t="shared" si="1"/>
        <v>18824349.794724926</v>
      </c>
      <c r="G56" s="262">
        <f t="shared" si="2"/>
        <v>14094864.599359555</v>
      </c>
      <c r="H56" s="262">
        <f t="shared" si="3"/>
        <v>8362089.3401924158</v>
      </c>
      <c r="I56" s="262">
        <f t="shared" si="4"/>
        <v>7751696.2657231018</v>
      </c>
      <c r="K56">
        <v>58684427</v>
      </c>
      <c r="L56" s="269">
        <f t="shared" si="5"/>
        <v>0.38391185109466947</v>
      </c>
      <c r="M56" s="269">
        <f t="shared" si="6"/>
        <v>0.28745670465522311</v>
      </c>
      <c r="N56" s="269">
        <f t="shared" si="7"/>
        <v>0.17054003100345513</v>
      </c>
      <c r="O56" s="269">
        <f t="shared" si="8"/>
        <v>0.1580914132466523</v>
      </c>
      <c r="Q56" s="268">
        <f t="shared" si="13"/>
        <v>22529647</v>
      </c>
      <c r="R56" s="268">
        <f t="shared" si="14"/>
        <v>16869232</v>
      </c>
      <c r="S56" s="268">
        <f t="shared" si="15"/>
        <v>10008044</v>
      </c>
      <c r="T56" s="268">
        <f t="shared" si="16"/>
        <v>9277504</v>
      </c>
      <c r="U56" s="267"/>
      <c r="V56" s="266">
        <v>704491</v>
      </c>
      <c r="W56" s="266">
        <v>713065</v>
      </c>
      <c r="X56" s="266">
        <v>731980</v>
      </c>
      <c r="Y56" s="266">
        <v>721971</v>
      </c>
      <c r="Z56" s="266">
        <v>729242</v>
      </c>
      <c r="AA56" s="266">
        <v>749311</v>
      </c>
      <c r="AB56" s="266">
        <v>756466</v>
      </c>
      <c r="AC56" s="266">
        <v>781369</v>
      </c>
      <c r="AD56" s="266">
        <v>791526</v>
      </c>
      <c r="AE56" s="266">
        <v>777706</v>
      </c>
      <c r="AF56" s="266">
        <v>771449</v>
      </c>
      <c r="AG56" s="266">
        <v>781734</v>
      </c>
      <c r="AH56" s="266">
        <v>763597</v>
      </c>
      <c r="AI56" s="266">
        <v>753649</v>
      </c>
      <c r="AJ56" s="266">
        <v>757188</v>
      </c>
      <c r="AK56" s="266">
        <v>726527</v>
      </c>
      <c r="AL56" s="266">
        <v>722094</v>
      </c>
      <c r="AM56" s="266">
        <v>723917</v>
      </c>
      <c r="AN56" s="266">
        <v>726774</v>
      </c>
      <c r="AO56" s="266">
        <v>726244</v>
      </c>
      <c r="AP56" s="266">
        <v>710267</v>
      </c>
      <c r="AQ56" s="266">
        <v>669203</v>
      </c>
      <c r="AR56" s="266">
        <v>666827</v>
      </c>
      <c r="AS56" s="266">
        <v>697048</v>
      </c>
      <c r="AT56" s="266">
        <v>720682</v>
      </c>
      <c r="AU56" s="266">
        <v>749450</v>
      </c>
      <c r="AV56" s="266">
        <v>801326</v>
      </c>
      <c r="AW56" s="266">
        <v>849610</v>
      </c>
      <c r="AX56" s="266">
        <v>880270</v>
      </c>
      <c r="AY56" s="266">
        <v>874664</v>
      </c>
      <c r="AZ56" s="266">
        <v>902674</v>
      </c>
      <c r="BA56" s="266">
        <v>913009</v>
      </c>
      <c r="BB56" s="266">
        <v>935873</v>
      </c>
      <c r="BC56" s="266">
        <v>939332</v>
      </c>
      <c r="BD56" s="266">
        <v>948893</v>
      </c>
      <c r="BE56" s="266">
        <v>941261</v>
      </c>
      <c r="BF56" s="266">
        <v>925621</v>
      </c>
      <c r="BG56" s="266">
        <v>902691</v>
      </c>
      <c r="BH56" s="266">
        <v>883101</v>
      </c>
      <c r="BI56" s="266">
        <v>850395</v>
      </c>
      <c r="BJ56" s="266">
        <v>832994</v>
      </c>
      <c r="BK56" s="266">
        <v>821008</v>
      </c>
      <c r="BL56" s="266">
        <v>795472</v>
      </c>
      <c r="BM56" s="266">
        <v>770611</v>
      </c>
      <c r="BN56" s="266">
        <v>750721</v>
      </c>
      <c r="BO56" s="266">
        <v>755906</v>
      </c>
      <c r="BP56" s="266">
        <v>748401</v>
      </c>
      <c r="BQ56" s="266">
        <v>738137</v>
      </c>
      <c r="BR56" s="266">
        <v>746036</v>
      </c>
      <c r="BS56" s="266">
        <v>767096</v>
      </c>
      <c r="BT56" s="266">
        <v>791346</v>
      </c>
      <c r="BU56" s="266">
        <v>846771</v>
      </c>
      <c r="BV56" s="266">
        <v>900421</v>
      </c>
      <c r="BW56" s="266">
        <v>726309</v>
      </c>
      <c r="BX56" s="266">
        <v>711907</v>
      </c>
      <c r="BY56" s="266">
        <v>702628</v>
      </c>
      <c r="BZ56" s="266">
        <v>673284</v>
      </c>
      <c r="CA56" s="266">
        <v>610583</v>
      </c>
      <c r="CB56" s="266">
        <v>572124</v>
      </c>
      <c r="CC56" s="266">
        <v>595640</v>
      </c>
      <c r="CD56" s="266">
        <v>597908</v>
      </c>
      <c r="CE56" s="266">
        <v>592122</v>
      </c>
      <c r="CF56" s="266">
        <v>577758</v>
      </c>
      <c r="CG56" s="266">
        <v>562598</v>
      </c>
      <c r="CH56" s="266">
        <v>546645</v>
      </c>
      <c r="CI56" s="266">
        <v>526160</v>
      </c>
      <c r="CJ56" s="266">
        <v>521584</v>
      </c>
      <c r="CK56" s="266">
        <v>524516</v>
      </c>
      <c r="CL56" s="266">
        <v>524702</v>
      </c>
      <c r="CM56" s="266">
        <v>512258</v>
      </c>
      <c r="CN56" s="266">
        <v>493732</v>
      </c>
      <c r="CO56" s="266">
        <v>474363</v>
      </c>
      <c r="CP56" s="266">
        <v>468806</v>
      </c>
      <c r="CQ56" s="266">
        <v>460084</v>
      </c>
      <c r="CR56" s="266">
        <v>441492</v>
      </c>
      <c r="CS56" s="266">
        <v>427066</v>
      </c>
      <c r="CT56" s="266">
        <v>412194</v>
      </c>
      <c r="CU56" s="266">
        <v>412753</v>
      </c>
      <c r="CV56" s="266">
        <v>410915</v>
      </c>
      <c r="CW56" s="266">
        <v>393387</v>
      </c>
      <c r="CX56" s="266">
        <v>268817</v>
      </c>
      <c r="CY56" s="266">
        <v>226701</v>
      </c>
      <c r="CZ56" s="266">
        <v>232322</v>
      </c>
      <c r="DA56" s="266">
        <v>226603</v>
      </c>
      <c r="DB56" s="266">
        <v>219296</v>
      </c>
      <c r="DC56" s="266">
        <v>197397</v>
      </c>
      <c r="DD56" s="266">
        <v>172543</v>
      </c>
      <c r="DE56" s="266">
        <v>146793</v>
      </c>
      <c r="DF56" s="266">
        <v>124256</v>
      </c>
      <c r="DG56" s="266">
        <v>105133</v>
      </c>
      <c r="DH56" s="266">
        <v>353631</v>
      </c>
    </row>
    <row r="57" spans="2:112">
      <c r="B57" s="262" t="s">
        <v>1877</v>
      </c>
      <c r="C57" s="262">
        <f t="shared" si="17"/>
        <v>95374073.986041769</v>
      </c>
      <c r="D57" s="265"/>
      <c r="E57">
        <v>49233000</v>
      </c>
      <c r="F57" s="262">
        <f t="shared" si="1"/>
        <v>18725708.15670906</v>
      </c>
      <c r="G57" s="262">
        <f t="shared" si="2"/>
        <v>14217778.424352178</v>
      </c>
      <c r="H57" s="262">
        <f t="shared" si="3"/>
        <v>8507523.4065139182</v>
      </c>
      <c r="I57" s="262">
        <f t="shared" si="4"/>
        <v>7781990.0124248406</v>
      </c>
      <c r="K57">
        <v>58886065</v>
      </c>
      <c r="L57" s="269">
        <f t="shared" si="5"/>
        <v>0.38034871238212298</v>
      </c>
      <c r="M57" s="269">
        <f t="shared" si="6"/>
        <v>0.28878553864993356</v>
      </c>
      <c r="N57" s="269">
        <f t="shared" si="7"/>
        <v>0.17280123913866549</v>
      </c>
      <c r="O57" s="269">
        <f t="shared" si="8"/>
        <v>0.15806450982927794</v>
      </c>
      <c r="Q57" s="268">
        <f t="shared" si="13"/>
        <v>22397239</v>
      </c>
      <c r="R57" s="268">
        <f t="shared" si="14"/>
        <v>17005444</v>
      </c>
      <c r="S57" s="268">
        <f t="shared" si="15"/>
        <v>10175585</v>
      </c>
      <c r="T57" s="268">
        <f t="shared" si="16"/>
        <v>9307797</v>
      </c>
      <c r="U57" s="267"/>
      <c r="V57" s="266">
        <v>682385</v>
      </c>
      <c r="W57" s="266">
        <v>701642</v>
      </c>
      <c r="X57" s="266">
        <v>712124</v>
      </c>
      <c r="Y57" s="266">
        <v>731484</v>
      </c>
      <c r="Z57" s="266">
        <v>723535</v>
      </c>
      <c r="AA57" s="266">
        <v>728103</v>
      </c>
      <c r="AB57" s="266">
        <v>747575</v>
      </c>
      <c r="AC57" s="266">
        <v>755711</v>
      </c>
      <c r="AD57" s="266">
        <v>780381</v>
      </c>
      <c r="AE57" s="266">
        <v>791817</v>
      </c>
      <c r="AF57" s="266">
        <v>777843</v>
      </c>
      <c r="AG57" s="266">
        <v>771596</v>
      </c>
      <c r="AH57" s="266">
        <v>781503</v>
      </c>
      <c r="AI57" s="266">
        <v>764401</v>
      </c>
      <c r="AJ57" s="266">
        <v>753535</v>
      </c>
      <c r="AK57" s="266">
        <v>755817</v>
      </c>
      <c r="AL57" s="266">
        <v>726477</v>
      </c>
      <c r="AM57" s="266">
        <v>720437</v>
      </c>
      <c r="AN57" s="266">
        <v>708475</v>
      </c>
      <c r="AO57" s="266">
        <v>721401</v>
      </c>
      <c r="AP57" s="266">
        <v>740293</v>
      </c>
      <c r="AQ57" s="266">
        <v>711832</v>
      </c>
      <c r="AR57" s="266">
        <v>675087</v>
      </c>
      <c r="AS57" s="266">
        <v>675278</v>
      </c>
      <c r="AT57" s="266">
        <v>704329</v>
      </c>
      <c r="AU57" s="266">
        <v>733339</v>
      </c>
      <c r="AV57" s="266">
        <v>760926</v>
      </c>
      <c r="AW57" s="266">
        <v>811999</v>
      </c>
      <c r="AX57" s="266">
        <v>859698</v>
      </c>
      <c r="AY57" s="266">
        <v>888216</v>
      </c>
      <c r="AZ57" s="266">
        <v>882042</v>
      </c>
      <c r="BA57" s="266">
        <v>908517</v>
      </c>
      <c r="BB57" s="266">
        <v>917802</v>
      </c>
      <c r="BC57" s="266">
        <v>940334</v>
      </c>
      <c r="BD57" s="266">
        <v>942942</v>
      </c>
      <c r="BE57" s="266">
        <v>949807</v>
      </c>
      <c r="BF57" s="266">
        <v>942048</v>
      </c>
      <c r="BG57" s="266">
        <v>926028</v>
      </c>
      <c r="BH57" s="266">
        <v>903084</v>
      </c>
      <c r="BI57" s="266">
        <v>883559</v>
      </c>
      <c r="BJ57" s="266">
        <v>850022</v>
      </c>
      <c r="BK57" s="266">
        <v>833774</v>
      </c>
      <c r="BL57" s="266">
        <v>822064</v>
      </c>
      <c r="BM57" s="266">
        <v>796717</v>
      </c>
      <c r="BN57" s="266">
        <v>771256</v>
      </c>
      <c r="BO57" s="266">
        <v>750709</v>
      </c>
      <c r="BP57" s="266">
        <v>755211</v>
      </c>
      <c r="BQ57" s="266">
        <v>747452</v>
      </c>
      <c r="BR57" s="266">
        <v>737639</v>
      </c>
      <c r="BS57" s="266">
        <v>744437</v>
      </c>
      <c r="BT57" s="266">
        <v>765605</v>
      </c>
      <c r="BU57" s="266">
        <v>789764</v>
      </c>
      <c r="BV57" s="266">
        <v>845273</v>
      </c>
      <c r="BW57" s="266">
        <v>896143</v>
      </c>
      <c r="BX57" s="266">
        <v>725971</v>
      </c>
      <c r="BY57" s="266">
        <v>709711</v>
      </c>
      <c r="BZ57" s="266">
        <v>698187</v>
      </c>
      <c r="CA57" s="266">
        <v>669530</v>
      </c>
      <c r="CB57" s="266">
        <v>606315</v>
      </c>
      <c r="CC57" s="266">
        <v>568795</v>
      </c>
      <c r="CD57" s="266">
        <v>591520</v>
      </c>
      <c r="CE57" s="266">
        <v>593260</v>
      </c>
      <c r="CF57" s="266">
        <v>586834</v>
      </c>
      <c r="CG57" s="266">
        <v>572296</v>
      </c>
      <c r="CH57" s="266">
        <v>556381</v>
      </c>
      <c r="CI57" s="266">
        <v>540082</v>
      </c>
      <c r="CJ57" s="266">
        <v>518692</v>
      </c>
      <c r="CK57" s="266">
        <v>513481</v>
      </c>
      <c r="CL57" s="266">
        <v>515149</v>
      </c>
      <c r="CM57" s="266">
        <v>513994</v>
      </c>
      <c r="CN57" s="266">
        <v>500244</v>
      </c>
      <c r="CO57" s="266">
        <v>481031</v>
      </c>
      <c r="CP57" s="266">
        <v>460387</v>
      </c>
      <c r="CQ57" s="266">
        <v>453652</v>
      </c>
      <c r="CR57" s="266">
        <v>443266</v>
      </c>
      <c r="CS57" s="266">
        <v>423768</v>
      </c>
      <c r="CT57" s="266">
        <v>408349</v>
      </c>
      <c r="CU57" s="266">
        <v>392232</v>
      </c>
      <c r="CV57" s="266">
        <v>391122</v>
      </c>
      <c r="CW57" s="266">
        <v>387711</v>
      </c>
      <c r="CX57" s="266">
        <v>366751</v>
      </c>
      <c r="CY57" s="266">
        <v>252882</v>
      </c>
      <c r="CZ57" s="266">
        <v>209008</v>
      </c>
      <c r="DA57" s="266">
        <v>212247</v>
      </c>
      <c r="DB57" s="266">
        <v>204716</v>
      </c>
      <c r="DC57" s="266">
        <v>196451</v>
      </c>
      <c r="DD57" s="266">
        <v>174891</v>
      </c>
      <c r="DE57" s="266">
        <v>151156</v>
      </c>
      <c r="DF57" s="266">
        <v>126883</v>
      </c>
      <c r="DG57" s="266">
        <v>105913</v>
      </c>
      <c r="DH57" s="266">
        <v>363739</v>
      </c>
    </row>
    <row r="58" spans="2:112">
      <c r="B58" s="262" t="s">
        <v>1878</v>
      </c>
      <c r="C58" s="262">
        <f t="shared" si="17"/>
        <v>95783758.816747904</v>
      </c>
      <c r="D58" s="265"/>
      <c r="E58">
        <v>49449746</v>
      </c>
      <c r="F58" s="262">
        <f>SUM('Population weights'!C3:AF3)</f>
        <v>18634740</v>
      </c>
      <c r="G58" s="262">
        <f>SUM('Population weights'!AG3:AZ3)</f>
        <v>14386414</v>
      </c>
      <c r="H58" s="262">
        <f>SUM('Population weights'!BA3:BO3)</f>
        <v>8593066</v>
      </c>
      <c r="I58" s="262">
        <f>SUM('Population weights'!BP3:CO3)</f>
        <v>7835526</v>
      </c>
      <c r="L58" s="264">
        <f t="shared" ref="L58:L76" si="18">F58/E58</f>
        <v>0.37684197609427561</v>
      </c>
      <c r="M58" s="264">
        <f t="shared" ref="M58:M76" si="19">G58/E58</f>
        <v>0.29092998779002827</v>
      </c>
      <c r="N58" s="264">
        <f t="shared" ref="N58:N76" si="20">H58/E58</f>
        <v>0.17377371362028837</v>
      </c>
      <c r="O58" s="264">
        <f t="shared" ref="O58:O76" si="21">I58/E58</f>
        <v>0.15845432249540775</v>
      </c>
    </row>
    <row r="59" spans="2:112">
      <c r="B59" s="262" t="s">
        <v>1879</v>
      </c>
      <c r="C59" s="262">
        <f t="shared" si="17"/>
        <v>96207823.944902867</v>
      </c>
      <c r="D59" s="265"/>
      <c r="E59">
        <v>49679267</v>
      </c>
      <c r="F59" s="262">
        <f>SUM('Population weights'!C4:AF4)</f>
        <v>18606245</v>
      </c>
      <c r="G59" s="262">
        <f>SUM('Population weights'!AG4:AZ4)</f>
        <v>14512469</v>
      </c>
      <c r="H59" s="262">
        <f>SUM('Population weights'!BA4:BO4)</f>
        <v>8679699</v>
      </c>
      <c r="I59" s="262">
        <f>SUM('Population weights'!BP4:CO4)</f>
        <v>7880854</v>
      </c>
      <c r="L59" s="264">
        <f t="shared" si="18"/>
        <v>0.37452736571173645</v>
      </c>
      <c r="M59" s="264">
        <f t="shared" si="19"/>
        <v>0.29212325133541123</v>
      </c>
      <c r="N59" s="264">
        <f t="shared" si="20"/>
        <v>0.1747147154969094</v>
      </c>
      <c r="O59" s="264">
        <f t="shared" si="21"/>
        <v>0.15863466745594293</v>
      </c>
    </row>
    <row r="60" spans="2:112">
      <c r="B60" s="262" t="s">
        <v>1880</v>
      </c>
      <c r="C60" s="262">
        <f t="shared" si="17"/>
        <v>96697331.91810438</v>
      </c>
      <c r="D60" s="265"/>
      <c r="E60">
        <v>49925517</v>
      </c>
      <c r="F60" s="262">
        <f>SUM('Population weights'!C5:AF5)</f>
        <v>18643891</v>
      </c>
      <c r="G60" s="262">
        <f>SUM('Population weights'!AG5:AZ5)</f>
        <v>14600663</v>
      </c>
      <c r="H60" s="262">
        <f>SUM('Population weights'!BA5:BO5)</f>
        <v>8751903</v>
      </c>
      <c r="I60" s="262">
        <f>SUM('Population weights'!BP5:CO5)</f>
        <v>7929060</v>
      </c>
      <c r="L60" s="264">
        <f t="shared" si="18"/>
        <v>0.37343410985608821</v>
      </c>
      <c r="M60" s="264">
        <f t="shared" si="19"/>
        <v>0.29244890944244001</v>
      </c>
      <c r="N60" s="264">
        <f t="shared" si="20"/>
        <v>0.17529919620061221</v>
      </c>
      <c r="O60" s="264">
        <f t="shared" si="21"/>
        <v>0.15881778450085954</v>
      </c>
    </row>
    <row r="61" spans="2:112">
      <c r="B61" s="262" t="s">
        <v>1881</v>
      </c>
      <c r="C61" s="262">
        <f t="shared" si="17"/>
        <v>97246580.34838888</v>
      </c>
      <c r="D61" s="265"/>
      <c r="E61">
        <v>50194600</v>
      </c>
      <c r="F61" s="262">
        <f>SUM('Population weights'!C6:AF6)</f>
        <v>18753595</v>
      </c>
      <c r="G61" s="262">
        <f>SUM('Population weights'!AG6:AZ6)</f>
        <v>14638144</v>
      </c>
      <c r="H61" s="262">
        <f>SUM('Population weights'!BA6:BO6)</f>
        <v>8827001</v>
      </c>
      <c r="I61" s="262">
        <f>SUM('Population weights'!BP6:CO6)</f>
        <v>7975860</v>
      </c>
      <c r="L61" s="264">
        <f t="shared" si="18"/>
        <v>0.37361777960178982</v>
      </c>
      <c r="M61" s="264">
        <f t="shared" si="19"/>
        <v>0.29162786435194227</v>
      </c>
      <c r="N61" s="264">
        <f t="shared" si="20"/>
        <v>0.1758555900435505</v>
      </c>
      <c r="O61" s="264">
        <f t="shared" si="21"/>
        <v>0.15889876600271743</v>
      </c>
    </row>
    <row r="62" spans="2:112">
      <c r="B62" s="262" t="s">
        <v>1882</v>
      </c>
      <c r="C62" s="262">
        <f t="shared" si="17"/>
        <v>98012077.704116344</v>
      </c>
      <c r="D62" s="265"/>
      <c r="E62">
        <v>50606034</v>
      </c>
      <c r="F62" s="262">
        <f>SUM('Population weights'!C7:AF7)</f>
        <v>18946003</v>
      </c>
      <c r="G62" s="262">
        <f>SUM('Population weights'!AG7:AZ7)</f>
        <v>14718327</v>
      </c>
      <c r="H62" s="262">
        <f>SUM('Population weights'!BA7:BO7)</f>
        <v>8913695</v>
      </c>
      <c r="I62" s="262">
        <f>SUM('Population weights'!BP7:CO7)</f>
        <v>8028009</v>
      </c>
      <c r="L62" s="264">
        <f t="shared" si="18"/>
        <v>0.37438229204051043</v>
      </c>
      <c r="M62" s="264">
        <f t="shared" si="19"/>
        <v>0.29084134512497067</v>
      </c>
      <c r="N62" s="264">
        <f t="shared" si="20"/>
        <v>0.17613897583833579</v>
      </c>
      <c r="O62" s="264">
        <f t="shared" si="21"/>
        <v>0.1586373869961831</v>
      </c>
    </row>
    <row r="63" spans="2:112">
      <c r="B63" s="262" t="s">
        <v>1883</v>
      </c>
      <c r="C63" s="262">
        <f t="shared" si="17"/>
        <v>98613135.149961695</v>
      </c>
      <c r="D63" s="265"/>
      <c r="E63">
        <v>50965186</v>
      </c>
      <c r="F63" s="262">
        <f>SUM('Population weights'!C8:AF8)</f>
        <v>19123094</v>
      </c>
      <c r="G63" s="262">
        <f>SUM('Population weights'!AG8:AZ8)</f>
        <v>14745963</v>
      </c>
      <c r="H63" s="262">
        <f>SUM('Population weights'!BA8:BO8)</f>
        <v>9041649</v>
      </c>
      <c r="I63" s="262">
        <f>SUM('Population weights'!BP8:CO8)</f>
        <v>8054480</v>
      </c>
      <c r="L63" s="264">
        <f t="shared" si="18"/>
        <v>0.37521876207809779</v>
      </c>
      <c r="M63" s="264">
        <f t="shared" si="19"/>
        <v>0.28933403676776537</v>
      </c>
      <c r="N63" s="264">
        <f t="shared" si="20"/>
        <v>0.17740833909641771</v>
      </c>
      <c r="O63" s="264">
        <f t="shared" si="21"/>
        <v>0.15803886205771916</v>
      </c>
    </row>
    <row r="64" spans="2:112">
      <c r="B64" s="262" t="s">
        <v>1884</v>
      </c>
      <c r="C64" s="262">
        <f t="shared" si="17"/>
        <v>99496618.884871751</v>
      </c>
      <c r="D64" s="265"/>
      <c r="E64">
        <v>51381093</v>
      </c>
      <c r="F64" s="262">
        <f>SUM('Population weights'!C9:AF9)</f>
        <v>19364785</v>
      </c>
      <c r="G64" s="262">
        <f>SUM('Population weights'!AG9:AZ9)</f>
        <v>14737954</v>
      </c>
      <c r="H64" s="262">
        <f>SUM('Population weights'!BA9:BO9)</f>
        <v>9153186</v>
      </c>
      <c r="I64" s="262">
        <f>SUM('Population weights'!BP9:CO9)</f>
        <v>8125168</v>
      </c>
      <c r="L64" s="264">
        <f t="shared" si="18"/>
        <v>0.37688542359346072</v>
      </c>
      <c r="M64" s="264">
        <f t="shared" si="19"/>
        <v>0.28683613250500528</v>
      </c>
      <c r="N64" s="264">
        <f t="shared" si="20"/>
        <v>0.17814307687070807</v>
      </c>
      <c r="O64" s="264">
        <f t="shared" si="21"/>
        <v>0.15813536703082592</v>
      </c>
    </row>
    <row r="65" spans="2:15">
      <c r="B65" s="262" t="s">
        <v>1885</v>
      </c>
      <c r="C65" s="262">
        <f t="shared" si="17"/>
        <v>100610903.40204448</v>
      </c>
      <c r="D65" s="265"/>
      <c r="E65">
        <v>51815853</v>
      </c>
      <c r="F65" s="262">
        <f>SUM('Population weights'!C10:AF10)</f>
        <v>19572121</v>
      </c>
      <c r="G65" s="262">
        <f>SUM('Population weights'!AG10:AZ10)</f>
        <v>14735429</v>
      </c>
      <c r="H65" s="262">
        <f>SUM('Population weights'!BA10:BO10)</f>
        <v>9258322</v>
      </c>
      <c r="I65" s="262">
        <f>SUM('Population weights'!BP10:CO10)</f>
        <v>8249981</v>
      </c>
      <c r="L65" s="264">
        <f t="shared" si="18"/>
        <v>0.37772457398317849</v>
      </c>
      <c r="M65" s="264">
        <f t="shared" si="19"/>
        <v>0.28438070873792237</v>
      </c>
      <c r="N65" s="264">
        <f t="shared" si="20"/>
        <v>0.17867740206843646</v>
      </c>
      <c r="O65" s="264">
        <f t="shared" si="21"/>
        <v>0.1592173152104627</v>
      </c>
    </row>
    <row r="66" spans="2:15">
      <c r="B66" s="262" t="s">
        <v>1886</v>
      </c>
      <c r="C66" s="262">
        <f t="shared" si="17"/>
        <v>101714158.54697263</v>
      </c>
      <c r="D66" s="265"/>
      <c r="E66">
        <v>52196381</v>
      </c>
      <c r="F66" s="262">
        <f>SUM('Population weights'!C11:AF11)</f>
        <v>19669296</v>
      </c>
      <c r="G66" s="262">
        <f>SUM('Population weights'!AG11:AZ11)</f>
        <v>14773310</v>
      </c>
      <c r="H66" s="262">
        <f>SUM('Population weights'!BA11:BO11)</f>
        <v>9353488</v>
      </c>
      <c r="I66" s="262">
        <f>SUM('Population weights'!BP11:CO11)</f>
        <v>8400287</v>
      </c>
      <c r="L66" s="264">
        <f t="shared" si="18"/>
        <v>0.3768325623954657</v>
      </c>
      <c r="M66" s="264">
        <f t="shared" si="19"/>
        <v>0.28303322408501846</v>
      </c>
      <c r="N66" s="264">
        <f t="shared" si="20"/>
        <v>0.17919801757903484</v>
      </c>
      <c r="O66" s="264">
        <f t="shared" si="21"/>
        <v>0.160936195940481</v>
      </c>
    </row>
    <row r="67" spans="2:15">
      <c r="B67" s="262" t="s">
        <v>1887</v>
      </c>
      <c r="C67" s="262">
        <f t="shared" si="17"/>
        <v>102964720.88265601</v>
      </c>
      <c r="D67" s="265"/>
      <c r="E67">
        <v>52642452</v>
      </c>
      <c r="F67" s="262">
        <f>SUM('Population weights'!C12:AF12)</f>
        <v>19806357</v>
      </c>
      <c r="G67" s="262">
        <f>SUM('Population weights'!AG12:AZ12)</f>
        <v>14812218</v>
      </c>
      <c r="H67" s="262">
        <f>SUM('Population weights'!BA12:BO12)</f>
        <v>9460262</v>
      </c>
      <c r="I67" s="262">
        <f>SUM('Population weights'!BP12:CO12)</f>
        <v>8563615</v>
      </c>
      <c r="L67" s="264">
        <f t="shared" si="18"/>
        <v>0.37624305569960914</v>
      </c>
      <c r="M67" s="264">
        <f t="shared" si="19"/>
        <v>0.28137401350529795</v>
      </c>
      <c r="N67" s="264">
        <f t="shared" si="20"/>
        <v>0.1797078525141648</v>
      </c>
      <c r="O67" s="264">
        <f t="shared" si="21"/>
        <v>0.16267507828092809</v>
      </c>
    </row>
    <row r="68" spans="2:15">
      <c r="B68" s="262" t="s">
        <v>1888</v>
      </c>
      <c r="C68" s="262">
        <f t="shared" si="17"/>
        <v>104261739.84435531</v>
      </c>
      <c r="D68" s="265"/>
      <c r="E68">
        <v>53107169</v>
      </c>
      <c r="F68" s="262">
        <f>SUM('Population weights'!C13:AF13)</f>
        <v>19964050</v>
      </c>
      <c r="G68" s="262">
        <f>SUM('Population weights'!AG13:AZ13)</f>
        <v>14825081</v>
      </c>
      <c r="H68" s="262">
        <f>SUM('Population weights'!BA13:BO13)</f>
        <v>9588371</v>
      </c>
      <c r="I68" s="262">
        <f>SUM('Population weights'!BP13:CO13)</f>
        <v>8729667</v>
      </c>
      <c r="L68" s="264">
        <f t="shared" si="18"/>
        <v>0.37592005704540565</v>
      </c>
      <c r="M68" s="264">
        <f t="shared" si="19"/>
        <v>0.27915404415550754</v>
      </c>
      <c r="N68" s="264">
        <f t="shared" si="20"/>
        <v>0.18054758294496925</v>
      </c>
      <c r="O68" s="264">
        <f t="shared" si="21"/>
        <v>0.16437831585411755</v>
      </c>
    </row>
    <row r="69" spans="2:15">
      <c r="B69" s="262" t="s">
        <v>1889</v>
      </c>
      <c r="C69" s="262">
        <f t="shared" si="17"/>
        <v>106109704.17912216</v>
      </c>
      <c r="D69" s="265"/>
      <c r="E69">
        <v>53493729</v>
      </c>
      <c r="F69" s="262">
        <f>SUM('Population weights'!C14:AF14)</f>
        <v>20052243</v>
      </c>
      <c r="G69" s="262">
        <f>SUM('Population weights'!AG14:AZ14)</f>
        <v>14794894</v>
      </c>
      <c r="H69" s="262">
        <f>SUM('Population weights'!BA14:BO14)</f>
        <v>9590084</v>
      </c>
      <c r="I69" s="262">
        <f>SUM('Population weights'!BP14:CO14)</f>
        <v>9056508</v>
      </c>
      <c r="L69" s="264">
        <f t="shared" si="18"/>
        <v>0.37485221865912544</v>
      </c>
      <c r="M69" s="264">
        <f t="shared" si="19"/>
        <v>0.27657249319822141</v>
      </c>
      <c r="N69" s="264">
        <f t="shared" si="20"/>
        <v>0.17927492024345507</v>
      </c>
      <c r="O69" s="264">
        <f t="shared" si="21"/>
        <v>0.16930036789919806</v>
      </c>
    </row>
    <row r="70" spans="2:15">
      <c r="B70" s="262" t="s">
        <v>1890</v>
      </c>
      <c r="C70" s="262">
        <f t="shared" si="17"/>
        <v>107610098.21351682</v>
      </c>
      <c r="D70" s="265"/>
      <c r="E70">
        <v>53865817</v>
      </c>
      <c r="F70" s="262">
        <f>SUM('Population weights'!C15:AF15)</f>
        <v>20122264</v>
      </c>
      <c r="G70" s="262">
        <f>SUM('Population weights'!AG15:AZ15)</f>
        <v>14766866</v>
      </c>
      <c r="H70" s="262">
        <f>SUM('Population weights'!BA15:BO15)</f>
        <v>9671508</v>
      </c>
      <c r="I70" s="262">
        <f>SUM('Population weights'!BP15:CO15)</f>
        <v>9305179</v>
      </c>
      <c r="L70" s="264">
        <f t="shared" si="18"/>
        <v>0.37356277358607592</v>
      </c>
      <c r="M70" s="264">
        <f t="shared" si="19"/>
        <v>0.27414168803937383</v>
      </c>
      <c r="N70" s="264">
        <f t="shared" si="20"/>
        <v>0.17954815388765011</v>
      </c>
      <c r="O70" s="264">
        <f t="shared" si="21"/>
        <v>0.17274738448690011</v>
      </c>
    </row>
    <row r="71" spans="2:15">
      <c r="B71" s="262" t="s">
        <v>1891</v>
      </c>
      <c r="C71" s="262">
        <f t="shared" ref="C71:C81" si="22">(F71*F$5)+(G71*G$5)+(H71*H$5)+(I71*I$5)</f>
        <v>109154980.77060261</v>
      </c>
      <c r="D71" s="265"/>
      <c r="E71">
        <v>54316618</v>
      </c>
      <c r="F71" s="262">
        <f>SUM('Population weights'!C16:AF16)</f>
        <v>20232130</v>
      </c>
      <c r="G71" s="262">
        <f>SUM('Population weights'!AG16:AZ16)</f>
        <v>14728980</v>
      </c>
      <c r="H71" s="262">
        <f>SUM('Population weights'!BA16:BO16)</f>
        <v>9817800</v>
      </c>
      <c r="I71" s="262">
        <f>SUM('Population weights'!BP16:CO16)</f>
        <v>9537708</v>
      </c>
      <c r="L71" s="264">
        <f t="shared" si="18"/>
        <v>0.37248508366260946</v>
      </c>
      <c r="M71" s="264">
        <f t="shared" si="19"/>
        <v>0.2711689450178949</v>
      </c>
      <c r="N71" s="264">
        <f t="shared" si="20"/>
        <v>0.18075131260933808</v>
      </c>
      <c r="O71" s="264">
        <f t="shared" si="21"/>
        <v>0.17559465871015753</v>
      </c>
    </row>
    <row r="72" spans="2:15">
      <c r="B72" s="262" t="s">
        <v>1892</v>
      </c>
      <c r="C72" s="262">
        <f t="shared" si="22"/>
        <v>110479557.46193749</v>
      </c>
      <c r="D72" s="265"/>
      <c r="E72">
        <v>54786327</v>
      </c>
      <c r="F72" s="262">
        <f>SUM('Population weights'!C17:AF17)</f>
        <v>20355952</v>
      </c>
      <c r="G72" s="262">
        <f>SUM('Population weights'!AG17:AZ17)</f>
        <v>14724760</v>
      </c>
      <c r="H72" s="262">
        <f>SUM('Population weights'!BA17:BO17)</f>
        <v>9994043</v>
      </c>
      <c r="I72" s="262">
        <f>SUM('Population weights'!BP17:CO17)</f>
        <v>9711572</v>
      </c>
      <c r="L72" s="264">
        <f t="shared" si="18"/>
        <v>0.37155168295914415</v>
      </c>
      <c r="M72" s="264">
        <f t="shared" si="19"/>
        <v>0.26876705934310946</v>
      </c>
      <c r="N72" s="264">
        <f t="shared" si="20"/>
        <v>0.18241856220804872</v>
      </c>
      <c r="O72" s="264">
        <f t="shared" si="21"/>
        <v>0.17726269548969764</v>
      </c>
    </row>
    <row r="73" spans="2:15">
      <c r="B73" s="262" t="s">
        <v>1893</v>
      </c>
      <c r="C73" s="262">
        <f t="shared" si="22"/>
        <v>111806337.61400604</v>
      </c>
      <c r="D73" s="265"/>
      <c r="E73">
        <v>55268067</v>
      </c>
      <c r="F73" s="262">
        <f>SUM('Population weights'!C18:AF18)</f>
        <v>20478519</v>
      </c>
      <c r="G73" s="262">
        <f>SUM('Population weights'!AG18:AZ18)</f>
        <v>14724979</v>
      </c>
      <c r="H73" s="262">
        <f>SUM('Population weights'!BA18:BO18)</f>
        <v>10181728</v>
      </c>
      <c r="I73" s="262">
        <f>SUM('Population weights'!BP18:CO18)</f>
        <v>9882841</v>
      </c>
      <c r="L73" s="264">
        <f t="shared" si="18"/>
        <v>0.37053076236590654</v>
      </c>
      <c r="M73" s="264">
        <f t="shared" si="19"/>
        <v>0.26642833374288266</v>
      </c>
      <c r="N73" s="264">
        <f t="shared" si="20"/>
        <v>0.18422442746188319</v>
      </c>
      <c r="O73" s="264">
        <f t="shared" si="21"/>
        <v>0.17881647642932763</v>
      </c>
    </row>
    <row r="74" spans="2:15">
      <c r="B74" s="262" t="s">
        <v>1894</v>
      </c>
      <c r="C74" s="262">
        <f t="shared" si="22"/>
        <v>112857232.21169724</v>
      </c>
      <c r="D74" s="265"/>
      <c r="E74">
        <v>55619430</v>
      </c>
      <c r="F74" s="262">
        <f>SUM('Population weights'!C19:AF19)</f>
        <v>20526860</v>
      </c>
      <c r="G74" s="262">
        <f>SUM('Population weights'!AG19:AZ19)</f>
        <v>14692909</v>
      </c>
      <c r="H74" s="262">
        <f>SUM('Population weights'!BA19:BO19)</f>
        <v>10369150</v>
      </c>
      <c r="I74" s="262">
        <f>SUM('Population weights'!BP19:CO19)</f>
        <v>10030511</v>
      </c>
      <c r="L74" s="264">
        <f t="shared" si="18"/>
        <v>0.3690591579237687</v>
      </c>
      <c r="M74" s="264">
        <f t="shared" si="19"/>
        <v>0.26416863675158125</v>
      </c>
      <c r="N74" s="264">
        <f t="shared" si="20"/>
        <v>0.18643035356529183</v>
      </c>
      <c r="O74" s="264">
        <f t="shared" si="21"/>
        <v>0.18034185175935818</v>
      </c>
    </row>
    <row r="75" spans="2:15">
      <c r="B75" s="262" t="s">
        <v>1895</v>
      </c>
      <c r="C75" s="262">
        <f t="shared" si="22"/>
        <v>113911693.59574917</v>
      </c>
      <c r="D75" s="265"/>
      <c r="E75">
        <v>55977178</v>
      </c>
      <c r="F75" s="262">
        <f>SUM('Population weights'!C20:AF20)</f>
        <v>20569865</v>
      </c>
      <c r="G75" s="262">
        <f>SUM('Population weights'!AG20:AZ20)</f>
        <v>14694906</v>
      </c>
      <c r="H75" s="262">
        <f>SUM('Population weights'!BA20:BO20)</f>
        <v>10533154</v>
      </c>
      <c r="I75" s="262">
        <f>SUM('Population weights'!BP20:CO20)</f>
        <v>10179253</v>
      </c>
      <c r="L75" s="264">
        <f t="shared" si="18"/>
        <v>0.36746877450663912</v>
      </c>
      <c r="M75" s="264">
        <f t="shared" si="19"/>
        <v>0.26251602036815791</v>
      </c>
      <c r="N75" s="264">
        <f t="shared" si="20"/>
        <v>0.18816872118848149</v>
      </c>
      <c r="O75" s="264">
        <f t="shared" si="21"/>
        <v>0.18184648393672151</v>
      </c>
    </row>
    <row r="76" spans="2:15">
      <c r="B76" s="262" t="s">
        <v>1896</v>
      </c>
      <c r="C76" s="262">
        <f t="shared" si="22"/>
        <v>115003450.83938697</v>
      </c>
      <c r="D76" s="265"/>
      <c r="E76">
        <v>56286961</v>
      </c>
      <c r="F76" s="262">
        <f>SUM('Population weights'!C21:AF21)</f>
        <v>20571593</v>
      </c>
      <c r="G76" s="262">
        <f>SUM('Population weights'!AG21:AZ21)</f>
        <v>14671705</v>
      </c>
      <c r="H76" s="262">
        <f>SUM('Population weights'!BA21:BO21)</f>
        <v>10689947</v>
      </c>
      <c r="I76" s="262">
        <f>SUM('Population weights'!BP21:CO21)</f>
        <v>10353716</v>
      </c>
      <c r="L76" s="264">
        <f t="shared" si="18"/>
        <v>0.36547705959822557</v>
      </c>
      <c r="M76" s="264">
        <f t="shared" si="19"/>
        <v>0.26065903611317726</v>
      </c>
      <c r="N76" s="264">
        <f t="shared" si="20"/>
        <v>0.18991870959244006</v>
      </c>
      <c r="O76" s="264">
        <f t="shared" si="21"/>
        <v>0.18394519469615708</v>
      </c>
    </row>
    <row r="77" spans="2:15">
      <c r="B77" s="262" t="s">
        <v>1897</v>
      </c>
      <c r="C77" s="262">
        <f t="shared" si="22"/>
        <v>116092750.16225439</v>
      </c>
      <c r="E77" s="263">
        <v>56678470.001999974</v>
      </c>
      <c r="F77">
        <v>20596172.004000053</v>
      </c>
      <c r="G77">
        <v>14725557.005999982</v>
      </c>
      <c r="H77">
        <v>10851407.994000027</v>
      </c>
      <c r="I77">
        <v>10505333.032999998</v>
      </c>
    </row>
    <row r="78" spans="2:15">
      <c r="B78" s="262" t="s">
        <v>1898</v>
      </c>
      <c r="C78" s="262">
        <f t="shared" si="22"/>
        <v>117123759.29105544</v>
      </c>
      <c r="E78">
        <v>56989570.003999949</v>
      </c>
      <c r="F78">
        <v>20573735.98800005</v>
      </c>
      <c r="G78">
        <v>14745806.973999968</v>
      </c>
      <c r="H78">
        <v>11001019.978999993</v>
      </c>
      <c r="I78">
        <v>10669007.023000004</v>
      </c>
    </row>
    <row r="79" spans="2:15">
      <c r="B79" s="262" t="s">
        <v>1899</v>
      </c>
      <c r="C79" s="262">
        <f t="shared" si="22"/>
        <v>118192360.17587887</v>
      </c>
      <c r="E79">
        <v>57282105.002000026</v>
      </c>
      <c r="F79">
        <v>20555384.964999996</v>
      </c>
      <c r="G79">
        <v>14773158.998999972</v>
      </c>
      <c r="H79">
        <v>11106535.969000001</v>
      </c>
      <c r="I79">
        <v>10847024.996000011</v>
      </c>
    </row>
    <row r="80" spans="2:15">
      <c r="B80" s="262" t="s">
        <v>1900</v>
      </c>
      <c r="C80" s="262">
        <f t="shared" si="22"/>
        <v>119311485.87819248</v>
      </c>
      <c r="E80">
        <v>57557520.997000001</v>
      </c>
      <c r="F80">
        <v>20547799.002999987</v>
      </c>
      <c r="G80">
        <v>14808730.99000001</v>
      </c>
      <c r="H80">
        <v>11159491.982000008</v>
      </c>
      <c r="I80">
        <v>11041499.023000013</v>
      </c>
    </row>
    <row r="81" spans="2:9">
      <c r="B81" s="262" t="s">
        <v>1901</v>
      </c>
      <c r="C81" s="262">
        <f t="shared" si="22"/>
        <v>120427763.56310731</v>
      </c>
      <c r="E81">
        <v>57816890.003999993</v>
      </c>
      <c r="F81">
        <v>20532633.007999979</v>
      </c>
      <c r="G81">
        <v>14871397.989000017</v>
      </c>
      <c r="H81">
        <v>11171026.026000002</v>
      </c>
      <c r="I81">
        <v>11241832.980999999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E0E89-DF6F-4B10-8D17-F65F3C979027}">
  <dimension ref="A1:G30"/>
  <sheetViews>
    <sheetView topLeftCell="A5" zoomScale="70" zoomScaleNormal="70" workbookViewId="0">
      <selection activeCell="J28" sqref="J28"/>
    </sheetView>
  </sheetViews>
  <sheetFormatPr defaultRowHeight="14.5"/>
  <cols>
    <col min="2" max="2" width="17.1796875" customWidth="1"/>
    <col min="3" max="3" width="18.1796875" customWidth="1"/>
    <col min="4" max="4" width="18.81640625" customWidth="1"/>
    <col min="5" max="5" width="14" customWidth="1"/>
    <col min="6" max="6" width="14.453125" customWidth="1"/>
    <col min="7" max="7" width="17.453125" customWidth="1"/>
  </cols>
  <sheetData>
    <row r="1" spans="1:7" ht="18.5" thickBot="1">
      <c r="A1" s="938" t="s">
        <v>1902</v>
      </c>
    </row>
    <row r="2" spans="1:7" ht="16" thickTop="1">
      <c r="A2" s="940" t="s">
        <v>1509</v>
      </c>
    </row>
    <row r="3" spans="1:7" ht="15.5">
      <c r="A3" s="940" t="s">
        <v>1510</v>
      </c>
    </row>
    <row r="4" spans="1:7" ht="77.5">
      <c r="A4" s="941" t="s">
        <v>1511</v>
      </c>
      <c r="B4" s="942" t="s">
        <v>1903</v>
      </c>
      <c r="C4" s="942" t="s">
        <v>1904</v>
      </c>
      <c r="D4" s="942" t="s">
        <v>1905</v>
      </c>
      <c r="E4" s="942" t="s">
        <v>1906</v>
      </c>
      <c r="F4" s="942" t="s">
        <v>1907</v>
      </c>
      <c r="G4" s="942" t="s">
        <v>1908</v>
      </c>
    </row>
    <row r="5" spans="1:7" ht="15.5">
      <c r="A5" s="943" t="s">
        <v>960</v>
      </c>
      <c r="B5" s="978">
        <v>100</v>
      </c>
      <c r="C5" s="978">
        <v>100</v>
      </c>
      <c r="D5" s="978">
        <v>100</v>
      </c>
      <c r="E5" s="979"/>
      <c r="F5" s="979"/>
      <c r="G5" s="979"/>
    </row>
    <row r="6" spans="1:7" ht="15.5">
      <c r="A6" s="943" t="s">
        <v>1516</v>
      </c>
      <c r="B6" s="978">
        <v>101.6</v>
      </c>
      <c r="C6" s="978">
        <v>102.3</v>
      </c>
      <c r="D6" s="978">
        <v>99.4</v>
      </c>
      <c r="E6" s="978">
        <v>1.6</v>
      </c>
      <c r="F6" s="978">
        <v>2.2999999999999998</v>
      </c>
      <c r="G6" s="978">
        <v>-0.6</v>
      </c>
    </row>
    <row r="7" spans="1:7" ht="15.5">
      <c r="A7" s="943" t="s">
        <v>965</v>
      </c>
      <c r="B7" s="978">
        <v>105.8</v>
      </c>
      <c r="C7" s="978">
        <v>105.3</v>
      </c>
      <c r="D7" s="978">
        <v>100.4</v>
      </c>
      <c r="E7" s="978">
        <v>4</v>
      </c>
      <c r="F7" s="978">
        <v>3</v>
      </c>
      <c r="G7" s="978">
        <v>1</v>
      </c>
    </row>
    <row r="8" spans="1:7" ht="15.5">
      <c r="A8" s="943" t="s">
        <v>968</v>
      </c>
      <c r="B8" s="978">
        <v>110.3</v>
      </c>
      <c r="C8" s="978">
        <v>110</v>
      </c>
      <c r="D8" s="978">
        <v>100.3</v>
      </c>
      <c r="E8" s="978">
        <v>4.3</v>
      </c>
      <c r="F8" s="978">
        <v>4.4000000000000004</v>
      </c>
      <c r="G8" s="978">
        <v>-0.1</v>
      </c>
    </row>
    <row r="9" spans="1:7" ht="15.5">
      <c r="A9" s="943" t="s">
        <v>971</v>
      </c>
      <c r="B9" s="978">
        <v>114.3</v>
      </c>
      <c r="C9" s="978">
        <v>113.2</v>
      </c>
      <c r="D9" s="978">
        <v>101</v>
      </c>
      <c r="E9" s="978">
        <v>3.6</v>
      </c>
      <c r="F9" s="978">
        <v>2.9</v>
      </c>
      <c r="G9" s="978">
        <v>0.7</v>
      </c>
    </row>
    <row r="10" spans="1:7" ht="15.5">
      <c r="A10" s="943" t="s">
        <v>977</v>
      </c>
      <c r="B10" s="978">
        <v>121.2</v>
      </c>
      <c r="C10" s="978">
        <v>119.5</v>
      </c>
      <c r="D10" s="978">
        <v>101.4</v>
      </c>
      <c r="E10" s="978">
        <v>6</v>
      </c>
      <c r="F10" s="978">
        <v>5.6</v>
      </c>
      <c r="G10" s="978">
        <v>0.4</v>
      </c>
    </row>
    <row r="11" spans="1:7" ht="15.5">
      <c r="A11" s="943" t="s">
        <v>980</v>
      </c>
      <c r="B11" s="978">
        <v>128.9</v>
      </c>
      <c r="C11" s="978">
        <v>123.8</v>
      </c>
      <c r="D11" s="978">
        <v>104.2</v>
      </c>
      <c r="E11" s="978">
        <v>6.4</v>
      </c>
      <c r="F11" s="978">
        <v>3.5</v>
      </c>
      <c r="G11" s="978">
        <v>2.8</v>
      </c>
    </row>
    <row r="12" spans="1:7" ht="15.5">
      <c r="A12" s="943" t="s">
        <v>983</v>
      </c>
      <c r="B12" s="978">
        <v>133.69999999999999</v>
      </c>
      <c r="C12" s="978">
        <v>133.69999999999999</v>
      </c>
      <c r="D12" s="978">
        <v>100</v>
      </c>
      <c r="E12" s="978">
        <v>3.7</v>
      </c>
      <c r="F12" s="978">
        <v>8</v>
      </c>
      <c r="G12" s="978">
        <v>-4</v>
      </c>
    </row>
    <row r="13" spans="1:7" ht="15.5">
      <c r="A13" s="943" t="s">
        <v>1517</v>
      </c>
      <c r="B13" s="978">
        <v>143.5</v>
      </c>
      <c r="C13" s="978">
        <v>139.9</v>
      </c>
      <c r="D13" s="978">
        <v>102.6</v>
      </c>
      <c r="E13" s="978">
        <v>7.3</v>
      </c>
      <c r="F13" s="978">
        <v>4.7</v>
      </c>
      <c r="G13" s="978">
        <v>2.5</v>
      </c>
    </row>
    <row r="14" spans="1:7" ht="15.5">
      <c r="A14" s="943" t="s">
        <v>992</v>
      </c>
      <c r="B14" s="978">
        <v>151.1</v>
      </c>
      <c r="C14" s="978">
        <v>146.80000000000001</v>
      </c>
      <c r="D14" s="978">
        <v>103</v>
      </c>
      <c r="E14" s="978">
        <v>5.3</v>
      </c>
      <c r="F14" s="978">
        <v>4.9000000000000004</v>
      </c>
      <c r="G14" s="978">
        <v>0.4</v>
      </c>
    </row>
    <row r="15" spans="1:7" ht="15.5">
      <c r="A15" s="943" t="s">
        <v>995</v>
      </c>
      <c r="B15" s="978">
        <v>162.4</v>
      </c>
      <c r="C15" s="978">
        <v>154.6</v>
      </c>
      <c r="D15" s="978">
        <v>105</v>
      </c>
      <c r="E15" s="978">
        <v>7.4</v>
      </c>
      <c r="F15" s="978">
        <v>5.3</v>
      </c>
      <c r="G15" s="978">
        <v>2</v>
      </c>
    </row>
    <row r="16" spans="1:7" ht="15.5">
      <c r="A16" s="943" t="s">
        <v>998</v>
      </c>
      <c r="B16" s="978">
        <v>169.8</v>
      </c>
      <c r="C16" s="978">
        <v>158.19999999999999</v>
      </c>
      <c r="D16" s="978">
        <v>107.4</v>
      </c>
      <c r="E16" s="978">
        <v>4.5999999999999996</v>
      </c>
      <c r="F16" s="978">
        <v>2.2999999999999998</v>
      </c>
      <c r="G16" s="978">
        <v>2.2000000000000002</v>
      </c>
    </row>
    <row r="17" spans="1:7" ht="15.5">
      <c r="A17" s="943" t="s">
        <v>1001</v>
      </c>
      <c r="B17" s="978">
        <v>178.4</v>
      </c>
      <c r="C17" s="978">
        <v>165.7</v>
      </c>
      <c r="D17" s="978">
        <v>107.6</v>
      </c>
      <c r="E17" s="978">
        <v>5</v>
      </c>
      <c r="F17" s="978">
        <v>4.8</v>
      </c>
      <c r="G17" s="978">
        <v>0.2</v>
      </c>
    </row>
    <row r="18" spans="1:7" ht="15.5">
      <c r="A18" s="943" t="s">
        <v>1004</v>
      </c>
      <c r="B18" s="978">
        <v>189.8</v>
      </c>
      <c r="C18" s="978">
        <v>177.6</v>
      </c>
      <c r="D18" s="978">
        <v>106.9</v>
      </c>
      <c r="E18" s="978">
        <v>6.4</v>
      </c>
      <c r="F18" s="978">
        <v>7.1</v>
      </c>
      <c r="G18" s="978">
        <v>-0.7</v>
      </c>
    </row>
    <row r="19" spans="1:7" ht="15.5">
      <c r="A19" s="943" t="s">
        <v>1007</v>
      </c>
      <c r="B19" s="978">
        <v>198</v>
      </c>
      <c r="C19" s="978">
        <v>190.8</v>
      </c>
      <c r="D19" s="978">
        <v>103.8</v>
      </c>
      <c r="E19" s="978">
        <v>4.3</v>
      </c>
      <c r="F19" s="978">
        <v>7.5</v>
      </c>
      <c r="G19" s="978">
        <v>-2.9</v>
      </c>
    </row>
    <row r="20" spans="1:7" ht="15.5">
      <c r="A20" s="943" t="s">
        <v>1010</v>
      </c>
      <c r="B20" s="978">
        <v>202.6</v>
      </c>
      <c r="C20" s="978">
        <v>193.2</v>
      </c>
      <c r="D20" s="978">
        <v>104.9</v>
      </c>
      <c r="E20" s="978">
        <v>2.2999999999999998</v>
      </c>
      <c r="F20" s="978">
        <v>1.3</v>
      </c>
      <c r="G20" s="978">
        <v>1</v>
      </c>
    </row>
    <row r="21" spans="1:7" ht="15.5">
      <c r="A21" s="943" t="s">
        <v>1013</v>
      </c>
      <c r="B21" s="978">
        <v>209.4</v>
      </c>
      <c r="C21" s="978">
        <v>196.6</v>
      </c>
      <c r="D21" s="978">
        <v>106.5</v>
      </c>
      <c r="E21" s="978">
        <v>3.3</v>
      </c>
      <c r="F21" s="978">
        <v>1.7</v>
      </c>
      <c r="G21" s="978">
        <v>1.6</v>
      </c>
    </row>
    <row r="22" spans="1:7" ht="15.5">
      <c r="A22" s="943" t="s">
        <v>1016</v>
      </c>
      <c r="B22" s="978">
        <v>217.2</v>
      </c>
      <c r="C22" s="978">
        <v>200</v>
      </c>
      <c r="D22" s="978">
        <v>108.6</v>
      </c>
      <c r="E22" s="978">
        <v>3.8</v>
      </c>
      <c r="F22" s="978">
        <v>1.8</v>
      </c>
      <c r="G22" s="978">
        <v>2</v>
      </c>
    </row>
    <row r="23" spans="1:7" ht="15.5">
      <c r="A23" s="943" t="s">
        <v>1019</v>
      </c>
      <c r="B23" s="978">
        <v>226.7</v>
      </c>
      <c r="C23" s="978">
        <v>201.6</v>
      </c>
      <c r="D23" s="978">
        <v>112.5</v>
      </c>
      <c r="E23" s="978">
        <v>4.4000000000000004</v>
      </c>
      <c r="F23" s="978">
        <v>0.8</v>
      </c>
      <c r="G23" s="978">
        <v>3.6</v>
      </c>
    </row>
    <row r="24" spans="1:7" ht="15.5">
      <c r="A24" s="943" t="s">
        <v>1022</v>
      </c>
      <c r="B24" s="978">
        <v>236.9</v>
      </c>
      <c r="C24" s="978">
        <v>209</v>
      </c>
      <c r="D24" s="978">
        <v>113.3</v>
      </c>
      <c r="E24" s="978">
        <v>4.5</v>
      </c>
      <c r="F24" s="978">
        <v>3.7</v>
      </c>
      <c r="G24" s="978">
        <v>0.8</v>
      </c>
    </row>
    <row r="25" spans="1:7" ht="15.5">
      <c r="A25" s="943" t="s">
        <v>1025</v>
      </c>
      <c r="B25" s="978">
        <v>244.7</v>
      </c>
      <c r="C25" s="978">
        <v>216.3</v>
      </c>
      <c r="D25" s="978">
        <v>113.1</v>
      </c>
      <c r="E25" s="978">
        <v>3.3</v>
      </c>
      <c r="F25" s="978">
        <v>3.5</v>
      </c>
      <c r="G25" s="978">
        <v>-0.2</v>
      </c>
    </row>
    <row r="26" spans="1:7" ht="15.5">
      <c r="A26" s="943" t="s">
        <v>1028</v>
      </c>
      <c r="B26" s="978">
        <v>252.3</v>
      </c>
      <c r="C26" s="978">
        <v>218.9</v>
      </c>
      <c r="D26" s="978">
        <v>115.3</v>
      </c>
      <c r="E26" s="978">
        <v>3.1</v>
      </c>
      <c r="F26" s="978">
        <v>1.2</v>
      </c>
      <c r="G26" s="978">
        <v>1.9</v>
      </c>
    </row>
    <row r="27" spans="1:7" ht="15.5">
      <c r="A27" s="943" t="s">
        <v>1031</v>
      </c>
      <c r="B27" s="978">
        <v>258.10000000000002</v>
      </c>
      <c r="C27" s="978">
        <v>222.7</v>
      </c>
      <c r="D27" s="978">
        <v>115.9</v>
      </c>
      <c r="E27" s="978">
        <v>2.2999999999999998</v>
      </c>
      <c r="F27" s="978">
        <v>1.7</v>
      </c>
      <c r="G27" s="978">
        <v>0.5</v>
      </c>
    </row>
    <row r="28" spans="1:7" ht="15.5">
      <c r="A28" s="980" t="s">
        <v>1034</v>
      </c>
      <c r="B28" s="978">
        <v>262.7</v>
      </c>
      <c r="C28" s="978">
        <v>228.9</v>
      </c>
      <c r="D28" s="978">
        <v>114.8</v>
      </c>
      <c r="E28" s="978">
        <v>1.8</v>
      </c>
      <c r="F28" s="978">
        <v>2.8</v>
      </c>
      <c r="G28" s="978">
        <v>-1</v>
      </c>
    </row>
    <row r="29" spans="1:7" ht="15.5">
      <c r="A29" s="980" t="s">
        <v>1256</v>
      </c>
      <c r="B29" s="978">
        <v>265.10000000000002</v>
      </c>
      <c r="C29" s="978">
        <v>235.2</v>
      </c>
      <c r="D29" s="978">
        <v>112.7</v>
      </c>
      <c r="E29" s="978">
        <v>0.9</v>
      </c>
      <c r="F29" s="978">
        <v>2.8</v>
      </c>
      <c r="G29" s="978">
        <v>-1.8</v>
      </c>
    </row>
    <row r="30" spans="1:7" ht="15.5">
      <c r="A30" s="943" t="s">
        <v>1257</v>
      </c>
      <c r="B30" s="978">
        <v>244.1</v>
      </c>
      <c r="C30" s="978">
        <v>292.10000000000002</v>
      </c>
      <c r="D30" s="978">
        <v>83.6</v>
      </c>
      <c r="E30" s="978">
        <v>-7.9</v>
      </c>
      <c r="F30" s="978">
        <v>24.2</v>
      </c>
      <c r="G30" s="978">
        <v>-25.9</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83C4-FB45-4264-A4F6-65712AA84161}">
  <dimension ref="B2:U14"/>
  <sheetViews>
    <sheetView zoomScale="55" zoomScaleNormal="55" workbookViewId="0">
      <selection activeCell="V26" sqref="V26"/>
    </sheetView>
  </sheetViews>
  <sheetFormatPr defaultRowHeight="14.5"/>
  <cols>
    <col min="7" max="7" width="20" bestFit="1" customWidth="1"/>
    <col min="8" max="10" width="20" customWidth="1"/>
  </cols>
  <sheetData>
    <row r="2" spans="2:21">
      <c r="B2" t="s">
        <v>1369</v>
      </c>
    </row>
    <row r="3" spans="2:21">
      <c r="C3" t="s">
        <v>1909</v>
      </c>
      <c r="D3" t="s">
        <v>1910</v>
      </c>
      <c r="E3" t="s">
        <v>1911</v>
      </c>
      <c r="F3" t="s">
        <v>1912</v>
      </c>
      <c r="G3" t="s">
        <v>1913</v>
      </c>
      <c r="I3">
        <f>'NQA prod'!D22</f>
        <v>108.6</v>
      </c>
      <c r="K3" t="s">
        <v>1914</v>
      </c>
      <c r="L3" t="s">
        <v>1915</v>
      </c>
    </row>
    <row r="4" spans="2:21">
      <c r="I4">
        <f>'NQA prod'!D23</f>
        <v>112.5</v>
      </c>
      <c r="J4" s="98">
        <f t="shared" ref="J4:J7" si="0">I4/I3-1</f>
        <v>3.5911602209944826E-2</v>
      </c>
      <c r="K4" s="98">
        <f>'NQA prod'!G23/100</f>
        <v>3.6000000000000004E-2</v>
      </c>
      <c r="N4" t="s">
        <v>1916</v>
      </c>
      <c r="O4" t="str">
        <f>K3</f>
        <v>Prod</v>
      </c>
      <c r="P4" t="s">
        <v>1917</v>
      </c>
      <c r="S4" t="s">
        <v>1916</v>
      </c>
      <c r="T4">
        <f>P3</f>
        <v>0</v>
      </c>
      <c r="U4" t="s">
        <v>1917</v>
      </c>
    </row>
    <row r="5" spans="2:21" ht="15.5">
      <c r="B5" s="943" t="s">
        <v>1022</v>
      </c>
      <c r="C5" s="981">
        <f>'NQA prod'!E24/100</f>
        <v>4.4999999999999998E-2</v>
      </c>
      <c r="E5" s="98">
        <f>'NQA prod'!F24/100</f>
        <v>3.7000000000000005E-2</v>
      </c>
      <c r="I5">
        <f>'NQA prod'!D24</f>
        <v>113.3</v>
      </c>
      <c r="J5" s="98">
        <f t="shared" si="0"/>
        <v>7.1111111111110681E-3</v>
      </c>
      <c r="K5" s="98">
        <f>'NQA prod'!G24/100</f>
        <v>8.0000000000000002E-3</v>
      </c>
      <c r="M5" s="943" t="s">
        <v>1022</v>
      </c>
      <c r="N5" s="980">
        <f t="shared" ref="N5:N6" si="1">(I5/I$9)*100</f>
        <v>98.693379790940767</v>
      </c>
      <c r="R5" s="943" t="s">
        <v>1022</v>
      </c>
      <c r="S5" s="980">
        <f>N5-100</f>
        <v>-1.3066202090592327</v>
      </c>
      <c r="T5" s="980"/>
      <c r="U5" s="980"/>
    </row>
    <row r="6" spans="2:21" ht="15.5">
      <c r="B6" s="943" t="s">
        <v>1025</v>
      </c>
      <c r="C6" s="981">
        <f>'NQA prod'!E25/100</f>
        <v>3.3000000000000002E-2</v>
      </c>
      <c r="E6" s="98">
        <f>'NQA prod'!F25/100</f>
        <v>3.5000000000000003E-2</v>
      </c>
      <c r="I6">
        <f>'NQA prod'!D25</f>
        <v>113.1</v>
      </c>
      <c r="J6" s="98">
        <f t="shared" si="0"/>
        <v>-1.765225066195919E-3</v>
      </c>
      <c r="K6" s="98">
        <f>'NQA prod'!G25/100</f>
        <v>-2E-3</v>
      </c>
      <c r="M6" s="943" t="s">
        <v>1025</v>
      </c>
      <c r="N6" s="980">
        <f t="shared" si="1"/>
        <v>98.519163763066203</v>
      </c>
      <c r="R6" s="943" t="s">
        <v>1025</v>
      </c>
      <c r="S6" s="980">
        <f t="shared" ref="S6:S8" si="2">N6-100</f>
        <v>-1.4808362369337971</v>
      </c>
      <c r="T6" s="980"/>
      <c r="U6" s="980"/>
    </row>
    <row r="7" spans="2:21" ht="15.5">
      <c r="B7" s="943" t="s">
        <v>1028</v>
      </c>
      <c r="C7" s="981">
        <f>'NQA prod'!E26/100</f>
        <v>3.1E-2</v>
      </c>
      <c r="E7" s="98">
        <f>'NQA prod'!F26/100</f>
        <v>1.2E-2</v>
      </c>
      <c r="I7">
        <f>'NQA prod'!D26</f>
        <v>115.3</v>
      </c>
      <c r="J7" s="98">
        <f t="shared" si="0"/>
        <v>1.9451812555260961E-2</v>
      </c>
      <c r="K7" s="98">
        <f>'NQA prod'!G26/100</f>
        <v>1.9E-2</v>
      </c>
      <c r="M7" s="943" t="s">
        <v>1028</v>
      </c>
      <c r="N7" s="980">
        <f>(I7/I$9)*100</f>
        <v>100.4355400696864</v>
      </c>
      <c r="O7" s="980"/>
      <c r="R7" s="943" t="s">
        <v>1028</v>
      </c>
      <c r="S7" s="980">
        <f t="shared" si="2"/>
        <v>0.43554006968639669</v>
      </c>
      <c r="T7" s="980"/>
      <c r="U7" s="980"/>
    </row>
    <row r="8" spans="2:21" ht="15.5">
      <c r="B8" s="943" t="s">
        <v>1031</v>
      </c>
      <c r="C8" s="981">
        <f>'NQA prod'!E27/100</f>
        <v>2.3E-2</v>
      </c>
      <c r="E8" s="98">
        <f>'NQA prod'!F27/100</f>
        <v>1.7000000000000001E-2</v>
      </c>
      <c r="I8">
        <f>'NQA prod'!D27</f>
        <v>115.9</v>
      </c>
      <c r="J8" s="98">
        <f t="shared" ref="J8:J11" si="3">I8/I7-1</f>
        <v>5.2038161318301857E-3</v>
      </c>
      <c r="K8" s="98">
        <f>'NQA prod'!G27/100</f>
        <v>5.0000000000000001E-3</v>
      </c>
      <c r="M8" s="943" t="s">
        <v>1031</v>
      </c>
      <c r="N8" s="980">
        <f>(I8/I$9)*100</f>
        <v>100.9581881533101</v>
      </c>
      <c r="O8" s="980"/>
      <c r="R8" s="943" t="s">
        <v>1031</v>
      </c>
      <c r="S8" s="980">
        <f t="shared" si="2"/>
        <v>0.95818815331010398</v>
      </c>
      <c r="T8" s="980"/>
      <c r="U8" s="980"/>
    </row>
    <row r="9" spans="2:21" ht="15.5">
      <c r="B9" s="980" t="s">
        <v>1034</v>
      </c>
      <c r="C9" s="981">
        <f>'NQA prod'!E28/100</f>
        <v>1.8000000000000002E-2</v>
      </c>
      <c r="E9" s="98">
        <f>'NQA prod'!F28/100</f>
        <v>2.7999999999999997E-2</v>
      </c>
      <c r="H9">
        <v>100</v>
      </c>
      <c r="I9">
        <f>'NQA prod'!D28</f>
        <v>114.8</v>
      </c>
      <c r="J9" s="98">
        <f t="shared" si="3"/>
        <v>-9.4909404659189178E-3</v>
      </c>
      <c r="K9" s="98">
        <f>'NQA prod'!G28/100</f>
        <v>-0.01</v>
      </c>
      <c r="M9" s="980" t="s">
        <v>1034</v>
      </c>
      <c r="N9" s="980">
        <f>(I9/I$9)*100</f>
        <v>100</v>
      </c>
      <c r="O9" s="980"/>
      <c r="P9">
        <v>100</v>
      </c>
      <c r="R9" s="980" t="s">
        <v>1034</v>
      </c>
      <c r="S9" s="980">
        <v>0</v>
      </c>
      <c r="T9" s="980">
        <f t="shared" ref="T9:T14" si="4">P9-100</f>
        <v>0</v>
      </c>
    </row>
    <row r="10" spans="2:21" ht="15.5">
      <c r="B10" s="980" t="s">
        <v>1256</v>
      </c>
      <c r="C10" s="981">
        <f>'NQA prod'!E29/100</f>
        <v>9.0000000000000011E-3</v>
      </c>
      <c r="D10" s="98">
        <v>5.9481555251266194E-3</v>
      </c>
      <c r="E10" s="98">
        <f>'NQA prod'!F29/100</f>
        <v>2.7999999999999997E-2</v>
      </c>
      <c r="F10" s="98" t="e">
        <f>'DHSC NHS Budgets'!L102</f>
        <v>#DIV/0!</v>
      </c>
      <c r="G10" s="98" t="e">
        <f>F10</f>
        <v>#DIV/0!</v>
      </c>
      <c r="H10" s="260" t="e">
        <f>H9*(1+G10)</f>
        <v>#DIV/0!</v>
      </c>
      <c r="I10">
        <f>'NQA prod'!D29</f>
        <v>112.7</v>
      </c>
      <c r="J10" s="98">
        <f t="shared" si="3"/>
        <v>-1.8292682926829174E-2</v>
      </c>
      <c r="K10" s="78">
        <f>'NQA prod'!G29/100</f>
        <v>-1.8000000000000002E-2</v>
      </c>
      <c r="L10" s="172" t="e">
        <f>D10-G10</f>
        <v>#DIV/0!</v>
      </c>
      <c r="M10" s="980" t="s">
        <v>1256</v>
      </c>
      <c r="N10" s="980"/>
      <c r="O10" s="980">
        <f>('NQA prod'!D29/'NQA prod'!D$28)*100</f>
        <v>98.170731707317088</v>
      </c>
      <c r="P10" t="e">
        <f>P9*(1+L10)</f>
        <v>#DIV/0!</v>
      </c>
      <c r="R10" s="980" t="s">
        <v>1256</v>
      </c>
      <c r="S10" s="980">
        <f>O10-100</f>
        <v>-1.8292682926829116</v>
      </c>
      <c r="T10" s="980" t="e">
        <f t="shared" si="4"/>
        <v>#DIV/0!</v>
      </c>
    </row>
    <row r="11" spans="2:21" ht="15.5">
      <c r="B11" s="980" t="s">
        <v>1257</v>
      </c>
      <c r="C11" s="981">
        <f>'NQA prod'!E30/100</f>
        <v>-7.9000000000000001E-2</v>
      </c>
      <c r="D11" s="173">
        <v>-0.21251596824148611</v>
      </c>
      <c r="E11" s="98">
        <f>'NQA prod'!F30/100</f>
        <v>0.24199999999999999</v>
      </c>
      <c r="F11" s="98">
        <f>'DHSC NHS Budgets'!M99</f>
        <v>0.28373624751127013</v>
      </c>
      <c r="G11" s="98">
        <f>'DHSC NHS Budgets'!M102</f>
        <v>-5.1553672316384191E-2</v>
      </c>
      <c r="H11" s="260" t="e">
        <f t="shared" ref="H11:H14" si="5">H10*(1+G11)</f>
        <v>#DIV/0!</v>
      </c>
      <c r="I11">
        <f>'NQA prod'!D30</f>
        <v>83.6</v>
      </c>
      <c r="J11" s="98">
        <f t="shared" si="3"/>
        <v>-0.25820763087843845</v>
      </c>
      <c r="K11" s="78">
        <f>'NQA prod'!G30/100</f>
        <v>-0.25900000000000001</v>
      </c>
      <c r="L11" s="172">
        <f t="shared" ref="L11:L12" si="6">D11-G11</f>
        <v>-0.16096229592510192</v>
      </c>
      <c r="M11" s="980" t="s">
        <v>1257</v>
      </c>
      <c r="N11" s="980"/>
      <c r="O11" s="980">
        <f>('NQA prod'!D30/'NQA prod'!D$28)*100</f>
        <v>72.822299651567945</v>
      </c>
      <c r="P11" t="e">
        <f>P10*(1+L11)</f>
        <v>#DIV/0!</v>
      </c>
      <c r="R11" s="980" t="s">
        <v>1257</v>
      </c>
      <c r="S11" s="980">
        <f>O11-100</f>
        <v>-27.177700348432055</v>
      </c>
      <c r="T11" s="980" t="e">
        <f t="shared" si="4"/>
        <v>#DIV/0!</v>
      </c>
    </row>
    <row r="12" spans="2:21" ht="15.5">
      <c r="B12" s="980" t="s">
        <v>1918</v>
      </c>
      <c r="D12" s="98">
        <v>0.22477085639655359</v>
      </c>
      <c r="F12" s="98">
        <f>'DHSC NHS Budgets'!N99</f>
        <v>9.2397548659488571E-3</v>
      </c>
      <c r="G12" s="98">
        <f>'DHSC NHS Budgets'!N102</f>
        <v>7.8291814946618299E-3</v>
      </c>
      <c r="H12" s="260" t="e">
        <f t="shared" si="5"/>
        <v>#DIV/0!</v>
      </c>
      <c r="I12">
        <f>'NQA prod'!D31</f>
        <v>0</v>
      </c>
      <c r="L12" s="172">
        <f t="shared" si="6"/>
        <v>0.21694167490189176</v>
      </c>
      <c r="M12" s="980" t="s">
        <v>1918</v>
      </c>
      <c r="N12" s="980"/>
      <c r="O12" s="980"/>
      <c r="P12" t="e">
        <f>P11*(1+L12)</f>
        <v>#DIV/0!</v>
      </c>
      <c r="R12" s="980" t="s">
        <v>1918</v>
      </c>
      <c r="S12" s="980"/>
      <c r="T12" s="980" t="e">
        <f t="shared" si="4"/>
        <v>#DIV/0!</v>
      </c>
    </row>
    <row r="13" spans="2:21" ht="15.5">
      <c r="B13" s="980" t="s">
        <v>1919</v>
      </c>
      <c r="D13" s="98">
        <v>3.0937808437267345E-2</v>
      </c>
      <c r="F13" s="98">
        <f>'DHSC NHS Budgets'!O99</f>
        <v>-9.5957522943504348E-2</v>
      </c>
      <c r="G13" s="98">
        <f>'DHSC NHS Budgets'!O102</f>
        <v>-6.2500000000000111E-2</v>
      </c>
      <c r="H13" s="260" t="e">
        <f t="shared" si="5"/>
        <v>#DIV/0!</v>
      </c>
      <c r="I13">
        <f>'NQA prod'!D32</f>
        <v>0</v>
      </c>
      <c r="L13" s="172">
        <f>D13-G13</f>
        <v>9.3437808437267456E-2</v>
      </c>
      <c r="M13" s="980" t="s">
        <v>1919</v>
      </c>
      <c r="N13" s="980"/>
      <c r="O13" s="980"/>
      <c r="P13" t="e">
        <f>P12*(1+L13)</f>
        <v>#DIV/0!</v>
      </c>
      <c r="R13" s="980" t="s">
        <v>1919</v>
      </c>
      <c r="S13" s="980"/>
      <c r="T13" s="980" t="e">
        <f t="shared" si="4"/>
        <v>#DIV/0!</v>
      </c>
    </row>
    <row r="14" spans="2:21" ht="15.5">
      <c r="B14" s="980" t="s">
        <v>1920</v>
      </c>
      <c r="D14" s="592">
        <v>2.4388913299629555E-2</v>
      </c>
      <c r="F14" s="98">
        <f>'DHSC NHS Budgets'!P99</f>
        <v>-4.811060637348985E-2</v>
      </c>
      <c r="G14" s="98">
        <f>'DHSC NHS Budgets'!P102</f>
        <v>-5.748109762339082E-2</v>
      </c>
      <c r="H14" s="260" t="e">
        <f t="shared" si="5"/>
        <v>#DIV/0!</v>
      </c>
      <c r="I14">
        <f>'NQA prod'!D33</f>
        <v>0</v>
      </c>
      <c r="L14" s="172">
        <f>D14-G14</f>
        <v>8.1870010923020375E-2</v>
      </c>
      <c r="M14" t="str">
        <f>B14</f>
        <v>2023/24 (Q1)</v>
      </c>
      <c r="N14" s="980"/>
      <c r="P14" t="e">
        <f>P13*(1+L14)</f>
        <v>#DIV/0!</v>
      </c>
      <c r="R14">
        <f>G14</f>
        <v>-5.748109762339082E-2</v>
      </c>
      <c r="S14" s="980"/>
      <c r="T14" s="980" t="e">
        <f t="shared" si="4"/>
        <v>#DIV/0!</v>
      </c>
    </row>
  </sheetData>
  <phoneticPr fontId="21" type="noConversion"/>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2785D-42B3-443A-9408-1C6C935F455C}">
  <dimension ref="A1:BZ42"/>
  <sheetViews>
    <sheetView topLeftCell="AC7" zoomScale="55" zoomScaleNormal="55" workbookViewId="0">
      <selection activeCell="AR41" sqref="AR41"/>
    </sheetView>
  </sheetViews>
  <sheetFormatPr defaultRowHeight="14.5"/>
  <cols>
    <col min="3" max="3" width="29.453125" bestFit="1" customWidth="1"/>
    <col min="4" max="4" width="29.453125" customWidth="1"/>
    <col min="5" max="5" width="30.1796875" bestFit="1" customWidth="1"/>
    <col min="6" max="6" width="22.453125" bestFit="1" customWidth="1"/>
    <col min="7" max="7" width="41.453125" bestFit="1" customWidth="1"/>
    <col min="8" max="9" width="36.54296875" bestFit="1" customWidth="1"/>
    <col min="15" max="15" width="22.54296875" bestFit="1" customWidth="1"/>
    <col min="16" max="16" width="25.81640625" bestFit="1" customWidth="1"/>
    <col min="17" max="17" width="16.81640625" bestFit="1" customWidth="1"/>
    <col min="18" max="18" width="11.453125" bestFit="1" customWidth="1"/>
    <col min="21" max="21" width="30.54296875" bestFit="1" customWidth="1"/>
    <col min="22" max="25" width="10.1796875" bestFit="1" customWidth="1"/>
    <col min="26" max="26" width="12" bestFit="1" customWidth="1"/>
    <col min="28" max="28" width="10.54296875" bestFit="1" customWidth="1"/>
    <col min="29" max="29" width="10.54296875" customWidth="1"/>
    <col min="41" max="41" width="12.453125" bestFit="1" customWidth="1"/>
    <col min="49" max="49" width="22.54296875" bestFit="1" customWidth="1"/>
    <col min="50" max="50" width="23.453125" bestFit="1" customWidth="1"/>
    <col min="51" max="51" width="15.453125" bestFit="1" customWidth="1"/>
    <col min="52" max="52" width="20" customWidth="1"/>
    <col min="53" max="55" width="14.54296875" bestFit="1" customWidth="1"/>
    <col min="58" max="60" width="16.1796875" bestFit="1" customWidth="1"/>
    <col min="61" max="61" width="15.54296875" bestFit="1" customWidth="1"/>
  </cols>
  <sheetData>
    <row r="1" spans="1:78">
      <c r="A1" t="s">
        <v>790</v>
      </c>
      <c r="B1" t="s">
        <v>1921</v>
      </c>
      <c r="C1" s="982" t="s">
        <v>1922</v>
      </c>
      <c r="D1" t="s">
        <v>1923</v>
      </c>
      <c r="E1" t="s">
        <v>1924</v>
      </c>
      <c r="F1" t="s">
        <v>1925</v>
      </c>
      <c r="G1" t="s">
        <v>1926</v>
      </c>
      <c r="H1" t="s">
        <v>1927</v>
      </c>
      <c r="I1" t="s">
        <v>1928</v>
      </c>
    </row>
    <row r="2" spans="1:78">
      <c r="A2">
        <v>2007</v>
      </c>
      <c r="C2">
        <v>10046351</v>
      </c>
      <c r="D2" s="260">
        <f t="shared" ref="D2:D12" si="0">C2-(F2+E2)</f>
        <v>2970195</v>
      </c>
      <c r="E2">
        <v>3516698</v>
      </c>
      <c r="F2">
        <v>3559458</v>
      </c>
      <c r="G2">
        <v>40442505</v>
      </c>
      <c r="H2">
        <v>12309362</v>
      </c>
      <c r="I2">
        <v>28067156</v>
      </c>
    </row>
    <row r="3" spans="1:78">
      <c r="A3">
        <v>2008</v>
      </c>
      <c r="C3">
        <v>14036927</v>
      </c>
      <c r="D3" s="260">
        <f t="shared" si="0"/>
        <v>3962372</v>
      </c>
      <c r="E3">
        <v>5138507</v>
      </c>
      <c r="F3">
        <v>4936048</v>
      </c>
      <c r="G3">
        <v>59151820</v>
      </c>
      <c r="H3">
        <v>18194138</v>
      </c>
      <c r="I3">
        <v>40910875</v>
      </c>
    </row>
    <row r="4" spans="1:78">
      <c r="A4">
        <v>2009</v>
      </c>
      <c r="C4">
        <v>14441510</v>
      </c>
      <c r="D4" s="260">
        <f t="shared" si="0"/>
        <v>3881957</v>
      </c>
      <c r="E4">
        <v>5406779</v>
      </c>
      <c r="F4">
        <v>5152774</v>
      </c>
      <c r="G4">
        <v>65703836</v>
      </c>
      <c r="H4">
        <v>20382812</v>
      </c>
      <c r="I4">
        <v>45239746</v>
      </c>
    </row>
    <row r="5" spans="1:78">
      <c r="A5">
        <v>2010</v>
      </c>
      <c r="C5">
        <v>14812623</v>
      </c>
      <c r="D5" s="260">
        <f t="shared" si="0"/>
        <v>3920559</v>
      </c>
      <c r="E5">
        <v>5639328</v>
      </c>
      <c r="F5">
        <v>5252736</v>
      </c>
      <c r="G5">
        <v>69345232</v>
      </c>
      <c r="H5">
        <v>21206425</v>
      </c>
      <c r="I5">
        <v>48110356</v>
      </c>
    </row>
    <row r="6" spans="1:78">
      <c r="A6">
        <v>2011</v>
      </c>
      <c r="C6">
        <v>14884417</v>
      </c>
      <c r="D6" s="260">
        <f t="shared" si="0"/>
        <v>3840256</v>
      </c>
      <c r="E6">
        <v>5816637</v>
      </c>
      <c r="F6">
        <v>5227524</v>
      </c>
      <c r="G6">
        <v>71790979</v>
      </c>
      <c r="H6">
        <v>21582007</v>
      </c>
      <c r="I6">
        <v>50205387</v>
      </c>
    </row>
    <row r="7" spans="1:78">
      <c r="A7">
        <v>2012</v>
      </c>
      <c r="C7">
        <v>15252399</v>
      </c>
      <c r="D7" s="260">
        <f t="shared" si="0"/>
        <v>3802617</v>
      </c>
      <c r="E7">
        <v>6090043</v>
      </c>
      <c r="F7">
        <v>5359739</v>
      </c>
      <c r="G7">
        <v>75453519</v>
      </c>
      <c r="H7">
        <v>22680182</v>
      </c>
      <c r="I7">
        <v>52772715</v>
      </c>
    </row>
    <row r="8" spans="1:78">
      <c r="A8">
        <v>2013</v>
      </c>
      <c r="C8">
        <v>15288842</v>
      </c>
      <c r="D8" s="260">
        <f t="shared" si="0"/>
        <v>3701565</v>
      </c>
      <c r="E8">
        <v>6228323</v>
      </c>
      <c r="F8">
        <v>5358954</v>
      </c>
      <c r="G8">
        <v>80216652</v>
      </c>
      <c r="H8">
        <v>23965676</v>
      </c>
      <c r="I8">
        <v>56227083</v>
      </c>
    </row>
    <row r="9" spans="1:78">
      <c r="A9">
        <v>2014</v>
      </c>
      <c r="C9">
        <v>15843117</v>
      </c>
      <c r="D9" s="260">
        <f t="shared" si="0"/>
        <v>3730665</v>
      </c>
      <c r="E9">
        <v>6507036</v>
      </c>
      <c r="F9">
        <v>5605416</v>
      </c>
      <c r="G9">
        <v>84634083</v>
      </c>
      <c r="H9">
        <v>25574561</v>
      </c>
      <c r="I9">
        <v>58890248</v>
      </c>
    </row>
    <row r="10" spans="1:78">
      <c r="A10">
        <v>2015</v>
      </c>
      <c r="C10">
        <v>16158360</v>
      </c>
      <c r="D10" s="260">
        <f t="shared" si="0"/>
        <v>3631173</v>
      </c>
      <c r="E10">
        <v>6846460</v>
      </c>
      <c r="F10">
        <v>5680727</v>
      </c>
      <c r="G10">
        <v>88750849</v>
      </c>
      <c r="H10">
        <v>26956555</v>
      </c>
      <c r="I10">
        <v>61407478</v>
      </c>
    </row>
    <row r="11" spans="1:78">
      <c r="A11">
        <v>2016</v>
      </c>
      <c r="C11">
        <v>16457240</v>
      </c>
      <c r="D11" s="260">
        <f t="shared" si="0"/>
        <v>3546751</v>
      </c>
      <c r="E11">
        <v>7027172</v>
      </c>
      <c r="F11">
        <v>5883317</v>
      </c>
      <c r="G11">
        <v>92361111</v>
      </c>
      <c r="H11">
        <v>28562970</v>
      </c>
      <c r="I11">
        <v>63459870</v>
      </c>
    </row>
    <row r="12" spans="1:78">
      <c r="A12">
        <v>2017</v>
      </c>
      <c r="C12">
        <v>16646943</v>
      </c>
      <c r="D12" s="260">
        <f t="shared" si="0"/>
        <v>3457285</v>
      </c>
      <c r="E12">
        <v>7170759</v>
      </c>
      <c r="F12">
        <v>6018899</v>
      </c>
      <c r="G12">
        <v>94126958</v>
      </c>
      <c r="H12">
        <v>29397580</v>
      </c>
      <c r="I12">
        <v>64437088</v>
      </c>
    </row>
    <row r="13" spans="1:78">
      <c r="A13">
        <v>2018</v>
      </c>
      <c r="B13" t="s">
        <v>1929</v>
      </c>
      <c r="C13" s="260">
        <v>4133189</v>
      </c>
      <c r="D13" s="260">
        <f>C13-(F13+E13)</f>
        <v>796307</v>
      </c>
      <c r="E13">
        <v>1785245</v>
      </c>
      <c r="F13">
        <v>1551637</v>
      </c>
      <c r="G13">
        <v>23418787</v>
      </c>
      <c r="H13">
        <v>7301172</v>
      </c>
      <c r="I13">
        <v>16047239</v>
      </c>
    </row>
    <row r="14" spans="1:78">
      <c r="B14" t="s">
        <v>1930</v>
      </c>
      <c r="C14" s="260">
        <v>4225951</v>
      </c>
      <c r="D14" s="260">
        <f t="shared" ref="D14:D34" si="1">C14-(F14+E14)</f>
        <v>832583</v>
      </c>
      <c r="E14">
        <v>1821942</v>
      </c>
      <c r="F14">
        <v>1571426</v>
      </c>
      <c r="G14">
        <v>24097484</v>
      </c>
      <c r="H14">
        <v>7595009</v>
      </c>
      <c r="I14">
        <v>16496221</v>
      </c>
      <c r="AP14">
        <v>751.9009542</v>
      </c>
    </row>
    <row r="15" spans="1:78">
      <c r="B15" t="s">
        <v>1931</v>
      </c>
      <c r="C15" s="260">
        <v>4223608</v>
      </c>
      <c r="D15" s="260">
        <f t="shared" si="1"/>
        <v>841150</v>
      </c>
      <c r="E15">
        <v>1811224</v>
      </c>
      <c r="F15">
        <v>1571234</v>
      </c>
      <c r="G15">
        <v>23601666</v>
      </c>
      <c r="H15">
        <v>7453842</v>
      </c>
      <c r="I15">
        <v>16142479</v>
      </c>
      <c r="O15" t="s">
        <v>1932</v>
      </c>
      <c r="BK15" t="s">
        <v>1910</v>
      </c>
      <c r="BO15" t="s">
        <v>1933</v>
      </c>
      <c r="BS15" t="s">
        <v>1934</v>
      </c>
      <c r="BW15" t="s">
        <v>1935</v>
      </c>
    </row>
    <row r="16" spans="1:78">
      <c r="B16" t="s">
        <v>1936</v>
      </c>
      <c r="C16" s="260">
        <v>4352234</v>
      </c>
      <c r="D16" s="260">
        <f t="shared" si="1"/>
        <v>832123</v>
      </c>
      <c r="E16">
        <v>1861315</v>
      </c>
      <c r="F16">
        <v>1658796</v>
      </c>
      <c r="G16">
        <v>24336928</v>
      </c>
      <c r="H16">
        <v>7711243</v>
      </c>
      <c r="I16">
        <v>16618712</v>
      </c>
      <c r="O16" t="s">
        <v>1937</v>
      </c>
      <c r="P16" t="s">
        <v>1938</v>
      </c>
      <c r="Q16" t="s">
        <v>1939</v>
      </c>
      <c r="U16" t="s">
        <v>1940</v>
      </c>
      <c r="V16" t="s">
        <v>1941</v>
      </c>
      <c r="W16" t="s">
        <v>1942</v>
      </c>
      <c r="X16" t="s">
        <v>1943</v>
      </c>
      <c r="Y16" t="s">
        <v>1944</v>
      </c>
      <c r="Z16" t="s">
        <v>1063</v>
      </c>
      <c r="AA16" t="s">
        <v>1945</v>
      </c>
      <c r="AB16" t="s">
        <v>1946</v>
      </c>
      <c r="AD16" t="s">
        <v>1937</v>
      </c>
      <c r="AE16" t="s">
        <v>1938</v>
      </c>
      <c r="AF16" t="s">
        <v>1939</v>
      </c>
      <c r="AG16" t="s">
        <v>1940</v>
      </c>
      <c r="AH16" t="s">
        <v>1941</v>
      </c>
      <c r="AI16" t="s">
        <v>1942</v>
      </c>
      <c r="AJ16" t="s">
        <v>1943</v>
      </c>
      <c r="AK16" t="s">
        <v>1944</v>
      </c>
      <c r="AL16" t="s">
        <v>1063</v>
      </c>
      <c r="AM16" t="s">
        <v>1947</v>
      </c>
      <c r="AO16" t="s">
        <v>1937</v>
      </c>
      <c r="AP16" t="s">
        <v>1938</v>
      </c>
      <c r="AQ16" t="s">
        <v>1939</v>
      </c>
      <c r="AR16" t="s">
        <v>1940</v>
      </c>
      <c r="AS16" t="s">
        <v>1943</v>
      </c>
      <c r="AT16" t="s">
        <v>1944</v>
      </c>
      <c r="AU16" t="s">
        <v>1063</v>
      </c>
      <c r="AW16" t="s">
        <v>1937</v>
      </c>
      <c r="AX16" t="s">
        <v>1938</v>
      </c>
      <c r="AY16" t="s">
        <v>1939</v>
      </c>
      <c r="AZ16" t="s">
        <v>1940</v>
      </c>
      <c r="BA16" t="s">
        <v>1943</v>
      </c>
      <c r="BB16" t="s">
        <v>1944</v>
      </c>
      <c r="BC16" t="s">
        <v>1063</v>
      </c>
      <c r="BF16" t="s">
        <v>26</v>
      </c>
      <c r="BG16" t="s">
        <v>1948</v>
      </c>
      <c r="BH16" t="s">
        <v>1949</v>
      </c>
      <c r="BI16" t="s">
        <v>1950</v>
      </c>
      <c r="BK16" t="s">
        <v>26</v>
      </c>
      <c r="BL16" t="s">
        <v>1948</v>
      </c>
      <c r="BM16" t="s">
        <v>1949</v>
      </c>
      <c r="BN16" t="s">
        <v>1950</v>
      </c>
      <c r="BO16" t="s">
        <v>26</v>
      </c>
      <c r="BP16" t="s">
        <v>1948</v>
      </c>
      <c r="BQ16" t="s">
        <v>1949</v>
      </c>
      <c r="BR16" t="s">
        <v>1950</v>
      </c>
      <c r="BS16" t="s">
        <v>26</v>
      </c>
      <c r="BT16" t="s">
        <v>1948</v>
      </c>
      <c r="BU16" t="s">
        <v>1949</v>
      </c>
      <c r="BV16" t="s">
        <v>1950</v>
      </c>
      <c r="BW16" t="s">
        <v>26</v>
      </c>
      <c r="BX16" t="s">
        <v>1948</v>
      </c>
      <c r="BY16" t="s">
        <v>1949</v>
      </c>
      <c r="BZ16" t="s">
        <v>1950</v>
      </c>
    </row>
    <row r="17" spans="1:78">
      <c r="A17">
        <v>2019</v>
      </c>
      <c r="B17" t="s">
        <v>1929</v>
      </c>
      <c r="C17" s="260">
        <v>4325705</v>
      </c>
      <c r="D17" s="260">
        <f t="shared" si="1"/>
        <v>797458</v>
      </c>
      <c r="E17">
        <v>1891744</v>
      </c>
      <c r="F17">
        <v>1636503</v>
      </c>
      <c r="G17">
        <v>24384036</v>
      </c>
      <c r="H17">
        <v>7683989</v>
      </c>
      <c r="I17">
        <v>16693215</v>
      </c>
      <c r="M17" t="s">
        <v>1951</v>
      </c>
      <c r="N17" t="s">
        <v>1034</v>
      </c>
      <c r="O17" s="304">
        <f>SUM(D14:D17)</f>
        <v>3303314</v>
      </c>
      <c r="P17" s="304">
        <f t="shared" ref="P17:Q32" si="2">SUM(E14:E17)</f>
        <v>7386225</v>
      </c>
      <c r="Q17" s="304">
        <f t="shared" si="2"/>
        <v>6437959</v>
      </c>
      <c r="R17" s="304"/>
      <c r="S17" s="304"/>
      <c r="T17" s="304"/>
      <c r="U17" s="304">
        <v>96420114</v>
      </c>
      <c r="V17" s="304">
        <v>30444083</v>
      </c>
      <c r="W17" s="304">
        <v>65950627</v>
      </c>
      <c r="X17" s="304">
        <v>24826982</v>
      </c>
      <c r="Y17" s="304">
        <v>26538691</v>
      </c>
      <c r="Z17" s="304">
        <v>275406840</v>
      </c>
      <c r="AA17" s="304">
        <v>62500</v>
      </c>
      <c r="AB17">
        <f>Z17/AA17</f>
        <v>4406.5094399999998</v>
      </c>
      <c r="AC17" s="78">
        <f>(AB17/AB$17)-1</f>
        <v>0</v>
      </c>
      <c r="AD17">
        <f t="shared" ref="AD17:AD34" si="3">(O17/O$17)*100</f>
        <v>100</v>
      </c>
      <c r="AE17">
        <f t="shared" ref="AE17:AE34" si="4">(P17/P$17)*100</f>
        <v>100</v>
      </c>
      <c r="AF17">
        <f t="shared" ref="AF17:AF34" si="5">(Q17/Q$17)*100</f>
        <v>100</v>
      </c>
      <c r="AG17">
        <f t="shared" ref="AG17:AL17" si="6">(U17/U$17)*100</f>
        <v>100</v>
      </c>
      <c r="AH17">
        <f t="shared" si="6"/>
        <v>100</v>
      </c>
      <c r="AI17">
        <f t="shared" si="6"/>
        <v>100</v>
      </c>
      <c r="AJ17">
        <f t="shared" si="6"/>
        <v>100</v>
      </c>
      <c r="AK17">
        <f t="shared" si="6"/>
        <v>100</v>
      </c>
      <c r="AL17">
        <f t="shared" si="6"/>
        <v>100</v>
      </c>
      <c r="AO17" s="304">
        <v>4078</v>
      </c>
      <c r="AP17" s="304">
        <f>AO17</f>
        <v>4078</v>
      </c>
      <c r="AQ17">
        <v>1687.430607</v>
      </c>
      <c r="AR17">
        <v>154.19409630000001</v>
      </c>
      <c r="AS17">
        <v>166.0463154</v>
      </c>
      <c r="AT17">
        <v>245.0263094</v>
      </c>
      <c r="AU17" s="983">
        <v>27.92</v>
      </c>
      <c r="AW17" s="304">
        <f>AO17*O17</f>
        <v>13470914492</v>
      </c>
      <c r="AX17" s="304">
        <f t="shared" ref="AX17:BC32" si="7">AP17*P17</f>
        <v>30121025550</v>
      </c>
      <c r="AY17" s="304">
        <f t="shared" si="7"/>
        <v>10863609063.211113</v>
      </c>
      <c r="AZ17" s="304">
        <f>AR17*U17</f>
        <v>14867412343.37298</v>
      </c>
      <c r="BA17" s="304">
        <f>AS17*X17</f>
        <v>4122428883.6021228</v>
      </c>
      <c r="BB17" s="304">
        <f>AT17*Y17</f>
        <v>6502677512.0369959</v>
      </c>
      <c r="BC17" s="304">
        <f>AU17*Z17</f>
        <v>7689358972.8000002</v>
      </c>
      <c r="BE17" t="s">
        <v>1952</v>
      </c>
      <c r="BF17" s="304">
        <f>SUM(AW17:BC17)</f>
        <v>87637426817.023224</v>
      </c>
      <c r="BG17" s="304">
        <f>SUM(AW17:BA17)</f>
        <v>73445390332.186218</v>
      </c>
      <c r="BH17" s="304">
        <f t="shared" ref="BH17:BH33" si="8">(AW17+AY17)</f>
        <v>24334523555.211113</v>
      </c>
      <c r="BI17" s="304">
        <f>SUM(BB17:BC17)</f>
        <v>14192036484.836996</v>
      </c>
      <c r="BJ17" t="s">
        <v>1952</v>
      </c>
      <c r="BK17">
        <f>(BF17/BF$17)*100</f>
        <v>100</v>
      </c>
      <c r="BL17">
        <f>(BG17/BG$17)*100</f>
        <v>100</v>
      </c>
      <c r="BM17">
        <f>(BH17/BH$17)*100</f>
        <v>100</v>
      </c>
      <c r="BN17">
        <f>(BI17/BI$17)*100</f>
        <v>100</v>
      </c>
      <c r="BO17">
        <f>BK17-100</f>
        <v>0</v>
      </c>
      <c r="BP17">
        <f t="shared" ref="BP17:BR32" si="9">BL17-100</f>
        <v>0</v>
      </c>
      <c r="BQ17">
        <f t="shared" si="9"/>
        <v>0</v>
      </c>
      <c r="BR17">
        <f t="shared" si="9"/>
        <v>0</v>
      </c>
    </row>
    <row r="18" spans="1:78">
      <c r="B18" t="s">
        <v>1930</v>
      </c>
      <c r="C18">
        <v>4316413</v>
      </c>
      <c r="D18" s="260">
        <f t="shared" si="1"/>
        <v>825844</v>
      </c>
      <c r="E18">
        <v>1852030</v>
      </c>
      <c r="F18">
        <v>1638539</v>
      </c>
      <c r="G18">
        <v>23996677</v>
      </c>
      <c r="H18">
        <v>7734300</v>
      </c>
      <c r="I18">
        <v>16256393</v>
      </c>
      <c r="O18" s="304">
        <f t="shared" ref="O18:O34" si="10">SUM(D15:D18)</f>
        <v>3296575</v>
      </c>
      <c r="P18" s="304">
        <f t="shared" si="2"/>
        <v>7416313</v>
      </c>
      <c r="Q18" s="304">
        <f t="shared" si="2"/>
        <v>6505072</v>
      </c>
      <c r="R18" s="304"/>
      <c r="S18" s="304"/>
      <c r="T18" s="304"/>
      <c r="U18" s="304">
        <v>96319307</v>
      </c>
      <c r="V18" s="304">
        <v>30583374</v>
      </c>
      <c r="W18" s="304">
        <v>65710799</v>
      </c>
      <c r="X18" s="304">
        <v>24976371</v>
      </c>
      <c r="Y18" s="304">
        <v>26399256</v>
      </c>
      <c r="AD18">
        <f t="shared" si="3"/>
        <v>99.795992751521652</v>
      </c>
      <c r="AE18">
        <f t="shared" si="4"/>
        <v>100.40735287646937</v>
      </c>
      <c r="AF18">
        <f t="shared" si="5"/>
        <v>101.04245771058808</v>
      </c>
      <c r="AG18">
        <f t="shared" ref="AG18:AG34" si="11">(U18/U$17)*100</f>
        <v>99.895450237696252</v>
      </c>
      <c r="AH18">
        <f t="shared" ref="AH18:AH34" si="12">(V18/V$17)*100</f>
        <v>100.45753061440543</v>
      </c>
      <c r="AI18">
        <f t="shared" ref="AI18:AI34" si="13">(W18/W$17)*100</f>
        <v>99.636352206325498</v>
      </c>
      <c r="AJ18">
        <f t="shared" ref="AJ18:AJ34" si="14">(X18/X$17)*100</f>
        <v>100.60172033797745</v>
      </c>
      <c r="AK18">
        <f t="shared" ref="AK18:AK34" si="15">(Y18/Y$17)*100</f>
        <v>99.474597296452941</v>
      </c>
      <c r="AO18" s="304">
        <v>4079</v>
      </c>
      <c r="AP18" s="304">
        <f t="shared" ref="AP18:AP34" si="16">AO18</f>
        <v>4079</v>
      </c>
      <c r="AQ18" s="304">
        <v>4079</v>
      </c>
      <c r="AR18">
        <v>154.19409630000001</v>
      </c>
      <c r="AS18">
        <v>166.0463154</v>
      </c>
      <c r="AT18">
        <v>245.0263094</v>
      </c>
      <c r="AU18" s="983">
        <v>27.92</v>
      </c>
      <c r="AW18" s="304">
        <f t="shared" ref="AW18:AW34" si="17">AO18*O18</f>
        <v>13446729425</v>
      </c>
      <c r="AX18" s="304">
        <f t="shared" si="7"/>
        <v>30251140727</v>
      </c>
      <c r="AY18" s="304">
        <f t="shared" si="7"/>
        <v>26534188688</v>
      </c>
      <c r="AZ18" s="304">
        <f t="shared" ref="AZ18:AZ34" si="18">AR18*U18</f>
        <v>14851868499.107265</v>
      </c>
      <c r="BA18" s="304">
        <f t="shared" ref="BA18:BA34" si="19">AS18*X18</f>
        <v>4147234376.6134133</v>
      </c>
      <c r="BB18" s="304">
        <f t="shared" ref="BB18:BB34" si="20">AT18*Y18</f>
        <v>6468512268.5858068</v>
      </c>
      <c r="BC18" s="304">
        <f>BC17*(1+BD21)</f>
        <v>7789320639.4463997</v>
      </c>
      <c r="BE18" t="s">
        <v>1953</v>
      </c>
      <c r="BF18" s="304">
        <f t="shared" ref="BF18:BF34" si="21">SUM(AW18:BC18)</f>
        <v>103488994623.75288</v>
      </c>
      <c r="BG18" s="304">
        <f t="shared" ref="BG18:BG34" si="22">SUM(AW18:BA18)</f>
        <v>89231161715.720688</v>
      </c>
      <c r="BH18" s="304">
        <f t="shared" si="8"/>
        <v>39980918113</v>
      </c>
      <c r="BI18" s="304">
        <f t="shared" ref="BI18:BI34" si="23">SUM(BB18:BC18)</f>
        <v>14257832908.032207</v>
      </c>
      <c r="BJ18" t="s">
        <v>1953</v>
      </c>
      <c r="BK18">
        <f t="shared" ref="BK18:BK34" si="24">(BF18/BF$17)*100</f>
        <v>118.08766914143416</v>
      </c>
      <c r="BL18">
        <f t="shared" ref="BL18:BL34" si="25">(BG18/BG$17)*100</f>
        <v>121.49320918867336</v>
      </c>
      <c r="BM18">
        <f t="shared" ref="BM18:BM20" si="26">(BH18/BH$17)*100</f>
        <v>164.29710662832474</v>
      </c>
      <c r="BN18">
        <f t="shared" ref="BN18:BN34" si="27">(BI18/BI$17)*100</f>
        <v>100.46361509333428</v>
      </c>
      <c r="BO18">
        <f t="shared" ref="BO18:BR34" si="28">BK18-100</f>
        <v>18.087669141434162</v>
      </c>
      <c r="BP18">
        <f t="shared" si="9"/>
        <v>21.493209188673362</v>
      </c>
      <c r="BQ18">
        <f t="shared" si="9"/>
        <v>64.297106628324741</v>
      </c>
      <c r="BR18">
        <f t="shared" si="9"/>
        <v>0.4636150933342833</v>
      </c>
    </row>
    <row r="19" spans="1:78">
      <c r="B19" t="s">
        <v>1931</v>
      </c>
      <c r="C19">
        <v>4380376</v>
      </c>
      <c r="D19" s="260">
        <f t="shared" si="1"/>
        <v>841789</v>
      </c>
      <c r="E19">
        <v>1904089</v>
      </c>
      <c r="F19">
        <v>1634498</v>
      </c>
      <c r="G19">
        <v>24463687</v>
      </c>
      <c r="H19">
        <v>7918575</v>
      </c>
      <c r="I19">
        <v>16539655</v>
      </c>
      <c r="O19" s="304">
        <f t="shared" si="10"/>
        <v>3297214</v>
      </c>
      <c r="P19" s="304">
        <f t="shared" si="2"/>
        <v>7509178</v>
      </c>
      <c r="Q19" s="304">
        <f t="shared" si="2"/>
        <v>6568336</v>
      </c>
      <c r="R19" s="304">
        <f>SUM(O19:Q19)</f>
        <v>17374728</v>
      </c>
      <c r="S19" s="304">
        <v>112037.71317666666</v>
      </c>
      <c r="T19" s="304">
        <f>R19/S19</f>
        <v>155.07928096142646</v>
      </c>
      <c r="U19" s="304">
        <v>97181328</v>
      </c>
      <c r="V19" s="304">
        <v>31048107</v>
      </c>
      <c r="W19" s="304">
        <v>66107975</v>
      </c>
      <c r="X19" s="304">
        <v>25306756</v>
      </c>
      <c r="Y19" s="304">
        <v>26286206</v>
      </c>
      <c r="AD19">
        <f t="shared" si="3"/>
        <v>99.815336961608864</v>
      </c>
      <c r="AE19">
        <f t="shared" si="4"/>
        <v>101.66462570528248</v>
      </c>
      <c r="AF19">
        <f t="shared" si="5"/>
        <v>102.02512939271593</v>
      </c>
      <c r="AG19">
        <f t="shared" si="11"/>
        <v>100.78947635345048</v>
      </c>
      <c r="AH19">
        <f t="shared" si="12"/>
        <v>101.98404399304783</v>
      </c>
      <c r="AI19">
        <f t="shared" si="13"/>
        <v>100.2385845399165</v>
      </c>
      <c r="AJ19">
        <f t="shared" si="14"/>
        <v>101.93247008436224</v>
      </c>
      <c r="AK19">
        <f t="shared" si="15"/>
        <v>99.048615472405928</v>
      </c>
      <c r="AO19" s="304">
        <f>AO18</f>
        <v>4079</v>
      </c>
      <c r="AP19" s="304">
        <f t="shared" si="16"/>
        <v>4079</v>
      </c>
      <c r="AQ19" s="304">
        <f>AQ18</f>
        <v>4079</v>
      </c>
      <c r="AR19">
        <v>154.19409630000001</v>
      </c>
      <c r="AS19">
        <v>166.0463154</v>
      </c>
      <c r="AT19">
        <v>245.0263094</v>
      </c>
      <c r="AU19" s="983">
        <v>27.92</v>
      </c>
      <c r="AW19" s="304">
        <f t="shared" si="17"/>
        <v>13449335906</v>
      </c>
      <c r="AX19" s="304">
        <f t="shared" si="7"/>
        <v>30629937062</v>
      </c>
      <c r="AY19" s="304">
        <f t="shared" si="7"/>
        <v>26792242544</v>
      </c>
      <c r="AZ19" s="304">
        <f t="shared" si="18"/>
        <v>14984787048.193888</v>
      </c>
      <c r="BA19" s="304">
        <f t="shared" si="19"/>
        <v>4202093588.5268421</v>
      </c>
      <c r="BB19" s="304">
        <f t="shared" si="20"/>
        <v>6440812044.308136</v>
      </c>
      <c r="BC19" s="304">
        <f t="shared" ref="BC19:BC20" si="29">BC18*(1+BD22)</f>
        <v>7789320639.4463997</v>
      </c>
      <c r="BE19" t="s">
        <v>1954</v>
      </c>
      <c r="BF19" s="304">
        <f t="shared" si="21"/>
        <v>104288528832.47527</v>
      </c>
      <c r="BG19" s="304">
        <f t="shared" si="22"/>
        <v>90058396148.720734</v>
      </c>
      <c r="BH19" s="304">
        <f t="shared" si="8"/>
        <v>40241578450</v>
      </c>
      <c r="BI19" s="304">
        <f t="shared" si="23"/>
        <v>14230132683.754536</v>
      </c>
      <c r="BJ19" t="s">
        <v>1954</v>
      </c>
      <c r="BK19">
        <f t="shared" si="24"/>
        <v>118.99998963937817</v>
      </c>
      <c r="BL19">
        <f t="shared" si="25"/>
        <v>122.61953506053347</v>
      </c>
      <c r="BM19">
        <f t="shared" si="26"/>
        <v>165.3682610990856</v>
      </c>
      <c r="BN19">
        <f t="shared" si="27"/>
        <v>100.2684336314823</v>
      </c>
      <c r="BO19">
        <f t="shared" si="28"/>
        <v>18.999989639378171</v>
      </c>
      <c r="BP19">
        <f t="shared" si="9"/>
        <v>22.619535060533465</v>
      </c>
      <c r="BQ19">
        <f t="shared" si="9"/>
        <v>65.368261099085601</v>
      </c>
      <c r="BR19">
        <f t="shared" si="9"/>
        <v>0.26843363148229571</v>
      </c>
    </row>
    <row r="20" spans="1:78">
      <c r="B20" t="s">
        <v>1936</v>
      </c>
      <c r="C20">
        <v>4432462</v>
      </c>
      <c r="D20" s="260">
        <f t="shared" si="1"/>
        <v>824320</v>
      </c>
      <c r="E20">
        <v>1901634</v>
      </c>
      <c r="F20">
        <v>1706508</v>
      </c>
      <c r="G20">
        <v>24541299</v>
      </c>
      <c r="H20">
        <v>7938748</v>
      </c>
      <c r="I20">
        <v>16593864</v>
      </c>
      <c r="O20" s="304">
        <f t="shared" si="10"/>
        <v>3289411</v>
      </c>
      <c r="P20" s="304">
        <f t="shared" si="2"/>
        <v>7549497</v>
      </c>
      <c r="Q20" s="304">
        <f t="shared" si="2"/>
        <v>6616048</v>
      </c>
      <c r="R20" s="304">
        <f t="shared" ref="R20:R34" si="30">SUM(O20:Q20)</f>
        <v>17454956</v>
      </c>
      <c r="S20" s="304">
        <v>114781.88190333334</v>
      </c>
      <c r="T20" s="304">
        <f t="shared" ref="T20:T34" si="31">R20/S20</f>
        <v>152.07065532084727</v>
      </c>
      <c r="U20" s="304">
        <v>97385699</v>
      </c>
      <c r="V20" s="304">
        <v>31275612</v>
      </c>
      <c r="W20" s="304">
        <v>66083127</v>
      </c>
      <c r="X20" s="304">
        <v>25636826</v>
      </c>
      <c r="Y20" s="304">
        <v>26291603</v>
      </c>
      <c r="AD20">
        <f t="shared" si="3"/>
        <v>99.579119635614418</v>
      </c>
      <c r="AE20">
        <f t="shared" si="4"/>
        <v>102.21049318156432</v>
      </c>
      <c r="AF20">
        <f t="shared" si="5"/>
        <v>102.76623383280324</v>
      </c>
      <c r="AG20">
        <f t="shared" si="11"/>
        <v>101.00143523995419</v>
      </c>
      <c r="AH20">
        <f t="shared" si="12"/>
        <v>102.73133206212846</v>
      </c>
      <c r="AI20">
        <f t="shared" si="13"/>
        <v>100.20090787006468</v>
      </c>
      <c r="AJ20">
        <f t="shared" si="14"/>
        <v>103.26195104986986</v>
      </c>
      <c r="AK20">
        <f t="shared" si="15"/>
        <v>99.068951818309344</v>
      </c>
      <c r="AO20" s="995">
        <f>AO19</f>
        <v>4079</v>
      </c>
      <c r="AP20" s="304">
        <f t="shared" si="16"/>
        <v>4079</v>
      </c>
      <c r="AQ20" s="995">
        <f>AQ19</f>
        <v>4079</v>
      </c>
      <c r="AR20">
        <v>154.19409630000001</v>
      </c>
      <c r="AS20">
        <v>166.0463154</v>
      </c>
      <c r="AT20">
        <v>245.0263094</v>
      </c>
      <c r="AU20" s="983">
        <v>27.92</v>
      </c>
      <c r="AW20" s="304">
        <f t="shared" si="17"/>
        <v>13417507469</v>
      </c>
      <c r="AX20" s="304">
        <f t="shared" si="7"/>
        <v>30794398263</v>
      </c>
      <c r="AY20" s="304">
        <f t="shared" si="7"/>
        <v>26986859792</v>
      </c>
      <c r="AZ20" s="304">
        <f t="shared" si="18"/>
        <v>15016299849.848814</v>
      </c>
      <c r="BA20" s="304">
        <f t="shared" si="19"/>
        <v>4256900495.8509202</v>
      </c>
      <c r="BB20" s="304">
        <f t="shared" si="20"/>
        <v>6442134451.2999687</v>
      </c>
      <c r="BC20" s="304">
        <f t="shared" si="29"/>
        <v>7789320639.4463997</v>
      </c>
      <c r="BE20" t="s">
        <v>1955</v>
      </c>
      <c r="BF20" s="304">
        <f t="shared" si="21"/>
        <v>104703420960.44611</v>
      </c>
      <c r="BG20" s="304">
        <f t="shared" si="22"/>
        <v>90471965869.699738</v>
      </c>
      <c r="BH20" s="304">
        <f t="shared" si="8"/>
        <v>40404367261</v>
      </c>
      <c r="BI20" s="304">
        <f t="shared" si="23"/>
        <v>14231455090.746368</v>
      </c>
      <c r="BJ20" t="s">
        <v>1955</v>
      </c>
      <c r="BK20">
        <f t="shared" si="24"/>
        <v>119.47340852334094</v>
      </c>
      <c r="BL20">
        <f t="shared" si="25"/>
        <v>123.18263332865958</v>
      </c>
      <c r="BM20">
        <f t="shared" si="26"/>
        <v>166.0372234916743</v>
      </c>
      <c r="BN20">
        <f t="shared" si="27"/>
        <v>100.27775158238556</v>
      </c>
      <c r="BO20">
        <f t="shared" si="28"/>
        <v>19.473408523340936</v>
      </c>
      <c r="BP20">
        <f t="shared" si="9"/>
        <v>23.182633328659577</v>
      </c>
      <c r="BQ20">
        <f t="shared" si="9"/>
        <v>66.037223491674297</v>
      </c>
      <c r="BR20">
        <f t="shared" si="9"/>
        <v>0.2777515823855623</v>
      </c>
    </row>
    <row r="21" spans="1:78">
      <c r="A21">
        <v>2020</v>
      </c>
      <c r="B21" t="s">
        <v>1929</v>
      </c>
      <c r="C21">
        <v>4073307</v>
      </c>
      <c r="D21" s="260">
        <f t="shared" si="1"/>
        <v>765852</v>
      </c>
      <c r="E21">
        <v>1777414</v>
      </c>
      <c r="F21">
        <v>1530041</v>
      </c>
      <c r="G21">
        <v>23420335</v>
      </c>
      <c r="H21">
        <v>7433839</v>
      </c>
      <c r="I21">
        <v>15976651</v>
      </c>
      <c r="M21" t="s">
        <v>1951</v>
      </c>
      <c r="N21" t="s">
        <v>1256</v>
      </c>
      <c r="O21" s="304">
        <f t="shared" si="10"/>
        <v>3257805</v>
      </c>
      <c r="P21" s="304">
        <f t="shared" si="2"/>
        <v>7435167</v>
      </c>
      <c r="Q21" s="304">
        <f t="shared" si="2"/>
        <v>6509586</v>
      </c>
      <c r="R21" s="304">
        <f t="shared" si="30"/>
        <v>17202558</v>
      </c>
      <c r="S21" s="304">
        <v>117045.07082000001</v>
      </c>
      <c r="T21" s="304">
        <f t="shared" si="31"/>
        <v>146.97379291141002</v>
      </c>
      <c r="U21" s="304">
        <v>96421998</v>
      </c>
      <c r="V21" s="304">
        <v>31025462</v>
      </c>
      <c r="W21" s="304">
        <v>65366563</v>
      </c>
      <c r="X21" s="304">
        <v>25017116</v>
      </c>
      <c r="Y21" s="304">
        <v>26376145</v>
      </c>
      <c r="Z21" s="304">
        <v>289532276</v>
      </c>
      <c r="AA21" s="304">
        <v>63300</v>
      </c>
      <c r="AB21">
        <f>Z21/AA21</f>
        <v>4573.969605055292</v>
      </c>
      <c r="AC21" s="78">
        <f>(AB21/AB$21)-1</f>
        <v>0</v>
      </c>
      <c r="AD21">
        <f t="shared" si="3"/>
        <v>98.622322915714349</v>
      </c>
      <c r="AE21">
        <f t="shared" si="4"/>
        <v>100.66261182132956</v>
      </c>
      <c r="AF21">
        <f t="shared" si="5"/>
        <v>101.1125730996423</v>
      </c>
      <c r="AG21">
        <f t="shared" si="11"/>
        <v>100.00195394915214</v>
      </c>
      <c r="AH21">
        <f t="shared" si="12"/>
        <v>101.90966172310067</v>
      </c>
      <c r="AI21">
        <f t="shared" si="13"/>
        <v>99.114392043611659</v>
      </c>
      <c r="AJ21">
        <f t="shared" si="14"/>
        <v>100.76583613747334</v>
      </c>
      <c r="AK21">
        <f t="shared" si="15"/>
        <v>99.387513121879294</v>
      </c>
      <c r="AL21">
        <f>(Z21/Z$17)*100</f>
        <v>105.12893434309764</v>
      </c>
      <c r="AO21" s="995">
        <f>AO38</f>
        <v>5415.9068839589017</v>
      </c>
      <c r="AP21" s="304">
        <f t="shared" si="16"/>
        <v>5415.9068839589017</v>
      </c>
      <c r="AQ21" s="994">
        <f>AQ38</f>
        <v>2186.1012178963415</v>
      </c>
      <c r="AR21">
        <v>154.19409630000001</v>
      </c>
      <c r="AS21">
        <v>166.0463154</v>
      </c>
      <c r="AT21">
        <v>245.0263094</v>
      </c>
      <c r="AU21" s="983">
        <v>27.92</v>
      </c>
      <c r="AW21" s="304">
        <f t="shared" si="17"/>
        <v>17643968526.09573</v>
      </c>
      <c r="AX21" s="304">
        <f t="shared" si="7"/>
        <v>40268172138.684059</v>
      </c>
      <c r="AY21" s="304">
        <f t="shared" si="7"/>
        <v>14230613882.600973</v>
      </c>
      <c r="AZ21" s="304">
        <f t="shared" si="18"/>
        <v>14867702845.050409</v>
      </c>
      <c r="BA21" s="304">
        <f t="shared" si="19"/>
        <v>4153999933.7343864</v>
      </c>
      <c r="BB21" s="304">
        <f t="shared" si="20"/>
        <v>6462849465.549263</v>
      </c>
      <c r="BC21" s="304">
        <f>AU21*Z21</f>
        <v>8083741145.9200001</v>
      </c>
      <c r="BD21" s="173">
        <v>1.2999999999999999E-2</v>
      </c>
      <c r="BE21" t="s">
        <v>1956</v>
      </c>
      <c r="BF21" s="304">
        <f t="shared" si="21"/>
        <v>105711047937.63481</v>
      </c>
      <c r="BG21" s="304">
        <f t="shared" si="22"/>
        <v>91164457326.165558</v>
      </c>
      <c r="BH21" s="304">
        <f t="shared" si="8"/>
        <v>31874582408.696701</v>
      </c>
      <c r="BI21" s="304">
        <f t="shared" si="23"/>
        <v>14546590611.469263</v>
      </c>
      <c r="BJ21" t="s">
        <v>1956</v>
      </c>
      <c r="BK21">
        <f t="shared" si="24"/>
        <v>120.62317639511167</v>
      </c>
      <c r="BL21">
        <f t="shared" si="25"/>
        <v>124.12549911415509</v>
      </c>
      <c r="BM21">
        <f t="shared" ref="BM21:BM34" si="32">(BH21/BH$17)*100</f>
        <v>130.98502765578465</v>
      </c>
      <c r="BN21">
        <f t="shared" si="27"/>
        <v>102.49826109882876</v>
      </c>
      <c r="BO21">
        <f t="shared" si="28"/>
        <v>20.62317639511167</v>
      </c>
      <c r="BP21">
        <f t="shared" si="9"/>
        <v>24.12549911415509</v>
      </c>
      <c r="BQ21">
        <f t="shared" si="9"/>
        <v>30.985027655784648</v>
      </c>
      <c r="BR21">
        <f t="shared" si="9"/>
        <v>2.4982610988287632</v>
      </c>
      <c r="BS21" s="592">
        <f t="shared" ref="BS21:BS34" si="33">BK21/BK17-1</f>
        <v>0.20623176395111664</v>
      </c>
      <c r="BT21" s="592">
        <f t="shared" ref="BT21:BT34" si="34">BL21/BL17-1</f>
        <v>0.24125499114155091</v>
      </c>
      <c r="BU21" s="592">
        <f t="shared" ref="BU21:BU34" si="35">BM21/BM17-1</f>
        <v>0.30985027655784658</v>
      </c>
      <c r="BV21" s="592">
        <f t="shared" ref="BV21:BV34" si="36">BN21/BN17-1</f>
        <v>2.4982610988287579E-2</v>
      </c>
      <c r="BW21" s="173">
        <f>BK21/BK17-1</f>
        <v>0.20623176395111664</v>
      </c>
      <c r="BX21" s="173">
        <f>BL21/BL17-1</f>
        <v>0.24125499114155091</v>
      </c>
      <c r="BY21" s="173">
        <f>BM21/BM17-1</f>
        <v>0.30985027655784658</v>
      </c>
      <c r="BZ21" s="173">
        <f>BN21/BN17-1</f>
        <v>2.4982610988287579E-2</v>
      </c>
    </row>
    <row r="22" spans="1:78">
      <c r="B22" t="s">
        <v>1930</v>
      </c>
      <c r="C22">
        <v>2374762</v>
      </c>
      <c r="D22" s="260">
        <f t="shared" si="1"/>
        <v>555686</v>
      </c>
      <c r="E22">
        <v>636187</v>
      </c>
      <c r="F22">
        <v>1182889</v>
      </c>
      <c r="G22">
        <v>14821407</v>
      </c>
      <c r="H22">
        <v>4135336</v>
      </c>
      <c r="I22">
        <v>10677784</v>
      </c>
      <c r="O22" s="304">
        <f t="shared" si="10"/>
        <v>2987647</v>
      </c>
      <c r="P22" s="304">
        <f t="shared" si="2"/>
        <v>6219324</v>
      </c>
      <c r="Q22" s="304">
        <f t="shared" si="2"/>
        <v>6053936</v>
      </c>
      <c r="R22" s="304">
        <f t="shared" si="30"/>
        <v>15260907</v>
      </c>
      <c r="S22" s="304">
        <v>117740.52409000001</v>
      </c>
      <c r="T22" s="304">
        <f t="shared" si="31"/>
        <v>129.61473645500908</v>
      </c>
      <c r="U22" s="304">
        <v>87246728</v>
      </c>
      <c r="V22" s="304">
        <v>27426498</v>
      </c>
      <c r="W22" s="304">
        <v>59787954</v>
      </c>
      <c r="X22" s="304">
        <v>22213972</v>
      </c>
      <c r="Y22" s="304">
        <v>26608986</v>
      </c>
      <c r="AD22">
        <f t="shared" si="3"/>
        <v>90.443929944292307</v>
      </c>
      <c r="AE22">
        <f t="shared" si="4"/>
        <v>84.201659169602877</v>
      </c>
      <c r="AF22">
        <f t="shared" si="5"/>
        <v>94.03501948365934</v>
      </c>
      <c r="AG22">
        <f t="shared" si="11"/>
        <v>90.48602452388721</v>
      </c>
      <c r="AH22">
        <f t="shared" si="12"/>
        <v>90.088106775953804</v>
      </c>
      <c r="AI22">
        <f t="shared" si="13"/>
        <v>90.655626367282309</v>
      </c>
      <c r="AJ22">
        <f t="shared" si="14"/>
        <v>89.475120254245965</v>
      </c>
      <c r="AK22">
        <f t="shared" si="15"/>
        <v>100.26487741991494</v>
      </c>
      <c r="AO22" s="304">
        <f>AO21</f>
        <v>5415.9068839589017</v>
      </c>
      <c r="AP22" s="304">
        <f t="shared" si="16"/>
        <v>5415.9068839589017</v>
      </c>
      <c r="AQ22">
        <f>AQ21</f>
        <v>2186.1012178963415</v>
      </c>
      <c r="AR22">
        <v>154.19409630000001</v>
      </c>
      <c r="AS22">
        <v>166.0463154</v>
      </c>
      <c r="AT22">
        <v>245.0263094</v>
      </c>
      <c r="AU22" s="983">
        <v>27.92</v>
      </c>
      <c r="AW22" s="304">
        <f t="shared" si="17"/>
        <v>16180817954.13916</v>
      </c>
      <c r="AX22" s="304">
        <f t="shared" si="7"/>
        <v>33683279665.170815</v>
      </c>
      <c r="AY22" s="304">
        <f t="shared" si="7"/>
        <v>13234516862.666506</v>
      </c>
      <c r="AZ22" s="304">
        <f t="shared" si="18"/>
        <v>13452930379.091908</v>
      </c>
      <c r="BA22" s="304">
        <f t="shared" si="19"/>
        <v>3688548200.9987688</v>
      </c>
      <c r="BB22" s="304">
        <f t="shared" si="20"/>
        <v>6519901636.4562683</v>
      </c>
      <c r="BC22" s="304">
        <f>BC21*(1+BD25)</f>
        <v>8188829780.8169594</v>
      </c>
      <c r="BE22" t="s">
        <v>1957</v>
      </c>
      <c r="BF22" s="304">
        <f t="shared" si="21"/>
        <v>94948824479.340378</v>
      </c>
      <c r="BG22" s="304">
        <f t="shared" si="22"/>
        <v>80240093062.067154</v>
      </c>
      <c r="BH22" s="304">
        <f t="shared" si="8"/>
        <v>29415334816.805664</v>
      </c>
      <c r="BI22" s="304">
        <f t="shared" si="23"/>
        <v>14708731417.273228</v>
      </c>
      <c r="BJ22" t="s">
        <v>1957</v>
      </c>
      <c r="BK22">
        <f t="shared" si="24"/>
        <v>108.34277993759733</v>
      </c>
      <c r="BL22">
        <f t="shared" si="25"/>
        <v>109.25136717110382</v>
      </c>
      <c r="BM22">
        <f t="shared" si="32"/>
        <v>120.87902502001737</v>
      </c>
      <c r="BN22">
        <f t="shared" si="27"/>
        <v>103.64073847321545</v>
      </c>
      <c r="BO22">
        <f t="shared" si="28"/>
        <v>8.3427799375973279</v>
      </c>
      <c r="BP22">
        <f t="shared" si="9"/>
        <v>9.2513671711038228</v>
      </c>
      <c r="BQ22">
        <f t="shared" si="9"/>
        <v>20.879025020017366</v>
      </c>
      <c r="BR22">
        <f t="shared" si="9"/>
        <v>3.6407384732154497</v>
      </c>
      <c r="BS22" s="592">
        <f t="shared" si="33"/>
        <v>-8.2522495995456802E-2</v>
      </c>
      <c r="BT22" s="592">
        <f t="shared" si="34"/>
        <v>-0.10076153308748736</v>
      </c>
      <c r="BU22" s="592">
        <f t="shared" si="35"/>
        <v>-0.26426564958644327</v>
      </c>
      <c r="BV22" s="592">
        <f t="shared" si="36"/>
        <v>3.1624617299800484E-2</v>
      </c>
    </row>
    <row r="23" spans="1:78">
      <c r="B23" t="s">
        <v>1931</v>
      </c>
      <c r="C23">
        <v>3408930</v>
      </c>
      <c r="D23" s="260">
        <f t="shared" si="1"/>
        <v>702491</v>
      </c>
      <c r="E23">
        <v>1253418</v>
      </c>
      <c r="F23">
        <v>1453021</v>
      </c>
      <c r="G23">
        <v>20059971</v>
      </c>
      <c r="H23">
        <v>6083522</v>
      </c>
      <c r="I23">
        <v>13949931</v>
      </c>
      <c r="O23" s="304">
        <f t="shared" si="10"/>
        <v>2848349</v>
      </c>
      <c r="P23" s="304">
        <f t="shared" si="2"/>
        <v>5568653</v>
      </c>
      <c r="Q23" s="304">
        <f t="shared" si="2"/>
        <v>5872459</v>
      </c>
      <c r="R23" s="304">
        <f t="shared" si="30"/>
        <v>14289461</v>
      </c>
      <c r="S23" s="304">
        <v>120673.11194666666</v>
      </c>
      <c r="T23" s="304">
        <f t="shared" si="31"/>
        <v>118.41462252432379</v>
      </c>
      <c r="U23" s="304">
        <v>82843012</v>
      </c>
      <c r="V23" s="304">
        <v>25591445</v>
      </c>
      <c r="W23" s="304">
        <v>57198230</v>
      </c>
      <c r="X23" s="304">
        <v>20701311</v>
      </c>
      <c r="Y23" s="304">
        <v>26775560</v>
      </c>
      <c r="AD23">
        <f t="shared" si="3"/>
        <v>86.22701323579895</v>
      </c>
      <c r="AE23">
        <f t="shared" si="4"/>
        <v>75.392409519070966</v>
      </c>
      <c r="AF23">
        <f t="shared" si="5"/>
        <v>91.216160276882789</v>
      </c>
      <c r="AG23">
        <f t="shared" si="11"/>
        <v>85.918807355900867</v>
      </c>
      <c r="AH23">
        <f t="shared" si="12"/>
        <v>84.060488864125091</v>
      </c>
      <c r="AI23">
        <f t="shared" si="13"/>
        <v>86.72886460958135</v>
      </c>
      <c r="AJ23">
        <f t="shared" si="14"/>
        <v>83.382309617818223</v>
      </c>
      <c r="AK23">
        <f t="shared" si="15"/>
        <v>100.89254213781682</v>
      </c>
      <c r="AO23" s="304">
        <v>4084</v>
      </c>
      <c r="AP23" s="304">
        <f t="shared" si="16"/>
        <v>4084</v>
      </c>
      <c r="AQ23">
        <v>2359.3897290710511</v>
      </c>
      <c r="AR23">
        <v>154.19409630000001</v>
      </c>
      <c r="AS23">
        <v>166.0463154</v>
      </c>
      <c r="AT23">
        <v>245.0263094</v>
      </c>
      <c r="AU23" s="983">
        <v>27.92</v>
      </c>
      <c r="AW23" s="304">
        <f t="shared" si="17"/>
        <v>11632657316</v>
      </c>
      <c r="AX23" s="304">
        <f t="shared" si="7"/>
        <v>22742378852</v>
      </c>
      <c r="AY23" s="304">
        <f t="shared" si="7"/>
        <v>13855419448.990856</v>
      </c>
      <c r="AZ23" s="304">
        <f t="shared" si="18"/>
        <v>12773903370.110056</v>
      </c>
      <c r="BA23" s="304">
        <f t="shared" si="19"/>
        <v>3437376415.4994893</v>
      </c>
      <c r="BB23" s="304">
        <f t="shared" si="20"/>
        <v>6560716648.9182644</v>
      </c>
      <c r="BC23" s="304">
        <f t="shared" ref="BC23:BC24" si="37">BC22*(1+BD26)</f>
        <v>8188829780.8169594</v>
      </c>
      <c r="BE23" t="s">
        <v>1958</v>
      </c>
      <c r="BF23" s="304">
        <f t="shared" si="21"/>
        <v>79191281832.335617</v>
      </c>
      <c r="BG23" s="304">
        <f t="shared" si="22"/>
        <v>64441735402.600403</v>
      </c>
      <c r="BH23" s="304">
        <f t="shared" si="8"/>
        <v>25488076764.990856</v>
      </c>
      <c r="BI23" s="304">
        <f t="shared" si="23"/>
        <v>14749546429.735224</v>
      </c>
      <c r="BJ23" t="s">
        <v>1958</v>
      </c>
      <c r="BK23">
        <f t="shared" si="24"/>
        <v>90.362399614582273</v>
      </c>
      <c r="BL23">
        <f t="shared" si="25"/>
        <v>87.741021064952918</v>
      </c>
      <c r="BM23">
        <f t="shared" si="32"/>
        <v>104.74039776107603</v>
      </c>
      <c r="BN23">
        <f t="shared" si="27"/>
        <v>103.92832942258767</v>
      </c>
      <c r="BO23">
        <f t="shared" si="28"/>
        <v>-9.637600385417727</v>
      </c>
      <c r="BP23">
        <f t="shared" si="9"/>
        <v>-12.258978935047082</v>
      </c>
      <c r="BQ23">
        <f t="shared" si="9"/>
        <v>4.7403977610760251</v>
      </c>
      <c r="BR23">
        <f t="shared" si="9"/>
        <v>3.9283294225876659</v>
      </c>
      <c r="BS23" s="592">
        <f t="shared" si="33"/>
        <v>-0.24065203796723245</v>
      </c>
      <c r="BT23" s="592">
        <f t="shared" si="34"/>
        <v>-0.28444500281592244</v>
      </c>
      <c r="BU23" s="592">
        <f t="shared" si="35"/>
        <v>-0.3666233347019503</v>
      </c>
      <c r="BV23" s="592">
        <f t="shared" si="36"/>
        <v>3.6500977012931424E-2</v>
      </c>
    </row>
    <row r="24" spans="1:78">
      <c r="B24" t="s">
        <v>1936</v>
      </c>
      <c r="C24">
        <v>3645893</v>
      </c>
      <c r="D24" s="260">
        <f t="shared" si="1"/>
        <v>710284</v>
      </c>
      <c r="E24">
        <v>1517037</v>
      </c>
      <c r="F24">
        <v>1418572</v>
      </c>
      <c r="G24">
        <v>22083583</v>
      </c>
      <c r="H24">
        <v>6819082</v>
      </c>
      <c r="I24">
        <v>15221477</v>
      </c>
      <c r="O24" s="304">
        <f t="shared" si="10"/>
        <v>2734313</v>
      </c>
      <c r="P24" s="304">
        <f t="shared" si="2"/>
        <v>5184056</v>
      </c>
      <c r="Q24" s="304">
        <f t="shared" si="2"/>
        <v>5584523</v>
      </c>
      <c r="R24" s="304">
        <f t="shared" si="30"/>
        <v>13502892</v>
      </c>
      <c r="S24" s="304">
        <v>121249.98991666669</v>
      </c>
      <c r="T24" s="304">
        <f t="shared" si="31"/>
        <v>111.36406699316294</v>
      </c>
      <c r="U24" s="304">
        <v>80385296</v>
      </c>
      <c r="V24" s="304">
        <v>24471779</v>
      </c>
      <c r="W24" s="304">
        <v>55825843</v>
      </c>
      <c r="X24" s="304">
        <v>18765581</v>
      </c>
      <c r="Y24" s="304">
        <v>27017129</v>
      </c>
      <c r="AD24">
        <f t="shared" si="3"/>
        <v>82.774843687278903</v>
      </c>
      <c r="AE24">
        <f t="shared" si="4"/>
        <v>70.185460096327972</v>
      </c>
      <c r="AF24">
        <f t="shared" si="5"/>
        <v>86.743686935564511</v>
      </c>
      <c r="AG24">
        <f t="shared" si="11"/>
        <v>83.369841276064037</v>
      </c>
      <c r="AH24">
        <f t="shared" si="12"/>
        <v>80.382710164073586</v>
      </c>
      <c r="AI24">
        <f t="shared" si="13"/>
        <v>84.647933673170385</v>
      </c>
      <c r="AJ24">
        <f t="shared" si="14"/>
        <v>75.585429594301871</v>
      </c>
      <c r="AK24">
        <f t="shared" si="15"/>
        <v>101.80279426743391</v>
      </c>
      <c r="AO24" s="304">
        <v>4085</v>
      </c>
      <c r="AP24" s="304">
        <f t="shared" si="16"/>
        <v>4085</v>
      </c>
      <c r="AQ24">
        <v>2359.3897290710511</v>
      </c>
      <c r="AR24">
        <v>154.19409630000001</v>
      </c>
      <c r="AS24">
        <v>166.0463154</v>
      </c>
      <c r="AT24">
        <v>245.0263094</v>
      </c>
      <c r="AU24" s="983">
        <v>27.92</v>
      </c>
      <c r="AW24" s="304">
        <f t="shared" si="17"/>
        <v>11169668605</v>
      </c>
      <c r="AX24" s="304">
        <f t="shared" si="7"/>
        <v>21176868760</v>
      </c>
      <c r="AY24" s="304">
        <f t="shared" si="7"/>
        <v>13176066207.961054</v>
      </c>
      <c r="AZ24" s="304">
        <f t="shared" si="18"/>
        <v>12394938072.528006</v>
      </c>
      <c r="BA24" s="304">
        <f t="shared" si="19"/>
        <v>3115955581.3902473</v>
      </c>
      <c r="BB24" s="304">
        <f t="shared" si="20"/>
        <v>6619907409.4537125</v>
      </c>
      <c r="BC24" s="304">
        <f t="shared" si="37"/>
        <v>8188829780.8169594</v>
      </c>
      <c r="BE24" t="s">
        <v>1959</v>
      </c>
      <c r="BF24" s="304">
        <f t="shared" si="21"/>
        <v>75842234417.149979</v>
      </c>
      <c r="BG24" s="304">
        <f t="shared" si="22"/>
        <v>61033497226.879303</v>
      </c>
      <c r="BH24" s="304">
        <f t="shared" si="8"/>
        <v>24345734812.961052</v>
      </c>
      <c r="BI24" s="304">
        <f t="shared" si="23"/>
        <v>14808737190.270672</v>
      </c>
      <c r="BJ24" t="s">
        <v>1959</v>
      </c>
      <c r="BK24">
        <f t="shared" si="24"/>
        <v>86.540918842242775</v>
      </c>
      <c r="BL24">
        <f t="shared" si="25"/>
        <v>83.100514478622614</v>
      </c>
      <c r="BM24">
        <f t="shared" si="32"/>
        <v>100.04607140848476</v>
      </c>
      <c r="BN24">
        <f t="shared" si="27"/>
        <v>104.34539966193412</v>
      </c>
      <c r="BO24">
        <f t="shared" si="28"/>
        <v>-13.459081157757225</v>
      </c>
      <c r="BP24">
        <f t="shared" si="9"/>
        <v>-16.899485521377386</v>
      </c>
      <c r="BQ24">
        <f t="shared" si="9"/>
        <v>4.6071408484763765E-2</v>
      </c>
      <c r="BR24">
        <f t="shared" si="9"/>
        <v>4.345399661934124</v>
      </c>
      <c r="BS24" s="592">
        <f t="shared" si="33"/>
        <v>-0.27564702546060116</v>
      </c>
      <c r="BT24" s="592">
        <f t="shared" si="34"/>
        <v>-0.32538774149352012</v>
      </c>
      <c r="BU24" s="592">
        <f t="shared" si="35"/>
        <v>-0.39744793785050592</v>
      </c>
      <c r="BV24" s="592">
        <f t="shared" si="36"/>
        <v>4.0563814159780831E-2</v>
      </c>
    </row>
    <row r="25" spans="1:78">
      <c r="A25">
        <v>2021</v>
      </c>
      <c r="B25" t="s">
        <v>1929</v>
      </c>
      <c r="C25">
        <v>3383535</v>
      </c>
      <c r="D25" s="260">
        <f t="shared" si="1"/>
        <v>631771</v>
      </c>
      <c r="E25">
        <v>1355409</v>
      </c>
      <c r="F25">
        <v>1396355</v>
      </c>
      <c r="G25">
        <v>21451313</v>
      </c>
      <c r="H25">
        <v>6574834</v>
      </c>
      <c r="I25">
        <v>14835790</v>
      </c>
      <c r="M25" t="s">
        <v>1951</v>
      </c>
      <c r="N25" t="s">
        <v>1257</v>
      </c>
      <c r="O25" s="304">
        <f t="shared" si="10"/>
        <v>2600232</v>
      </c>
      <c r="P25" s="304">
        <f t="shared" si="2"/>
        <v>4762051</v>
      </c>
      <c r="Q25" s="304">
        <f t="shared" si="2"/>
        <v>5450837</v>
      </c>
      <c r="R25" s="304">
        <f t="shared" si="30"/>
        <v>12813120</v>
      </c>
      <c r="S25" s="304">
        <v>123346.87101333334</v>
      </c>
      <c r="T25" s="304">
        <f t="shared" si="31"/>
        <v>103.87875991288786</v>
      </c>
      <c r="U25" s="304">
        <v>78416274</v>
      </c>
      <c r="V25" s="304">
        <v>23612774</v>
      </c>
      <c r="W25" s="304">
        <v>54684982</v>
      </c>
      <c r="X25" s="304">
        <v>17429559</v>
      </c>
      <c r="Y25" s="304">
        <v>27419439</v>
      </c>
      <c r="Z25" s="304">
        <v>304382197</v>
      </c>
      <c r="AA25" s="304">
        <v>64900</v>
      </c>
      <c r="AB25">
        <f>Z25/AA25</f>
        <v>4690.0184437596299</v>
      </c>
      <c r="AC25" s="78">
        <f>(AB25/AB$21)-1</f>
        <v>2.5371580645415115E-2</v>
      </c>
      <c r="AD25">
        <f t="shared" si="3"/>
        <v>78.715859285553833</v>
      </c>
      <c r="AE25">
        <f t="shared" si="4"/>
        <v>64.472054398559479</v>
      </c>
      <c r="AF25">
        <f t="shared" si="5"/>
        <v>84.667159265848071</v>
      </c>
      <c r="AG25">
        <f t="shared" si="11"/>
        <v>81.327713427096754</v>
      </c>
      <c r="AH25">
        <f t="shared" si="12"/>
        <v>77.561127395428528</v>
      </c>
      <c r="AI25">
        <f t="shared" si="13"/>
        <v>82.918062325624291</v>
      </c>
      <c r="AJ25">
        <f t="shared" si="14"/>
        <v>70.204098911418228</v>
      </c>
      <c r="AK25">
        <f t="shared" si="15"/>
        <v>103.31873188470372</v>
      </c>
      <c r="AL25">
        <f>(Z25/Z$17)*100</f>
        <v>110.52092860148281</v>
      </c>
      <c r="AO25" s="304">
        <v>4086</v>
      </c>
      <c r="AP25" s="304">
        <f t="shared" si="16"/>
        <v>4086</v>
      </c>
      <c r="AQ25">
        <v>2359.3897290710511</v>
      </c>
      <c r="AR25">
        <v>154.19409630000001</v>
      </c>
      <c r="AS25">
        <v>166.0463154</v>
      </c>
      <c r="AT25">
        <v>245.0263094</v>
      </c>
      <c r="AU25" s="983">
        <v>27.92</v>
      </c>
      <c r="AW25" s="304">
        <f t="shared" si="17"/>
        <v>10624547952</v>
      </c>
      <c r="AX25" s="304">
        <f t="shared" si="7"/>
        <v>19457740386</v>
      </c>
      <c r="AY25" s="304">
        <f t="shared" si="7"/>
        <v>12860648832.640461</v>
      </c>
      <c r="AZ25" s="304">
        <f t="shared" si="18"/>
        <v>12091326504.643187</v>
      </c>
      <c r="BA25" s="304">
        <f t="shared" si="19"/>
        <v>2894114050.9969087</v>
      </c>
      <c r="BB25" s="304">
        <f t="shared" si="20"/>
        <v>6718483943.9884262</v>
      </c>
      <c r="BC25" s="304">
        <f>AU25*Z25</f>
        <v>8498350940.2400007</v>
      </c>
      <c r="BD25" s="173">
        <v>1.2999999999999999E-2</v>
      </c>
      <c r="BE25" t="s">
        <v>1960</v>
      </c>
      <c r="BF25" s="304">
        <f t="shared" si="21"/>
        <v>73145212610.508987</v>
      </c>
      <c r="BG25" s="304">
        <f t="shared" si="22"/>
        <v>57928377726.280556</v>
      </c>
      <c r="BH25" s="304">
        <f t="shared" si="8"/>
        <v>23485196784.640461</v>
      </c>
      <c r="BI25" s="304">
        <f t="shared" si="23"/>
        <v>15216834884.228428</v>
      </c>
      <c r="BJ25" t="s">
        <v>1960</v>
      </c>
      <c r="BK25">
        <f t="shared" si="24"/>
        <v>83.463441667710882</v>
      </c>
      <c r="BL25">
        <f t="shared" si="25"/>
        <v>78.872720894090492</v>
      </c>
      <c r="BM25">
        <f t="shared" si="32"/>
        <v>96.509786728950473</v>
      </c>
      <c r="BN25">
        <f t="shared" si="27"/>
        <v>107.22093971845649</v>
      </c>
      <c r="BO25">
        <f t="shared" si="28"/>
        <v>-16.536558332289118</v>
      </c>
      <c r="BP25">
        <f t="shared" si="9"/>
        <v>-21.127279105909508</v>
      </c>
      <c r="BQ25">
        <f t="shared" si="9"/>
        <v>-3.4902132710495266</v>
      </c>
      <c r="BR25">
        <f t="shared" si="9"/>
        <v>7.2209397184564921</v>
      </c>
      <c r="BS25" s="592">
        <f t="shared" si="33"/>
        <v>-0.30806463432600095</v>
      </c>
      <c r="BT25" s="592">
        <f t="shared" si="34"/>
        <v>-0.36457277950960554</v>
      </c>
      <c r="BU25" s="592">
        <f t="shared" si="35"/>
        <v>-0.2631998598910984</v>
      </c>
      <c r="BV25" s="592">
        <f t="shared" si="36"/>
        <v>4.6075695031295494E-2</v>
      </c>
      <c r="BW25" s="173">
        <f>BK25/BK21-1</f>
        <v>-0.30806463432600095</v>
      </c>
      <c r="BX25" s="173">
        <f>BL25/BL21-1</f>
        <v>-0.36457277950960554</v>
      </c>
      <c r="BY25" s="173">
        <f>BM25/BM21-1</f>
        <v>-0.2631998598910984</v>
      </c>
      <c r="BZ25" s="173">
        <f>BN25/BN21-1</f>
        <v>4.6075695031295494E-2</v>
      </c>
    </row>
    <row r="26" spans="1:78">
      <c r="B26" t="s">
        <v>1930</v>
      </c>
      <c r="C26">
        <v>4044173</v>
      </c>
      <c r="D26" s="260">
        <f t="shared" si="1"/>
        <v>746240</v>
      </c>
      <c r="E26">
        <v>1685166</v>
      </c>
      <c r="F26">
        <v>1612767</v>
      </c>
      <c r="G26">
        <v>23915032</v>
      </c>
      <c r="H26">
        <v>7477724</v>
      </c>
      <c r="I26">
        <v>16408075</v>
      </c>
      <c r="O26" s="304">
        <f t="shared" si="10"/>
        <v>2790786</v>
      </c>
      <c r="P26" s="304">
        <f t="shared" si="2"/>
        <v>5811030</v>
      </c>
      <c r="Q26" s="304">
        <f t="shared" si="2"/>
        <v>5880715</v>
      </c>
      <c r="R26" s="304">
        <f t="shared" si="30"/>
        <v>14482531</v>
      </c>
      <c r="S26" s="304">
        <v>123905.84887</v>
      </c>
      <c r="T26" s="304">
        <f t="shared" si="31"/>
        <v>116.883352417002</v>
      </c>
      <c r="U26" s="304">
        <v>87509899</v>
      </c>
      <c r="V26" s="304">
        <v>26955162</v>
      </c>
      <c r="W26" s="304">
        <v>60415273</v>
      </c>
      <c r="X26" s="304">
        <v>19939451</v>
      </c>
      <c r="Y26" s="304">
        <v>27765893</v>
      </c>
      <c r="AD26">
        <f t="shared" si="3"/>
        <v>84.484429878600693</v>
      </c>
      <c r="AE26">
        <f t="shared" si="4"/>
        <v>78.673882802107968</v>
      </c>
      <c r="AF26">
        <f t="shared" si="5"/>
        <v>91.344399676978369</v>
      </c>
      <c r="AG26">
        <f t="shared" si="11"/>
        <v>90.758966536795427</v>
      </c>
      <c r="AH26">
        <f t="shared" si="12"/>
        <v>88.539904453683178</v>
      </c>
      <c r="AI26">
        <f t="shared" si="13"/>
        <v>91.606821266460443</v>
      </c>
      <c r="AJ26">
        <f t="shared" si="14"/>
        <v>80.313632160364875</v>
      </c>
      <c r="AK26">
        <f t="shared" si="15"/>
        <v>104.62419943771906</v>
      </c>
      <c r="AO26" s="304">
        <v>4087</v>
      </c>
      <c r="AP26" s="304">
        <f t="shared" si="16"/>
        <v>4087</v>
      </c>
      <c r="AQ26">
        <v>2359.3897290710511</v>
      </c>
      <c r="AR26">
        <v>154.19409630000001</v>
      </c>
      <c r="AS26">
        <v>166.0463154</v>
      </c>
      <c r="AT26">
        <v>245.0263094</v>
      </c>
      <c r="AU26" s="983">
        <v>27.92</v>
      </c>
      <c r="AW26" s="304">
        <f t="shared" si="17"/>
        <v>11405942382</v>
      </c>
      <c r="AX26" s="304">
        <f t="shared" si="7"/>
        <v>23749679610</v>
      </c>
      <c r="AY26" s="304">
        <f t="shared" si="7"/>
        <v>13874898570.594067</v>
      </c>
      <c r="AZ26" s="304">
        <f t="shared" si="18"/>
        <v>13493509793.609274</v>
      </c>
      <c r="BA26" s="304">
        <f t="shared" si="19"/>
        <v>3310872369.6488452</v>
      </c>
      <c r="BB26" s="304">
        <f t="shared" si="20"/>
        <v>6803374288.9852943</v>
      </c>
      <c r="BC26" s="304">
        <f t="shared" si="7"/>
        <v>2443276380.0799999</v>
      </c>
      <c r="BE26" t="s">
        <v>1961</v>
      </c>
      <c r="BF26" s="304">
        <f t="shared" si="21"/>
        <v>75081553394.91748</v>
      </c>
      <c r="BG26" s="304">
        <f t="shared" si="22"/>
        <v>65834902725.852188</v>
      </c>
      <c r="BH26" s="304">
        <f t="shared" si="8"/>
        <v>25280840952.594067</v>
      </c>
      <c r="BI26" s="304">
        <f t="shared" si="23"/>
        <v>9246650669.0652943</v>
      </c>
      <c r="BJ26" t="s">
        <v>1961</v>
      </c>
      <c r="BK26">
        <f t="shared" si="24"/>
        <v>85.672932355349786</v>
      </c>
      <c r="BL26">
        <f t="shared" si="25"/>
        <v>89.637896167598058</v>
      </c>
      <c r="BM26">
        <f t="shared" si="32"/>
        <v>103.8887853926374</v>
      </c>
      <c r="BN26">
        <f t="shared" si="27"/>
        <v>65.153797194254452</v>
      </c>
      <c r="BO26">
        <f t="shared" si="28"/>
        <v>-14.327067644650214</v>
      </c>
      <c r="BP26">
        <f t="shared" si="9"/>
        <v>-10.362103832401942</v>
      </c>
      <c r="BQ26">
        <f t="shared" si="9"/>
        <v>3.8887853926374021</v>
      </c>
      <c r="BR26">
        <f t="shared" si="9"/>
        <v>-34.846202805745548</v>
      </c>
      <c r="BS26" s="592">
        <f t="shared" si="33"/>
        <v>-0.20924188575652936</v>
      </c>
      <c r="BT26" s="592">
        <f t="shared" si="34"/>
        <v>-0.17952609208805748</v>
      </c>
      <c r="BU26" s="592">
        <f t="shared" si="35"/>
        <v>-0.1405557301985717</v>
      </c>
      <c r="BV26" s="592">
        <f t="shared" si="36"/>
        <v>-0.3713495469632091</v>
      </c>
    </row>
    <row r="27" spans="1:78">
      <c r="B27" t="s">
        <v>1931</v>
      </c>
      <c r="C27">
        <v>4040113</v>
      </c>
      <c r="D27" s="260">
        <f t="shared" si="1"/>
        <v>769602</v>
      </c>
      <c r="E27">
        <v>1699974</v>
      </c>
      <c r="F27">
        <v>1570537</v>
      </c>
      <c r="G27">
        <v>23804764</v>
      </c>
      <c r="H27">
        <v>7466792</v>
      </c>
      <c r="I27">
        <v>16255085</v>
      </c>
      <c r="O27" s="304">
        <f t="shared" si="10"/>
        <v>2857897</v>
      </c>
      <c r="P27" s="304">
        <f t="shared" si="2"/>
        <v>6257586</v>
      </c>
      <c r="Q27" s="304">
        <f t="shared" si="2"/>
        <v>5998231</v>
      </c>
      <c r="R27" s="304">
        <f t="shared" si="30"/>
        <v>15113714</v>
      </c>
      <c r="S27" s="304">
        <v>123808.36041333333</v>
      </c>
      <c r="T27" s="304">
        <f t="shared" si="31"/>
        <v>122.07345246753106</v>
      </c>
      <c r="U27" s="304">
        <v>91254692</v>
      </c>
      <c r="V27" s="304">
        <v>28338432</v>
      </c>
      <c r="W27" s="304">
        <v>62720427</v>
      </c>
      <c r="X27" s="304">
        <v>21261581</v>
      </c>
      <c r="Y27" s="304">
        <v>28407466</v>
      </c>
      <c r="AD27">
        <f t="shared" si="3"/>
        <v>86.516056299824967</v>
      </c>
      <c r="AE27">
        <f t="shared" si="4"/>
        <v>84.719677507793222</v>
      </c>
      <c r="AF27">
        <f t="shared" si="5"/>
        <v>93.169760789094795</v>
      </c>
      <c r="AG27">
        <f t="shared" si="11"/>
        <v>94.64279621158714</v>
      </c>
      <c r="AH27">
        <f t="shared" si="12"/>
        <v>93.083545988230284</v>
      </c>
      <c r="AI27">
        <f t="shared" si="13"/>
        <v>95.102093570694933</v>
      </c>
      <c r="AJ27">
        <f t="shared" si="14"/>
        <v>85.639007592626442</v>
      </c>
      <c r="AK27">
        <f t="shared" si="15"/>
        <v>107.04169998437376</v>
      </c>
      <c r="AO27" s="304">
        <v>4088</v>
      </c>
      <c r="AP27" s="304">
        <f t="shared" si="16"/>
        <v>4088</v>
      </c>
      <c r="AQ27">
        <v>2359.3897290710511</v>
      </c>
      <c r="AR27">
        <v>154.19409630000001</v>
      </c>
      <c r="AS27">
        <v>166.0463154</v>
      </c>
      <c r="AT27">
        <v>245.0263094</v>
      </c>
      <c r="AU27" s="983">
        <v>27.92</v>
      </c>
      <c r="AW27" s="304">
        <f t="shared" si="17"/>
        <v>11683082936</v>
      </c>
      <c r="AX27" s="304">
        <f t="shared" si="7"/>
        <v>25581011568</v>
      </c>
      <c r="AY27" s="304">
        <f t="shared" si="7"/>
        <v>14152164613.995581</v>
      </c>
      <c r="AZ27" s="304">
        <f t="shared" si="18"/>
        <v>14070934766.074841</v>
      </c>
      <c r="BA27" s="304">
        <f t="shared" si="19"/>
        <v>3530407184.6286473</v>
      </c>
      <c r="BB27" s="304">
        <f t="shared" si="20"/>
        <v>6960576553.3859806</v>
      </c>
      <c r="BC27" s="304">
        <f>BC26*(1+BD30)</f>
        <v>2443276380.0799999</v>
      </c>
      <c r="BE27" t="s">
        <v>1962</v>
      </c>
      <c r="BF27" s="304">
        <f t="shared" si="21"/>
        <v>78421454002.165054</v>
      </c>
      <c r="BG27" s="304">
        <f t="shared" si="22"/>
        <v>69017601068.699066</v>
      </c>
      <c r="BH27" s="304">
        <f t="shared" si="8"/>
        <v>25835247549.995583</v>
      </c>
      <c r="BI27" s="304">
        <f t="shared" si="23"/>
        <v>9403852933.4659805</v>
      </c>
      <c r="BJ27" t="s">
        <v>1962</v>
      </c>
      <c r="BK27">
        <f t="shared" si="24"/>
        <v>89.483976025334414</v>
      </c>
      <c r="BL27">
        <f t="shared" si="25"/>
        <v>93.971317677718503</v>
      </c>
      <c r="BM27">
        <f t="shared" si="32"/>
        <v>106.16705723200033</v>
      </c>
      <c r="BN27">
        <f t="shared" si="27"/>
        <v>66.261476592969657</v>
      </c>
      <c r="BO27">
        <f t="shared" si="28"/>
        <v>-10.516023974665586</v>
      </c>
      <c r="BP27">
        <f t="shared" si="9"/>
        <v>-6.0286823222814974</v>
      </c>
      <c r="BQ27">
        <f t="shared" si="9"/>
        <v>6.1670572320003316</v>
      </c>
      <c r="BR27">
        <f t="shared" si="9"/>
        <v>-33.738523407030343</v>
      </c>
      <c r="BS27" s="592">
        <f t="shared" si="33"/>
        <v>-9.7211184407955953E-3</v>
      </c>
      <c r="BT27" s="592">
        <f t="shared" si="34"/>
        <v>7.1007797004703388E-2</v>
      </c>
      <c r="BU27" s="592">
        <f t="shared" si="35"/>
        <v>1.3620909423875505E-2</v>
      </c>
      <c r="BV27" s="592">
        <f t="shared" si="36"/>
        <v>-0.36243104299751727</v>
      </c>
    </row>
    <row r="28" spans="1:78">
      <c r="B28" t="s">
        <v>1936</v>
      </c>
      <c r="C28">
        <v>3989815</v>
      </c>
      <c r="D28" s="260">
        <f t="shared" si="1"/>
        <v>745793</v>
      </c>
      <c r="E28">
        <v>1698151</v>
      </c>
      <c r="F28">
        <v>1545871</v>
      </c>
      <c r="G28">
        <v>23804281</v>
      </c>
      <c r="H28">
        <v>7478493</v>
      </c>
      <c r="I28">
        <v>16237983</v>
      </c>
      <c r="O28" s="304">
        <f t="shared" si="10"/>
        <v>2893406</v>
      </c>
      <c r="P28" s="304">
        <f t="shared" si="2"/>
        <v>6438700</v>
      </c>
      <c r="Q28" s="304">
        <f t="shared" si="2"/>
        <v>6125530</v>
      </c>
      <c r="R28" s="304">
        <f t="shared" si="30"/>
        <v>15457636</v>
      </c>
      <c r="S28" s="304">
        <v>126106.86517333332</v>
      </c>
      <c r="T28" s="304">
        <f t="shared" si="31"/>
        <v>122.57568990200136</v>
      </c>
      <c r="U28" s="304">
        <v>92975390</v>
      </c>
      <c r="V28" s="304">
        <v>28997843</v>
      </c>
      <c r="W28" s="304">
        <v>63736933</v>
      </c>
      <c r="X28" s="304">
        <v>22779783</v>
      </c>
      <c r="Y28" s="304">
        <v>28562531</v>
      </c>
      <c r="AD28">
        <f t="shared" si="3"/>
        <v>87.591007091666128</v>
      </c>
      <c r="AE28">
        <f t="shared" si="4"/>
        <v>87.171728453980208</v>
      </c>
      <c r="AF28">
        <f t="shared" si="5"/>
        <v>95.147079998490199</v>
      </c>
      <c r="AG28">
        <f t="shared" si="11"/>
        <v>96.427380287063329</v>
      </c>
      <c r="AH28">
        <f t="shared" si="12"/>
        <v>95.2495202433918</v>
      </c>
      <c r="AI28">
        <f t="shared" si="13"/>
        <v>96.643407196113543</v>
      </c>
      <c r="AJ28">
        <f t="shared" si="14"/>
        <v>91.754136688865358</v>
      </c>
      <c r="AK28">
        <f t="shared" si="15"/>
        <v>107.62599783086513</v>
      </c>
      <c r="AO28" s="304">
        <v>4089</v>
      </c>
      <c r="AP28" s="304">
        <f t="shared" si="16"/>
        <v>4089</v>
      </c>
      <c r="AQ28">
        <v>2359.3897290710511</v>
      </c>
      <c r="AR28">
        <v>154.19409630000001</v>
      </c>
      <c r="AS28">
        <v>166.0463154</v>
      </c>
      <c r="AT28">
        <v>245.0263094</v>
      </c>
      <c r="AU28" s="983">
        <v>27.92</v>
      </c>
      <c r="AW28" s="304">
        <f t="shared" si="17"/>
        <v>11831137134</v>
      </c>
      <c r="AX28" s="304">
        <f t="shared" si="7"/>
        <v>26327844300</v>
      </c>
      <c r="AY28" s="304">
        <f t="shared" si="7"/>
        <v>14452512567.116596</v>
      </c>
      <c r="AZ28" s="304">
        <f t="shared" si="18"/>
        <v>14336256239.190058</v>
      </c>
      <c r="BA28" s="304">
        <f t="shared" si="19"/>
        <v>3782499032.7615581</v>
      </c>
      <c r="BB28" s="304">
        <f t="shared" si="20"/>
        <v>6998571558.053091</v>
      </c>
      <c r="BC28" s="304">
        <f t="shared" ref="BC28:BC29" si="38">BC27*(1+BD31)</f>
        <v>2443276380.0799999</v>
      </c>
      <c r="BE28" t="s">
        <v>1963</v>
      </c>
      <c r="BF28" s="304">
        <f t="shared" si="21"/>
        <v>80172097211.201294</v>
      </c>
      <c r="BG28" s="304">
        <f t="shared" si="22"/>
        <v>70730249273.068207</v>
      </c>
      <c r="BH28" s="304">
        <f t="shared" si="8"/>
        <v>26283649701.116596</v>
      </c>
      <c r="BI28" s="304">
        <f t="shared" si="23"/>
        <v>9441847938.133091</v>
      </c>
      <c r="BJ28" t="s">
        <v>1963</v>
      </c>
      <c r="BK28">
        <f t="shared" si="24"/>
        <v>91.481573710044373</v>
      </c>
      <c r="BL28">
        <f t="shared" si="25"/>
        <v>96.303183839261123</v>
      </c>
      <c r="BM28">
        <f t="shared" si="32"/>
        <v>108.00971566787914</v>
      </c>
      <c r="BN28">
        <f t="shared" si="27"/>
        <v>66.529197189007476</v>
      </c>
      <c r="BO28">
        <f t="shared" si="28"/>
        <v>-8.5184262899556273</v>
      </c>
      <c r="BP28">
        <f t="shared" si="9"/>
        <v>-3.6968161607388765</v>
      </c>
      <c r="BQ28">
        <f t="shared" si="9"/>
        <v>8.009715667879135</v>
      </c>
      <c r="BR28">
        <f t="shared" si="9"/>
        <v>-33.470802810992524</v>
      </c>
      <c r="BS28" s="592">
        <f t="shared" si="33"/>
        <v>5.709039069492694E-2</v>
      </c>
      <c r="BT28" s="592">
        <f t="shared" si="34"/>
        <v>0.15887590399978646</v>
      </c>
      <c r="BU28" s="592">
        <f t="shared" si="35"/>
        <v>7.9599769858819114E-2</v>
      </c>
      <c r="BV28" s="592">
        <f t="shared" si="36"/>
        <v>-0.36241370099157555</v>
      </c>
    </row>
    <row r="29" spans="1:78">
      <c r="A29">
        <v>2022</v>
      </c>
      <c r="B29" t="s">
        <v>1929</v>
      </c>
      <c r="C29">
        <v>3905389</v>
      </c>
      <c r="D29" s="260">
        <f t="shared" si="1"/>
        <v>702844</v>
      </c>
      <c r="E29">
        <v>1721079</v>
      </c>
      <c r="F29">
        <v>1481466</v>
      </c>
      <c r="G29">
        <v>24010762</v>
      </c>
      <c r="H29">
        <v>7572564</v>
      </c>
      <c r="I29">
        <v>16344223</v>
      </c>
      <c r="M29" t="s">
        <v>1951</v>
      </c>
      <c r="N29" t="s">
        <v>1246</v>
      </c>
      <c r="O29" s="304">
        <f t="shared" si="10"/>
        <v>2964479</v>
      </c>
      <c r="P29" s="304">
        <f t="shared" si="2"/>
        <v>6804370</v>
      </c>
      <c r="Q29" s="304">
        <f t="shared" si="2"/>
        <v>6210641</v>
      </c>
      <c r="R29" s="304">
        <f t="shared" si="30"/>
        <v>15979490</v>
      </c>
      <c r="S29" s="304">
        <v>127927.86929666666</v>
      </c>
      <c r="T29" s="304">
        <f t="shared" si="31"/>
        <v>124.91015513549532</v>
      </c>
      <c r="U29" s="304">
        <v>95534839</v>
      </c>
      <c r="V29" s="304">
        <v>29995573</v>
      </c>
      <c r="W29" s="304">
        <v>65245366</v>
      </c>
      <c r="X29" s="304">
        <v>24374967</v>
      </c>
      <c r="Y29" s="304">
        <v>28560491</v>
      </c>
      <c r="Z29" s="304">
        <v>319993760</v>
      </c>
      <c r="AA29" s="304">
        <v>71100</v>
      </c>
      <c r="AB29">
        <f>Z29/AA29</f>
        <v>4500.6154711673698</v>
      </c>
      <c r="AC29" s="78">
        <f>(AB29/AB$21)-1</f>
        <v>-1.6037302435689349E-2</v>
      </c>
      <c r="AD29">
        <f t="shared" si="3"/>
        <v>89.742573669956897</v>
      </c>
      <c r="AE29">
        <f t="shared" si="4"/>
        <v>92.122430605620593</v>
      </c>
      <c r="AF29">
        <f t="shared" si="5"/>
        <v>96.469098358656836</v>
      </c>
      <c r="AG29">
        <f t="shared" si="11"/>
        <v>99.081856509731978</v>
      </c>
      <c r="AH29">
        <f t="shared" si="12"/>
        <v>98.526774480282427</v>
      </c>
      <c r="AI29">
        <f t="shared" si="13"/>
        <v>98.930622752077852</v>
      </c>
      <c r="AJ29">
        <f t="shared" si="14"/>
        <v>98.179339719986913</v>
      </c>
      <c r="AK29">
        <f t="shared" si="15"/>
        <v>107.61831094080713</v>
      </c>
      <c r="AL29">
        <f>(Z29/Z$17)*100</f>
        <v>116.18947445168754</v>
      </c>
      <c r="AO29" s="304">
        <v>4090</v>
      </c>
      <c r="AP29" s="304">
        <f t="shared" si="16"/>
        <v>4090</v>
      </c>
      <c r="AQ29">
        <v>2359.3897290710511</v>
      </c>
      <c r="AR29">
        <v>154.19409630000001</v>
      </c>
      <c r="AS29">
        <v>166.0463154</v>
      </c>
      <c r="AT29">
        <v>245.0263094</v>
      </c>
      <c r="AU29" s="983">
        <v>27.92</v>
      </c>
      <c r="AW29" s="304">
        <f t="shared" si="17"/>
        <v>12124719110</v>
      </c>
      <c r="AX29" s="304">
        <f t="shared" si="7"/>
        <v>27829873300</v>
      </c>
      <c r="AY29" s="304">
        <f t="shared" si="7"/>
        <v>14653322586.347561</v>
      </c>
      <c r="AZ29" s="304">
        <f t="shared" si="18"/>
        <v>14730908164.770996</v>
      </c>
      <c r="BA29" s="304">
        <f t="shared" si="19"/>
        <v>4047373458.3465919</v>
      </c>
      <c r="BB29" s="304">
        <f t="shared" si="20"/>
        <v>6998071704.3819151</v>
      </c>
      <c r="BC29" s="304">
        <f t="shared" si="38"/>
        <v>2443276380.0799999</v>
      </c>
      <c r="BD29" s="173">
        <v>1.2999999999999999E-2</v>
      </c>
      <c r="BE29" t="s">
        <v>1964</v>
      </c>
      <c r="BF29" s="304">
        <f t="shared" si="21"/>
        <v>82827544703.927063</v>
      </c>
      <c r="BG29" s="304">
        <f t="shared" si="22"/>
        <v>73386196619.465149</v>
      </c>
      <c r="BH29" s="304">
        <f t="shared" si="8"/>
        <v>26778041696.347561</v>
      </c>
      <c r="BI29" s="304">
        <f t="shared" si="23"/>
        <v>9441348084.4619141</v>
      </c>
      <c r="BJ29" t="s">
        <v>1964</v>
      </c>
      <c r="BK29">
        <f t="shared" si="24"/>
        <v>94.511611890273045</v>
      </c>
      <c r="BL29">
        <f t="shared" si="25"/>
        <v>99.919404454856391</v>
      </c>
      <c r="BM29">
        <f t="shared" si="32"/>
        <v>110.04136421899733</v>
      </c>
      <c r="BN29">
        <f t="shared" si="27"/>
        <v>66.525675117515419</v>
      </c>
      <c r="BO29">
        <f t="shared" si="28"/>
        <v>-5.4883881097269551</v>
      </c>
      <c r="BP29">
        <f t="shared" si="9"/>
        <v>-8.0595545143609115E-2</v>
      </c>
      <c r="BQ29">
        <f t="shared" si="9"/>
        <v>10.04136421899733</v>
      </c>
      <c r="BR29">
        <f t="shared" si="9"/>
        <v>-33.474324882484581</v>
      </c>
      <c r="BS29" s="592">
        <f t="shared" si="33"/>
        <v>0.13237137124715903</v>
      </c>
      <c r="BT29" s="592">
        <f t="shared" si="34"/>
        <v>0.26684363519076748</v>
      </c>
      <c r="BU29" s="592">
        <f t="shared" si="35"/>
        <v>0.14020938133508198</v>
      </c>
      <c r="BV29" s="592">
        <f t="shared" si="36"/>
        <v>-0.37954586769897514</v>
      </c>
      <c r="BW29" s="173">
        <f>BK29/BK25-1</f>
        <v>0.13237137124715903</v>
      </c>
      <c r="BX29" s="173">
        <f>BL29/BL25-1</f>
        <v>0.26684363519076748</v>
      </c>
      <c r="BY29" s="173">
        <f>BM29/BM25-1</f>
        <v>0.14020938133508198</v>
      </c>
      <c r="BZ29" s="173">
        <f>BN29/BN25-1</f>
        <v>-0.37954586769897514</v>
      </c>
    </row>
    <row r="30" spans="1:78">
      <c r="B30" t="s">
        <v>1930</v>
      </c>
      <c r="C30">
        <v>4000988</v>
      </c>
      <c r="D30" s="260">
        <f t="shared" si="1"/>
        <v>727712</v>
      </c>
      <c r="E30">
        <v>1760925</v>
      </c>
      <c r="F30">
        <v>1512351</v>
      </c>
      <c r="G30">
        <v>23659745</v>
      </c>
      <c r="H30">
        <v>7565130</v>
      </c>
      <c r="I30">
        <v>16062724</v>
      </c>
      <c r="O30" s="304">
        <f t="shared" si="10"/>
        <v>2945951</v>
      </c>
      <c r="P30" s="304">
        <f t="shared" si="2"/>
        <v>6880129</v>
      </c>
      <c r="Q30" s="304">
        <f t="shared" si="2"/>
        <v>6110225</v>
      </c>
      <c r="R30" s="304">
        <f t="shared" si="30"/>
        <v>15936305</v>
      </c>
      <c r="S30" s="304">
        <v>128175.04547</v>
      </c>
      <c r="T30" s="304">
        <f t="shared" si="31"/>
        <v>124.33235300649822</v>
      </c>
      <c r="U30" s="304">
        <v>95279552</v>
      </c>
      <c r="V30" s="304">
        <v>30082979</v>
      </c>
      <c r="W30" s="304">
        <v>64900015</v>
      </c>
      <c r="X30" s="304">
        <v>24729601</v>
      </c>
      <c r="Y30" s="304">
        <v>28611747</v>
      </c>
      <c r="AD30">
        <f t="shared" si="3"/>
        <v>89.181682395315732</v>
      </c>
      <c r="AE30">
        <f t="shared" si="4"/>
        <v>93.148110164529243</v>
      </c>
      <c r="AF30">
        <f t="shared" si="5"/>
        <v>94.909349376098845</v>
      </c>
      <c r="AG30">
        <f t="shared" si="11"/>
        <v>98.817091213976369</v>
      </c>
      <c r="AH30">
        <f t="shared" si="12"/>
        <v>98.813877888849532</v>
      </c>
      <c r="AI30">
        <f t="shared" si="13"/>
        <v>98.406971930683838</v>
      </c>
      <c r="AJ30">
        <f t="shared" si="14"/>
        <v>99.60776142666073</v>
      </c>
      <c r="AK30">
        <f t="shared" si="15"/>
        <v>107.81144782159753</v>
      </c>
      <c r="AO30" s="304">
        <v>4091</v>
      </c>
      <c r="AP30" s="304">
        <f t="shared" si="16"/>
        <v>4091</v>
      </c>
      <c r="AQ30">
        <v>2359.3897290710511</v>
      </c>
      <c r="AR30">
        <v>154.19409630000001</v>
      </c>
      <c r="AS30">
        <v>166.0463154</v>
      </c>
      <c r="AT30">
        <v>245.0263094</v>
      </c>
      <c r="AU30" s="983">
        <v>27.92</v>
      </c>
      <c r="AW30" s="304">
        <f t="shared" si="17"/>
        <v>12051885541</v>
      </c>
      <c r="AX30" s="304">
        <f t="shared" si="7"/>
        <v>28146607739</v>
      </c>
      <c r="AY30" s="304">
        <f t="shared" si="7"/>
        <v>14416402107.313164</v>
      </c>
      <c r="AZ30" s="304">
        <f t="shared" si="18"/>
        <v>14691544416.50886</v>
      </c>
      <c r="BA30" s="304">
        <f t="shared" si="19"/>
        <v>4106259127.3621554</v>
      </c>
      <c r="BB30" s="304">
        <f t="shared" si="20"/>
        <v>7010630772.8965216</v>
      </c>
      <c r="BC30" s="304">
        <f>BC29*(1+BD33)</f>
        <v>2475038973.0210395</v>
      </c>
      <c r="BE30" t="s">
        <v>1965</v>
      </c>
      <c r="BF30" s="304">
        <f t="shared" si="21"/>
        <v>82898368677.10173</v>
      </c>
      <c r="BG30" s="304">
        <f t="shared" si="22"/>
        <v>73412698931.184174</v>
      </c>
      <c r="BH30" s="304">
        <f t="shared" si="8"/>
        <v>26468287648.313164</v>
      </c>
      <c r="BI30" s="304">
        <f t="shared" si="23"/>
        <v>9485669745.9175606</v>
      </c>
      <c r="BJ30" t="s">
        <v>1965</v>
      </c>
      <c r="BK30">
        <f t="shared" si="24"/>
        <v>94.59242664687531</v>
      </c>
      <c r="BL30">
        <f t="shared" si="25"/>
        <v>99.955488832104805</v>
      </c>
      <c r="BM30">
        <f t="shared" si="32"/>
        <v>108.76846463938725</v>
      </c>
      <c r="BN30">
        <f t="shared" si="27"/>
        <v>66.837974634945482</v>
      </c>
      <c r="BO30">
        <f t="shared" si="28"/>
        <v>-5.4075733531246897</v>
      </c>
      <c r="BP30">
        <f t="shared" si="9"/>
        <v>-4.4511167895194603E-2</v>
      </c>
      <c r="BQ30">
        <f t="shared" si="9"/>
        <v>8.768464639387247</v>
      </c>
      <c r="BR30">
        <f t="shared" si="9"/>
        <v>-33.162025365054518</v>
      </c>
      <c r="BS30" s="592">
        <f t="shared" si="33"/>
        <v>0.10411099569382909</v>
      </c>
      <c r="BT30" s="592">
        <f t="shared" si="34"/>
        <v>0.11510302121789762</v>
      </c>
      <c r="BU30" s="592">
        <f t="shared" si="35"/>
        <v>4.6970221360347786E-2</v>
      </c>
      <c r="BV30" s="592">
        <f t="shared" si="36"/>
        <v>2.5849259954407566E-2</v>
      </c>
    </row>
    <row r="31" spans="1:78">
      <c r="B31" t="s">
        <v>1931</v>
      </c>
      <c r="C31">
        <v>4055522</v>
      </c>
      <c r="D31" s="260">
        <f t="shared" si="1"/>
        <v>748323</v>
      </c>
      <c r="E31">
        <v>1835234</v>
      </c>
      <c r="F31">
        <v>1471965</v>
      </c>
      <c r="G31">
        <v>23565105</v>
      </c>
      <c r="H31">
        <v>7536887</v>
      </c>
      <c r="I31">
        <v>16019017</v>
      </c>
      <c r="O31" s="304">
        <f t="shared" si="10"/>
        <v>2924672</v>
      </c>
      <c r="P31" s="304">
        <f t="shared" si="2"/>
        <v>7015389</v>
      </c>
      <c r="Q31" s="304">
        <f t="shared" si="2"/>
        <v>6011653</v>
      </c>
      <c r="R31" s="304">
        <f t="shared" si="30"/>
        <v>15951714</v>
      </c>
      <c r="S31" s="304">
        <v>127949.65751666667</v>
      </c>
      <c r="T31" s="304">
        <f t="shared" si="31"/>
        <v>124.6717991247623</v>
      </c>
      <c r="U31" s="304">
        <v>95039893</v>
      </c>
      <c r="V31" s="304">
        <v>30153074</v>
      </c>
      <c r="W31" s="304">
        <v>64663947</v>
      </c>
      <c r="X31" s="304">
        <v>24592125</v>
      </c>
      <c r="Y31" s="304">
        <v>28138604</v>
      </c>
      <c r="AA31" s="173">
        <v>5.0999999999999997E-2</v>
      </c>
      <c r="AD31">
        <f t="shared" si="3"/>
        <v>88.537511117623097</v>
      </c>
      <c r="AE31">
        <f t="shared" si="4"/>
        <v>94.979356843313056</v>
      </c>
      <c r="AF31">
        <f t="shared" si="5"/>
        <v>93.378243011488578</v>
      </c>
      <c r="AG31">
        <f t="shared" si="11"/>
        <v>98.568534154605956</v>
      </c>
      <c r="AH31">
        <f t="shared" si="12"/>
        <v>99.044119673435389</v>
      </c>
      <c r="AI31">
        <f t="shared" si="13"/>
        <v>98.049025371661742</v>
      </c>
      <c r="AJ31">
        <f t="shared" si="14"/>
        <v>99.054025173095951</v>
      </c>
      <c r="AK31">
        <f t="shared" si="15"/>
        <v>106.02860555556416</v>
      </c>
      <c r="AO31" s="304">
        <v>4092</v>
      </c>
      <c r="AP31" s="304">
        <f t="shared" si="16"/>
        <v>4092</v>
      </c>
      <c r="AQ31">
        <v>2359.3897290710511</v>
      </c>
      <c r="AR31">
        <v>154.19409630000001</v>
      </c>
      <c r="AS31">
        <v>166.0463154</v>
      </c>
      <c r="AT31">
        <v>245.0263094</v>
      </c>
      <c r="AU31" s="983">
        <v>27.92</v>
      </c>
      <c r="AW31" s="304">
        <f t="shared" si="17"/>
        <v>11967757824</v>
      </c>
      <c r="AX31" s="304">
        <f t="shared" si="7"/>
        <v>28706971788</v>
      </c>
      <c r="AY31" s="304">
        <f t="shared" si="7"/>
        <v>14183832342.939171</v>
      </c>
      <c r="AZ31" s="304">
        <f t="shared" si="18"/>
        <v>14654590413.583696</v>
      </c>
      <c r="BA31" s="304">
        <f t="shared" si="19"/>
        <v>4083431744.106225</v>
      </c>
      <c r="BB31" s="304">
        <f t="shared" si="20"/>
        <v>6894698289.7880774</v>
      </c>
      <c r="BC31" s="304">
        <f t="shared" ref="BC31:BC32" si="39">BC30*(1+BD34)</f>
        <v>2475038973.0210395</v>
      </c>
      <c r="BE31" t="s">
        <v>1966</v>
      </c>
      <c r="BF31" s="304">
        <f t="shared" si="21"/>
        <v>82966321375.438217</v>
      </c>
      <c r="BG31" s="304">
        <f t="shared" si="22"/>
        <v>73596584112.629105</v>
      </c>
      <c r="BH31" s="304">
        <f t="shared" si="8"/>
        <v>26151590166.939171</v>
      </c>
      <c r="BI31" s="304">
        <f t="shared" si="23"/>
        <v>9369737262.8091164</v>
      </c>
      <c r="BJ31" t="s">
        <v>1966</v>
      </c>
      <c r="BK31">
        <f t="shared" si="24"/>
        <v>94.66996509226847</v>
      </c>
      <c r="BL31">
        <f t="shared" si="25"/>
        <v>100.20585877447046</v>
      </c>
      <c r="BM31">
        <f t="shared" si="32"/>
        <v>107.46703179787114</v>
      </c>
      <c r="BN31">
        <f t="shared" si="27"/>
        <v>66.021090580058029</v>
      </c>
      <c r="BO31">
        <f t="shared" si="28"/>
        <v>-5.3300349077315303</v>
      </c>
      <c r="BP31">
        <f t="shared" si="9"/>
        <v>0.20585877447045675</v>
      </c>
      <c r="BQ31">
        <f t="shared" si="9"/>
        <v>7.4670317978711438</v>
      </c>
      <c r="BR31">
        <f t="shared" si="9"/>
        <v>-33.978909419941971</v>
      </c>
      <c r="BS31" s="592">
        <f t="shared" si="33"/>
        <v>5.7954388006471902E-2</v>
      </c>
      <c r="BT31" s="592">
        <f t="shared" si="34"/>
        <v>6.6345149252176716E-2</v>
      </c>
      <c r="BU31" s="592">
        <f t="shared" si="35"/>
        <v>1.2244613345833377E-2</v>
      </c>
      <c r="BV31" s="592">
        <f t="shared" si="36"/>
        <v>-3.6278396629805254E-3</v>
      </c>
    </row>
    <row r="32" spans="1:78">
      <c r="B32" t="s">
        <v>1936</v>
      </c>
      <c r="C32">
        <v>4140935</v>
      </c>
      <c r="D32" s="260">
        <f t="shared" si="1"/>
        <v>742314</v>
      </c>
      <c r="E32">
        <v>1859896</v>
      </c>
      <c r="F32">
        <v>1538725</v>
      </c>
      <c r="G32">
        <v>23923677</v>
      </c>
      <c r="H32">
        <v>7645663</v>
      </c>
      <c r="I32">
        <v>16266792</v>
      </c>
      <c r="O32" s="304">
        <f t="shared" si="10"/>
        <v>2921193</v>
      </c>
      <c r="P32" s="304">
        <f t="shared" si="2"/>
        <v>7177134</v>
      </c>
      <c r="Q32" s="304">
        <f t="shared" si="2"/>
        <v>6004507</v>
      </c>
      <c r="R32" s="304">
        <f t="shared" si="30"/>
        <v>16102834</v>
      </c>
      <c r="S32" s="304">
        <v>129864.38902666666</v>
      </c>
      <c r="T32" s="304">
        <f t="shared" si="31"/>
        <v>123.99730303812083</v>
      </c>
      <c r="U32" s="304">
        <v>95159289</v>
      </c>
      <c r="V32" s="304">
        <v>30320244</v>
      </c>
      <c r="W32" s="304">
        <v>64692756</v>
      </c>
      <c r="X32" s="304">
        <v>25175637</v>
      </c>
      <c r="Y32" s="304">
        <v>27929904</v>
      </c>
      <c r="AD32">
        <f t="shared" si="3"/>
        <v>88.432192640481659</v>
      </c>
      <c r="AE32">
        <f t="shared" si="4"/>
        <v>97.16917640608024</v>
      </c>
      <c r="AF32">
        <f t="shared" si="5"/>
        <v>93.267245100504681</v>
      </c>
      <c r="AG32">
        <f t="shared" si="11"/>
        <v>98.692363089303129</v>
      </c>
      <c r="AH32">
        <f t="shared" si="12"/>
        <v>99.593224732700932</v>
      </c>
      <c r="AI32">
        <f t="shared" si="13"/>
        <v>98.092708049614146</v>
      </c>
      <c r="AJ32">
        <f t="shared" si="14"/>
        <v>101.40433903726196</v>
      </c>
      <c r="AK32">
        <f t="shared" si="15"/>
        <v>105.24220655796475</v>
      </c>
      <c r="AO32" s="304">
        <v>4093</v>
      </c>
      <c r="AP32" s="304">
        <f t="shared" si="16"/>
        <v>4093</v>
      </c>
      <c r="AQ32">
        <v>2359.3897290710511</v>
      </c>
      <c r="AR32">
        <v>154.19409630000001</v>
      </c>
      <c r="AS32">
        <v>166.0463154</v>
      </c>
      <c r="AT32">
        <v>245.0263094</v>
      </c>
      <c r="AU32" s="983">
        <v>27.92</v>
      </c>
      <c r="AW32" s="304">
        <f t="shared" si="17"/>
        <v>11956442949</v>
      </c>
      <c r="AX32" s="304">
        <f t="shared" si="7"/>
        <v>29376009462</v>
      </c>
      <c r="AY32" s="304">
        <f t="shared" si="7"/>
        <v>14166972143.93523</v>
      </c>
      <c r="AZ32" s="304">
        <f t="shared" si="18"/>
        <v>14673000571.905533</v>
      </c>
      <c r="BA32" s="304">
        <f t="shared" si="19"/>
        <v>4180321761.6979098</v>
      </c>
      <c r="BB32" s="304">
        <f t="shared" si="20"/>
        <v>6843561299.0162973</v>
      </c>
      <c r="BC32" s="304">
        <f t="shared" si="39"/>
        <v>2475038973.0210395</v>
      </c>
      <c r="BE32" t="s">
        <v>1967</v>
      </c>
      <c r="BF32" s="304">
        <f t="shared" si="21"/>
        <v>83671347160.576004</v>
      </c>
      <c r="BG32" s="304">
        <f t="shared" si="22"/>
        <v>74352746888.538666</v>
      </c>
      <c r="BH32" s="304">
        <f t="shared" si="8"/>
        <v>26123415092.93523</v>
      </c>
      <c r="BI32" s="304">
        <f t="shared" si="23"/>
        <v>9318600272.0373363</v>
      </c>
      <c r="BJ32" t="s">
        <v>1967</v>
      </c>
      <c r="BK32">
        <f t="shared" si="24"/>
        <v>95.474445336319675</v>
      </c>
      <c r="BL32">
        <f t="shared" si="25"/>
        <v>101.23541661668428</v>
      </c>
      <c r="BM32">
        <f t="shared" si="32"/>
        <v>107.3512494857991</v>
      </c>
      <c r="BN32">
        <f t="shared" si="27"/>
        <v>65.660768854374638</v>
      </c>
      <c r="BO32">
        <f t="shared" si="28"/>
        <v>-4.5255546636803246</v>
      </c>
      <c r="BP32">
        <f t="shared" si="9"/>
        <v>1.2354166166842759</v>
      </c>
      <c r="BQ32">
        <f t="shared" si="9"/>
        <v>7.3512494857991015</v>
      </c>
      <c r="BR32">
        <f t="shared" si="9"/>
        <v>-34.339231145625362</v>
      </c>
      <c r="BS32" s="592">
        <f t="shared" si="33"/>
        <v>4.364673085894788E-2</v>
      </c>
      <c r="BT32" s="592">
        <f t="shared" si="34"/>
        <v>5.1215677206015275E-2</v>
      </c>
      <c r="BU32" s="592">
        <f t="shared" si="35"/>
        <v>-6.0963606654124147E-3</v>
      </c>
      <c r="BV32" s="592">
        <f t="shared" si="36"/>
        <v>-1.3053341560182341E-2</v>
      </c>
    </row>
    <row r="33" spans="1:78">
      <c r="A33">
        <v>2023</v>
      </c>
      <c r="B33" t="s">
        <v>1929</v>
      </c>
      <c r="C33">
        <v>4202151</v>
      </c>
      <c r="D33" s="260">
        <f t="shared" si="1"/>
        <v>721191</v>
      </c>
      <c r="E33">
        <v>1950001</v>
      </c>
      <c r="F33">
        <v>1530959</v>
      </c>
      <c r="G33">
        <v>24793662</v>
      </c>
      <c r="H33">
        <v>7883435</v>
      </c>
      <c r="I33">
        <v>16898799</v>
      </c>
      <c r="M33" t="s">
        <v>1951</v>
      </c>
      <c r="N33" t="s">
        <v>300</v>
      </c>
      <c r="O33" s="304">
        <f t="shared" si="10"/>
        <v>2939540</v>
      </c>
      <c r="P33" s="304">
        <f t="shared" ref="P33:Q34" si="40">SUM(E30:E33)</f>
        <v>7406056</v>
      </c>
      <c r="Q33" s="304">
        <f t="shared" si="40"/>
        <v>6054000</v>
      </c>
      <c r="R33" s="304">
        <f t="shared" si="30"/>
        <v>16399596</v>
      </c>
      <c r="S33" s="304">
        <v>132732.81915333334</v>
      </c>
      <c r="T33" s="304">
        <f t="shared" si="31"/>
        <v>123.55343693148819</v>
      </c>
      <c r="U33" s="304">
        <v>95942189</v>
      </c>
      <c r="V33" s="304">
        <v>30631115</v>
      </c>
      <c r="W33" s="304">
        <v>65247332</v>
      </c>
      <c r="X33" s="304">
        <v>25348842</v>
      </c>
      <c r="Y33" s="304">
        <v>27956344</v>
      </c>
      <c r="Z33" s="304">
        <v>336700000</v>
      </c>
      <c r="AA33" s="304">
        <v>74700</v>
      </c>
      <c r="AB33">
        <f>Z33/AA33</f>
        <v>4507.3627844712182</v>
      </c>
      <c r="AC33" s="78">
        <f>(AB33/AB$21)-1</f>
        <v>-1.4562147616909771E-2</v>
      </c>
      <c r="AD33">
        <f t="shared" si="3"/>
        <v>88.987604569229575</v>
      </c>
      <c r="AE33">
        <f t="shared" si="4"/>
        <v>100.26848627004998</v>
      </c>
      <c r="AF33">
        <f t="shared" si="5"/>
        <v>94.036013587536047</v>
      </c>
      <c r="AG33">
        <f t="shared" si="11"/>
        <v>99.504330600563279</v>
      </c>
      <c r="AH33">
        <f t="shared" si="12"/>
        <v>100.61434597980829</v>
      </c>
      <c r="AI33">
        <f t="shared" si="13"/>
        <v>98.933603769983876</v>
      </c>
      <c r="AJ33">
        <f t="shared" si="14"/>
        <v>102.10198726530675</v>
      </c>
      <c r="AK33">
        <f t="shared" si="15"/>
        <v>105.34183468204969</v>
      </c>
      <c r="AL33">
        <f>(Z33/Z$17)*100</f>
        <v>122.25549663181931</v>
      </c>
      <c r="AO33" s="304">
        <v>4094</v>
      </c>
      <c r="AP33" s="304">
        <f t="shared" si="16"/>
        <v>4094</v>
      </c>
      <c r="AQ33">
        <v>2359.3897290710511</v>
      </c>
      <c r="AR33">
        <v>154.19409630000001</v>
      </c>
      <c r="AS33">
        <v>166.0463154</v>
      </c>
      <c r="AT33">
        <v>245.0263094</v>
      </c>
      <c r="AU33" s="983">
        <v>27.92</v>
      </c>
      <c r="AW33" s="304">
        <f t="shared" si="17"/>
        <v>12034476760</v>
      </c>
      <c r="AX33" s="304">
        <f t="shared" ref="AX33:AY34" si="41">AP33*P33</f>
        <v>30320393264</v>
      </c>
      <c r="AY33" s="304">
        <f t="shared" si="41"/>
        <v>14283745419.796143</v>
      </c>
      <c r="AZ33" s="304">
        <f t="shared" si="18"/>
        <v>14793719129.898802</v>
      </c>
      <c r="BA33" s="304">
        <f t="shared" si="19"/>
        <v>4209081813.7567668</v>
      </c>
      <c r="BB33" s="304">
        <f t="shared" si="20"/>
        <v>6850039794.6368332</v>
      </c>
      <c r="BC33" s="304">
        <f>AU33*Z33</f>
        <v>9400664000</v>
      </c>
      <c r="BD33" s="173">
        <v>1.2999999999999999E-2</v>
      </c>
      <c r="BE33" t="s">
        <v>1968</v>
      </c>
      <c r="BF33" s="304">
        <f t="shared" si="21"/>
        <v>91892120182.088531</v>
      </c>
      <c r="BG33" s="304">
        <f t="shared" si="22"/>
        <v>75641416387.451706</v>
      </c>
      <c r="BH33" s="304">
        <f t="shared" si="8"/>
        <v>26318222179.796143</v>
      </c>
      <c r="BI33" s="304">
        <f t="shared" si="23"/>
        <v>16250703794.636833</v>
      </c>
      <c r="BJ33" t="s">
        <v>1968</v>
      </c>
      <c r="BK33">
        <f t="shared" si="24"/>
        <v>104.85488166368533</v>
      </c>
      <c r="BL33">
        <f t="shared" si="25"/>
        <v>102.99001209651564</v>
      </c>
      <c r="BM33">
        <f t="shared" si="32"/>
        <v>108.1517873981972</v>
      </c>
      <c r="BN33">
        <f t="shared" si="27"/>
        <v>114.50579211799061</v>
      </c>
      <c r="BO33">
        <f t="shared" si="28"/>
        <v>4.8548816636853331</v>
      </c>
      <c r="BP33">
        <f t="shared" si="28"/>
        <v>2.9900120965156418</v>
      </c>
      <c r="BQ33">
        <f t="shared" si="28"/>
        <v>8.1517873981972002</v>
      </c>
      <c r="BR33">
        <f t="shared" si="28"/>
        <v>14.505792117990609</v>
      </c>
      <c r="BS33" s="592">
        <f t="shared" si="33"/>
        <v>0.10943914262536025</v>
      </c>
      <c r="BT33" s="592">
        <f t="shared" si="34"/>
        <v>3.073084410792859E-2</v>
      </c>
      <c r="BU33" s="592">
        <f t="shared" si="35"/>
        <v>-1.7171513950332451E-2</v>
      </c>
      <c r="BV33" s="592">
        <f t="shared" si="36"/>
        <v>0.72122705881180305</v>
      </c>
      <c r="BW33" s="173">
        <f>BK33/BK29-1</f>
        <v>0.10943914262536025</v>
      </c>
      <c r="BX33" s="173">
        <f>BL33/BL29-1</f>
        <v>3.073084410792859E-2</v>
      </c>
      <c r="BY33" s="173">
        <f>BM33/BM29-1</f>
        <v>-1.7171513950332451E-2</v>
      </c>
      <c r="BZ33" s="173">
        <f>BN33/BN29-1</f>
        <v>0.72122705881180305</v>
      </c>
    </row>
    <row r="34" spans="1:78">
      <c r="B34" t="s">
        <v>1930</v>
      </c>
      <c r="C34">
        <v>4227488</v>
      </c>
      <c r="D34" s="260">
        <f t="shared" si="1"/>
        <v>745547</v>
      </c>
      <c r="E34">
        <v>1902881</v>
      </c>
      <c r="F34">
        <v>1579060</v>
      </c>
      <c r="G34">
        <v>24776609</v>
      </c>
      <c r="H34">
        <v>7964044</v>
      </c>
      <c r="I34">
        <v>16807844</v>
      </c>
      <c r="O34" s="304">
        <f t="shared" si="10"/>
        <v>2957375</v>
      </c>
      <c r="P34" s="304">
        <f t="shared" si="40"/>
        <v>7548012</v>
      </c>
      <c r="Q34" s="304">
        <f t="shared" si="40"/>
        <v>6120709</v>
      </c>
      <c r="R34" s="304">
        <f t="shared" si="30"/>
        <v>16626096</v>
      </c>
      <c r="S34" s="304">
        <v>133738.64562000002</v>
      </c>
      <c r="T34" s="304">
        <f t="shared" si="31"/>
        <v>124.31781347061616</v>
      </c>
      <c r="U34" s="304">
        <v>97059053</v>
      </c>
      <c r="V34" s="304">
        <v>31030029</v>
      </c>
      <c r="W34" s="304">
        <v>65992452</v>
      </c>
      <c r="X34" s="304">
        <v>25386314</v>
      </c>
      <c r="Y34" s="304">
        <v>28282021</v>
      </c>
      <c r="AD34">
        <f t="shared" si="3"/>
        <v>89.527516911804327</v>
      </c>
      <c r="AE34">
        <f t="shared" si="4"/>
        <v>102.19038818882447</v>
      </c>
      <c r="AF34">
        <f t="shared" si="5"/>
        <v>95.072196017402405</v>
      </c>
      <c r="AG34">
        <f t="shared" si="11"/>
        <v>100.66266152724108</v>
      </c>
      <c r="AH34">
        <f t="shared" si="12"/>
        <v>101.92466299609025</v>
      </c>
      <c r="AI34">
        <f t="shared" si="13"/>
        <v>100.0634186540789</v>
      </c>
      <c r="AJ34">
        <f t="shared" si="14"/>
        <v>102.25291982730724</v>
      </c>
      <c r="AK34">
        <f t="shared" si="15"/>
        <v>106.56901276705773</v>
      </c>
      <c r="AO34" s="304">
        <v>4095</v>
      </c>
      <c r="AP34" s="304">
        <f t="shared" si="16"/>
        <v>4095</v>
      </c>
      <c r="AQ34">
        <v>2359.3897290710511</v>
      </c>
      <c r="AR34">
        <v>154.19409630000001</v>
      </c>
      <c r="AS34">
        <v>166.0463154</v>
      </c>
      <c r="AT34">
        <v>245.0263094</v>
      </c>
      <c r="AU34" s="983">
        <v>27.92</v>
      </c>
      <c r="AW34" s="304">
        <f t="shared" si="17"/>
        <v>12110450625</v>
      </c>
      <c r="AX34" s="304">
        <f t="shared" si="41"/>
        <v>30909109140</v>
      </c>
      <c r="AY34" s="304">
        <f t="shared" si="41"/>
        <v>14441137949.232744</v>
      </c>
      <c r="AZ34" s="304">
        <f t="shared" si="18"/>
        <v>14965932965.068806</v>
      </c>
      <c r="BA34" s="304">
        <f t="shared" si="19"/>
        <v>4215303901.2874355</v>
      </c>
      <c r="BB34" s="304">
        <f t="shared" si="20"/>
        <v>6929839228.0032978</v>
      </c>
      <c r="BC34" s="304">
        <f>BC33*(1+BD37)</f>
        <v>9400664000</v>
      </c>
      <c r="BE34" t="s">
        <v>1969</v>
      </c>
      <c r="BF34" s="304">
        <f t="shared" si="21"/>
        <v>92972437808.59227</v>
      </c>
      <c r="BG34" s="304">
        <f t="shared" si="22"/>
        <v>76641934580.588974</v>
      </c>
      <c r="BH34" s="304">
        <f>(AW34+AY34)</f>
        <v>26551588574.232742</v>
      </c>
      <c r="BI34" s="304">
        <f t="shared" si="23"/>
        <v>16330503228.003298</v>
      </c>
      <c r="BJ34" t="s">
        <v>1969</v>
      </c>
      <c r="BK34">
        <f t="shared" si="24"/>
        <v>106.08759429085923</v>
      </c>
      <c r="BL34">
        <f t="shared" si="25"/>
        <v>104.35227348366602</v>
      </c>
      <c r="BM34">
        <f t="shared" si="32"/>
        <v>109.11078046788738</v>
      </c>
      <c r="BN34">
        <f t="shared" si="27"/>
        <v>115.0680752931482</v>
      </c>
      <c r="BO34">
        <f t="shared" si="28"/>
        <v>6.0875942908592293</v>
      </c>
      <c r="BP34">
        <f t="shared" si="28"/>
        <v>4.3522734836660248</v>
      </c>
      <c r="BQ34">
        <f t="shared" si="28"/>
        <v>9.1107804678873805</v>
      </c>
      <c r="BR34">
        <f t="shared" si="28"/>
        <v>15.068075293148198</v>
      </c>
      <c r="BS34" s="592">
        <f t="shared" si="33"/>
        <v>0.12152312876903704</v>
      </c>
      <c r="BT34" s="592">
        <f t="shared" si="34"/>
        <v>4.3987425832577198E-2</v>
      </c>
      <c r="BU34" s="592">
        <f t="shared" si="35"/>
        <v>3.1471973943464349E-3</v>
      </c>
      <c r="BV34" s="172">
        <f t="shared" si="36"/>
        <v>0.72159727941525853</v>
      </c>
    </row>
    <row r="35" spans="1:78">
      <c r="O35" s="304"/>
      <c r="P35" s="304"/>
      <c r="Q35" s="304"/>
      <c r="R35" s="304"/>
      <c r="S35" s="304"/>
      <c r="T35" s="304"/>
      <c r="U35" s="304"/>
      <c r="V35" s="304"/>
      <c r="W35" s="304"/>
      <c r="X35" s="304"/>
      <c r="Y35" s="304"/>
      <c r="AW35" s="304"/>
      <c r="AX35" s="304"/>
      <c r="AY35" s="304"/>
      <c r="AZ35" s="304"/>
      <c r="BA35" s="304"/>
      <c r="BB35" s="304"/>
      <c r="BC35" s="304"/>
      <c r="BF35" s="304"/>
      <c r="BG35" s="304"/>
      <c r="BH35" s="304"/>
      <c r="BI35" s="304"/>
      <c r="BS35" s="592"/>
      <c r="BT35" s="592"/>
      <c r="BU35" s="592"/>
      <c r="BV35" s="592"/>
    </row>
    <row r="36" spans="1:78" ht="15" thickBot="1">
      <c r="B36" t="s">
        <v>1931</v>
      </c>
      <c r="C36">
        <v>2196165</v>
      </c>
      <c r="D36">
        <f t="shared" ref="D36:D37" si="42">C36-F36</f>
        <v>1136595</v>
      </c>
      <c r="E36">
        <v>1288209</v>
      </c>
      <c r="F36">
        <v>1059570</v>
      </c>
      <c r="G36">
        <v>16329910</v>
      </c>
      <c r="H36">
        <v>5301152</v>
      </c>
      <c r="I36">
        <v>11026992</v>
      </c>
      <c r="P36" s="304"/>
      <c r="X36">
        <v>25667278</v>
      </c>
      <c r="AO36" s="996" t="s">
        <v>1970</v>
      </c>
      <c r="AW36" t="s">
        <v>1971</v>
      </c>
      <c r="AX36" t="s">
        <v>1971</v>
      </c>
      <c r="AY36" t="s">
        <v>1971</v>
      </c>
      <c r="AZ36" t="s">
        <v>1971</v>
      </c>
      <c r="BC36" s="304"/>
      <c r="BE36" t="s">
        <v>1972</v>
      </c>
      <c r="BF36" s="304"/>
      <c r="BH36" s="304"/>
      <c r="BJ36" t="s">
        <v>1972</v>
      </c>
    </row>
    <row r="37" spans="1:78">
      <c r="A37" t="s">
        <v>176</v>
      </c>
      <c r="C37">
        <v>198737195</v>
      </c>
      <c r="D37">
        <f t="shared" si="42"/>
        <v>105848313</v>
      </c>
      <c r="E37">
        <v>104157946</v>
      </c>
      <c r="F37">
        <v>92888882</v>
      </c>
      <c r="G37">
        <v>1349238264</v>
      </c>
      <c r="H37">
        <v>417087643</v>
      </c>
      <c r="I37">
        <v>930104947</v>
      </c>
      <c r="P37" s="304"/>
      <c r="AO37" s="1089">
        <v>5845.2165759800328</v>
      </c>
      <c r="AQ37">
        <v>2359.3897290710511</v>
      </c>
      <c r="BE37" t="s">
        <v>1973</v>
      </c>
      <c r="BH37" s="304"/>
      <c r="BJ37" t="s">
        <v>1973</v>
      </c>
    </row>
    <row r="38" spans="1:78">
      <c r="AO38" s="997">
        <f>(AO37/'DHSC NHS Budgets'!M52)*'DHSC NHS Budgets'!K52</f>
        <v>5415.9068839589017</v>
      </c>
      <c r="AQ38">
        <f>(AQ37/'DHSC NHS Budgets'!M52)*'DHSC NHS Budgets'!K52</f>
        <v>2186.1012178963415</v>
      </c>
      <c r="BE38" t="s">
        <v>1974</v>
      </c>
      <c r="BH38" s="304"/>
      <c r="BJ38" t="s">
        <v>1974</v>
      </c>
    </row>
    <row r="39" spans="1:78">
      <c r="BE39" t="s">
        <v>1975</v>
      </c>
      <c r="BH39" s="304"/>
      <c r="BJ39" t="s">
        <v>1975</v>
      </c>
    </row>
    <row r="40" spans="1:78">
      <c r="BE40" t="s">
        <v>1976</v>
      </c>
      <c r="BH40" s="304"/>
      <c r="BJ40" t="s">
        <v>1976</v>
      </c>
    </row>
    <row r="41" spans="1:78">
      <c r="BE41" t="s">
        <v>1977</v>
      </c>
      <c r="BH41" s="304"/>
      <c r="BJ41" t="s">
        <v>1977</v>
      </c>
    </row>
    <row r="42" spans="1:78">
      <c r="BE42" t="s">
        <v>1978</v>
      </c>
      <c r="BH42" s="304"/>
      <c r="BJ42" t="s">
        <v>1978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A2D9D-90EA-49D6-99F5-C62F2D72D017}">
  <sheetPr>
    <tabColor rgb="FFF8CBAD"/>
  </sheetPr>
  <dimension ref="B2:B12"/>
  <sheetViews>
    <sheetView showGridLines="0" workbookViewId="0">
      <selection activeCell="B22" sqref="B22"/>
    </sheetView>
  </sheetViews>
  <sheetFormatPr defaultColWidth="8.54296875" defaultRowHeight="14.5"/>
  <cols>
    <col min="1" max="1" width="8.54296875" style="36"/>
    <col min="2" max="2" width="135.453125" style="36" customWidth="1"/>
    <col min="3" max="16384" width="8.54296875" style="36"/>
  </cols>
  <sheetData>
    <row r="2" spans="2:2">
      <c r="B2" s="67" t="s">
        <v>1979</v>
      </c>
    </row>
    <row r="3" spans="2:2">
      <c r="B3" s="33"/>
    </row>
    <row r="4" spans="2:2">
      <c r="B4" s="35" t="s">
        <v>1980</v>
      </c>
    </row>
    <row r="5" spans="2:2" ht="115.5" customHeight="1">
      <c r="B5" s="33" t="s">
        <v>1981</v>
      </c>
    </row>
    <row r="6" spans="2:2" ht="29">
      <c r="B6" s="33" t="s">
        <v>1982</v>
      </c>
    </row>
    <row r="7" spans="2:2">
      <c r="B7" s="33"/>
    </row>
    <row r="8" spans="2:2">
      <c r="B8" s="35" t="s">
        <v>1983</v>
      </c>
    </row>
    <row r="9" spans="2:2" ht="29">
      <c r="B9" s="33" t="s">
        <v>1984</v>
      </c>
    </row>
    <row r="10" spans="2:2">
      <c r="B10" s="34" t="s">
        <v>1985</v>
      </c>
    </row>
    <row r="11" spans="2:2" ht="87">
      <c r="B11" s="33" t="s">
        <v>1986</v>
      </c>
    </row>
    <row r="12" spans="2:2">
      <c r="B12" s="35"/>
    </row>
  </sheetData>
  <hyperlinks>
    <hyperlink ref="B10" r:id="rId1" display="https://www.england.nhs.uk/wp-content/uploads/2019/09/Consolidated_NHS_Provider_Accounts_Web_Accessible.pdf" xr:uid="{7C0B4992-0BA2-4AB8-B205-89EC6F2CD5F0}"/>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10B2DAD665F649BCF23C9F862D9CF1" ma:contentTypeVersion="12" ma:contentTypeDescription="Create a new document." ma:contentTypeScope="" ma:versionID="5fb57b685a0aee109b395f526b787ddf">
  <xsd:schema xmlns:xsd="http://www.w3.org/2001/XMLSchema" xmlns:xs="http://www.w3.org/2001/XMLSchema" xmlns:p="http://schemas.microsoft.com/office/2006/metadata/properties" xmlns:ns2="f0840b27-8304-40e7-a5e4-a724a0bb004d" xmlns:ns3="4678c419-316d-41db-88ec-4efc96b8b7e9" targetNamespace="http://schemas.microsoft.com/office/2006/metadata/properties" ma:root="true" ma:fieldsID="24c043e83e92de1f343574502f75a345" ns2:_="" ns3:_="">
    <xsd:import namespace="f0840b27-8304-40e7-a5e4-a724a0bb004d"/>
    <xsd:import namespace="4678c419-316d-41db-88ec-4efc96b8b7e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840b27-8304-40e7-a5e4-a724a0bb004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678c419-316d-41db-88ec-4efc96b8b7e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4678c419-316d-41db-88ec-4efc96b8b7e9">
      <UserInfo>
        <DisplayName>Stephen Rocks</DisplayName>
        <AccountId>12056</AccountId>
        <AccountType/>
      </UserInfo>
      <UserInfo>
        <DisplayName>Nihar Shembavnekar</DisplayName>
        <AccountId>12057</AccountId>
        <AccountType/>
      </UserInfo>
      <UserInfo>
        <DisplayName>Omar Idriss</DisplayName>
        <AccountId>8148</AccountId>
        <AccountType/>
      </UserInfo>
      <UserInfo>
        <DisplayName>Giulia Boccarini</DisplayName>
        <AccountId>14826</AccountId>
        <AccountType/>
      </UserInfo>
      <UserInfo>
        <DisplayName>Anita Charlesworth</DisplayName>
        <AccountId>5731</AccountId>
        <AccountType/>
      </UserInfo>
    </SharedWithUsers>
  </documentManagement>
</p:properties>
</file>

<file path=customXml/itemProps1.xml><?xml version="1.0" encoding="utf-8"?>
<ds:datastoreItem xmlns:ds="http://schemas.openxmlformats.org/officeDocument/2006/customXml" ds:itemID="{C6ADD905-E982-4F2F-B7EC-731462615D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840b27-8304-40e7-a5e4-a724a0bb004d"/>
    <ds:schemaRef ds:uri="4678c419-316d-41db-88ec-4efc96b8b7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C9BD82-F2D9-4117-926B-C7C4B1D04C79}">
  <ds:schemaRefs>
    <ds:schemaRef ds:uri="http://schemas.microsoft.com/sharepoint/v3/contenttype/forms"/>
  </ds:schemaRefs>
</ds:datastoreItem>
</file>

<file path=customXml/itemProps3.xml><?xml version="1.0" encoding="utf-8"?>
<ds:datastoreItem xmlns:ds="http://schemas.openxmlformats.org/officeDocument/2006/customXml" ds:itemID="{B3407C8A-CFCC-423D-AA76-D62827851D0A}">
  <ds:schemaRefs>
    <ds:schemaRef ds:uri="http://schemas.openxmlformats.org/package/2006/metadata/core-properties"/>
    <ds:schemaRef ds:uri="http://purl.org/dc/dcmitype/"/>
    <ds:schemaRef ds:uri="f0840b27-8304-40e7-a5e4-a724a0bb004d"/>
    <ds:schemaRef ds:uri="http://schemas.microsoft.com/office/2006/documentManagement/types"/>
    <ds:schemaRef ds:uri="http://purl.org/dc/elements/1.1/"/>
    <ds:schemaRef ds:uri="http://schemas.microsoft.com/office/2006/metadata/properties"/>
    <ds:schemaRef ds:uri="4678c419-316d-41db-88ec-4efc96b8b7e9"/>
    <ds:schemaRef ds:uri="http://purl.org/dc/terms/"/>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75</vt:i4>
      </vt:variant>
      <vt:variant>
        <vt:lpstr>Named Ranges</vt:lpstr>
      </vt:variant>
      <vt:variant>
        <vt:i4>1</vt:i4>
      </vt:variant>
    </vt:vector>
  </HeadingPairs>
  <TitlesOfParts>
    <vt:vector size="76" baseType="lpstr">
      <vt:lpstr>Cover Sheet</vt:lpstr>
      <vt:lpstr>Log</vt:lpstr>
      <vt:lpstr>Notes, updating funding page</vt:lpstr>
      <vt:lpstr>Finances calendar</vt:lpstr>
      <vt:lpstr>Latest funding page update</vt:lpstr>
      <vt:lpstr>Actual to Projected</vt:lpstr>
      <vt:lpstr>Planned v Outtrun</vt:lpstr>
      <vt:lpstr>Autumn 24</vt:lpstr>
      <vt:lpstr>Spring 24 v Autumn 24</vt:lpstr>
      <vt:lpstr>Spring 24 (new deflator)</vt:lpstr>
      <vt:lpstr>Spring 24</vt:lpstr>
      <vt:lpstr>Sheet4</vt:lpstr>
      <vt:lpstr>Spring 24 v Autumn 23</vt:lpstr>
      <vt:lpstr>Autumn red book replication</vt:lpstr>
      <vt:lpstr>Autumn 23</vt:lpstr>
      <vt:lpstr>INPUTS</vt:lpstr>
      <vt:lpstr>MASTER DEFLATOR</vt:lpstr>
      <vt:lpstr>Historic spend &amp; growth</vt:lpstr>
      <vt:lpstr>Population</vt:lpstr>
      <vt:lpstr>30092024 deflator update</vt:lpstr>
      <vt:lpstr>Deflator_HMT_SpringBudget24</vt:lpstr>
      <vt:lpstr>Adjusted spend</vt:lpstr>
      <vt:lpstr>OBR non-rounded</vt:lpstr>
      <vt:lpstr>T5.4</vt:lpstr>
      <vt:lpstr>T5.6</vt:lpstr>
      <vt:lpstr>Chapter 5</vt:lpstr>
      <vt:lpstr>CHARTS</vt:lpstr>
      <vt:lpstr>Figure 1</vt:lpstr>
      <vt:lpstr>Figure 2</vt:lpstr>
      <vt:lpstr>Sheet5</vt:lpstr>
      <vt:lpstr>Figure 3</vt:lpstr>
      <vt:lpstr>Figure 4</vt:lpstr>
      <vt:lpstr>DHSC NHS Budgets</vt:lpstr>
      <vt:lpstr>Historic spend V1</vt:lpstr>
      <vt:lpstr>Sheet7</vt:lpstr>
      <vt:lpstr>Historic spend V2 (2)</vt:lpstr>
      <vt:lpstr>Sheet6</vt:lpstr>
      <vt:lpstr>FUNDING BREAKDOWN</vt:lpstr>
      <vt:lpstr>Supps 2024</vt:lpstr>
      <vt:lpstr>FinancialDirections</vt:lpstr>
      <vt:lpstr>All dept spending</vt:lpstr>
      <vt:lpstr>RDEL &amp; CDEL breakdown</vt:lpstr>
      <vt:lpstr>Board meeting data</vt:lpstr>
      <vt:lpstr>Hospital programmes</vt:lpstr>
      <vt:lpstr>NHS financial position</vt:lpstr>
      <vt:lpstr>Mental health spend</vt:lpstr>
      <vt:lpstr>Agency and bank spend</vt:lpstr>
      <vt:lpstr>Sheet3</vt:lpstr>
      <vt:lpstr>FUNDING COMPARISONS</vt:lpstr>
      <vt:lpstr>Comparison across fiscal events</vt:lpstr>
      <vt:lpstr>Changes since SR2015</vt:lpstr>
      <vt:lpstr>NHSE details</vt:lpstr>
      <vt:lpstr>Jan Board data &amp; ARA</vt:lpstr>
      <vt:lpstr>Sheet1</vt:lpstr>
      <vt:lpstr>LTP funding</vt:lpstr>
      <vt:lpstr>INFLATION</vt:lpstr>
      <vt:lpstr>Deflator_OBR</vt:lpstr>
      <vt:lpstr>ONS intermediate c</vt:lpstr>
      <vt:lpstr>inflation_comparison</vt:lpstr>
      <vt:lpstr>HISTORIC FUNDING</vt:lpstr>
      <vt:lpstr>Sheet2</vt:lpstr>
      <vt:lpstr>REGIONAL </vt:lpstr>
      <vt:lpstr>OTHER</vt:lpstr>
      <vt:lpstr>Sickness</vt:lpstr>
      <vt:lpstr>OBR econ</vt:lpstr>
      <vt:lpstr>ERIC Data</vt:lpstr>
      <vt:lpstr>Chart 1 SB23</vt:lpstr>
      <vt:lpstr>FUNDING PROJECTIONS</vt:lpstr>
      <vt:lpstr>Memo Funding projections</vt:lpstr>
      <vt:lpstr>Population weights</vt:lpstr>
      <vt:lpstr>LT pop calculation</vt:lpstr>
      <vt:lpstr>NQA prod</vt:lpstr>
      <vt:lpstr>Prod estimates</vt:lpstr>
      <vt:lpstr>CWA</vt:lpstr>
      <vt:lpstr>Notes</vt:lpstr>
      <vt:lpstr>'30092024 deflator update'!Print_Area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 Kraindler</dc:creator>
  <cp:keywords/>
  <dc:description/>
  <cp:lastModifiedBy>Zeyad Issa</cp:lastModifiedBy>
  <cp:revision/>
  <dcterms:created xsi:type="dcterms:W3CDTF">2020-11-23T07:13:58Z</dcterms:created>
  <dcterms:modified xsi:type="dcterms:W3CDTF">2025-03-14T20:45:56Z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0x0101007F10B2DAD665F649BCF23C9F862D9CF1</vt:lpwstr>
  </property>
  <property fmtid="{D5CDD505-2E9C-101B-9397-08002B2CF9AE}" pid="3" name="Order">
    <vt:r8>659000</vt:r8>
  </property>
  <property fmtid="{D5CDD505-2E9C-101B-9397-08002B2CF9AE}" pid="4" name="xd_Signature">
    <vt:bool>false</vt:bool>
  </property>
  <property fmtid="{D5CDD505-2E9C-101B-9397-08002B2CF9AE}" pid="5" name="SharedWithUsers">
    <vt:lpwstr>12056;#Stephen Rocks;#12057;#Nihar Shembavnekar;#8148;#Omar Idriss</vt:lpwstr>
  </property>
  <property fmtid="{D5CDD505-2E9C-101B-9397-08002B2CF9AE}" pid="6" name="xd_ProgID">
    <vt:lpwstr/>
  </property>
  <property fmtid="{D5CDD505-2E9C-101B-9397-08002B2CF9AE}" pid="7" name="ComplianceAssetId">
    <vt:lpwstr/>
  </property>
  <property fmtid="{D5CDD505-2E9C-101B-9397-08002B2CF9AE}" pid="8" name="TemplateUrl">
    <vt:lpwstr/>
  </property>
</Properties>
</file>