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277614A-FE51-394F-B5CD-F85EC69161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- AYUDA -" sheetId="5" r:id="rId1"/>
    <sheet name="Administrador" sheetId="7" r:id="rId2"/>
    <sheet name="Supervisor" sheetId="9" r:id="rId3"/>
    <sheet name="Desarrolladores" sheetId="10" r:id="rId4"/>
    <sheet name="Soporte" sheetId="8" state="hidden" r:id="rId5"/>
  </sheets>
  <externalReferences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0" l="1"/>
  <c r="E20" i="10"/>
  <c r="D20" i="10"/>
  <c r="B20" i="10"/>
  <c r="F19" i="10"/>
  <c r="K19" i="10"/>
  <c r="E19" i="10"/>
  <c r="D19" i="10"/>
  <c r="B19" i="10"/>
  <c r="F18" i="10"/>
  <c r="E18" i="10"/>
  <c r="L18" i="10"/>
  <c r="D18" i="10"/>
  <c r="B18" i="10"/>
  <c r="F17" i="10"/>
  <c r="E17" i="10"/>
  <c r="D17" i="10"/>
  <c r="J17" i="10"/>
  <c r="B17" i="10"/>
  <c r="F16" i="10"/>
  <c r="E16" i="10"/>
  <c r="D16" i="10"/>
  <c r="L16" i="10"/>
  <c r="B16" i="10"/>
  <c r="F20" i="7"/>
  <c r="E20" i="7"/>
  <c r="D20" i="7"/>
  <c r="B20" i="7"/>
  <c r="F19" i="7"/>
  <c r="E19" i="7"/>
  <c r="D19" i="7"/>
  <c r="B19" i="7"/>
  <c r="F15" i="10"/>
  <c r="E15" i="10"/>
  <c r="D15" i="10"/>
  <c r="B15" i="10"/>
  <c r="F14" i="10"/>
  <c r="E14" i="10"/>
  <c r="D14" i="10"/>
  <c r="B14" i="10"/>
  <c r="F13" i="10"/>
  <c r="E13" i="10"/>
  <c r="D13" i="10"/>
  <c r="B13" i="10"/>
  <c r="F12" i="10"/>
  <c r="E12" i="10"/>
  <c r="D12" i="10"/>
  <c r="B12" i="10"/>
  <c r="F11" i="10"/>
  <c r="E11" i="10"/>
  <c r="D11" i="10"/>
  <c r="B11" i="10"/>
  <c r="F10" i="10"/>
  <c r="E10" i="10"/>
  <c r="D10" i="10"/>
  <c r="B10" i="10"/>
  <c r="F9" i="10"/>
  <c r="K20" i="10"/>
  <c r="E9" i="10"/>
  <c r="L21" i="10"/>
  <c r="K23" i="10"/>
  <c r="D9" i="10"/>
  <c r="J23" i="10"/>
  <c r="B9" i="10"/>
  <c r="F14" i="9"/>
  <c r="E14" i="9"/>
  <c r="D14" i="9"/>
  <c r="B14" i="9"/>
  <c r="F13" i="9"/>
  <c r="E13" i="9"/>
  <c r="D13" i="9"/>
  <c r="B13" i="9"/>
  <c r="F12" i="9"/>
  <c r="E12" i="9"/>
  <c r="D12" i="9"/>
  <c r="B12" i="9"/>
  <c r="F11" i="9"/>
  <c r="E11" i="9"/>
  <c r="D11" i="9"/>
  <c r="B11" i="9"/>
  <c r="F10" i="9"/>
  <c r="E10" i="9"/>
  <c r="D10" i="9"/>
  <c r="B10" i="9"/>
  <c r="F9" i="9"/>
  <c r="E9" i="9"/>
  <c r="D9" i="9"/>
  <c r="B9" i="9"/>
  <c r="F18" i="7"/>
  <c r="E18" i="7"/>
  <c r="B18" i="7"/>
  <c r="F17" i="7"/>
  <c r="E17" i="7"/>
  <c r="D17" i="7"/>
  <c r="B17" i="7"/>
  <c r="F16" i="7"/>
  <c r="E16" i="7"/>
  <c r="D16" i="7"/>
  <c r="B16" i="7"/>
  <c r="F15" i="7"/>
  <c r="E15" i="7"/>
  <c r="D15" i="7"/>
  <c r="B15" i="7"/>
  <c r="F14" i="7"/>
  <c r="E14" i="7"/>
  <c r="D14" i="7"/>
  <c r="B14" i="7"/>
  <c r="F13" i="7"/>
  <c r="E13" i="7"/>
  <c r="D13" i="7"/>
  <c r="B13" i="7"/>
  <c r="F12" i="7"/>
  <c r="E12" i="7"/>
  <c r="D12" i="7"/>
  <c r="B12" i="7"/>
  <c r="F11" i="7"/>
  <c r="E11" i="7"/>
  <c r="D11" i="7"/>
  <c r="B11" i="7"/>
  <c r="F10" i="7"/>
  <c r="E10" i="7"/>
  <c r="D10" i="7"/>
  <c r="B10" i="7"/>
  <c r="F9" i="7"/>
  <c r="E9" i="7"/>
  <c r="L21" i="7"/>
  <c r="D9" i="7"/>
  <c r="B9" i="7"/>
  <c r="J22" i="10"/>
  <c r="I24" i="10"/>
  <c r="H24" i="10"/>
  <c r="G24" i="10"/>
  <c r="L23" i="10"/>
  <c r="K18" i="10"/>
  <c r="J18" i="10"/>
  <c r="I24" i="9"/>
  <c r="H24" i="9"/>
  <c r="G24" i="9"/>
  <c r="J14" i="10"/>
  <c r="K13" i="10"/>
  <c r="J12" i="7"/>
  <c r="L15" i="10"/>
  <c r="L13" i="10"/>
  <c r="J13" i="10"/>
  <c r="L14" i="10"/>
  <c r="K12" i="10"/>
  <c r="K14" i="10"/>
  <c r="L19" i="10"/>
  <c r="K15" i="10"/>
  <c r="J19" i="10"/>
  <c r="L20" i="10"/>
  <c r="J20" i="10"/>
  <c r="J15" i="10"/>
  <c r="L12" i="7"/>
  <c r="K12" i="7"/>
  <c r="J14" i="7"/>
  <c r="F24" i="10"/>
  <c r="D24" i="9"/>
  <c r="L10" i="10"/>
  <c r="J10" i="10"/>
  <c r="D24" i="10"/>
  <c r="J11" i="10"/>
  <c r="K17" i="10"/>
  <c r="J21" i="10"/>
  <c r="J16" i="10"/>
  <c r="K22" i="10"/>
  <c r="J12" i="10"/>
  <c r="L12" i="10"/>
  <c r="K11" i="10"/>
  <c r="K16" i="10"/>
  <c r="K21" i="10"/>
  <c r="L17" i="10"/>
  <c r="L22" i="10"/>
  <c r="L11" i="10"/>
  <c r="E24" i="10"/>
  <c r="J9" i="10"/>
  <c r="K10" i="10"/>
  <c r="L9" i="10"/>
  <c r="K9" i="10"/>
  <c r="F24" i="9"/>
  <c r="G24" i="7"/>
  <c r="K16" i="7"/>
  <c r="L23" i="7"/>
  <c r="L19" i="7"/>
  <c r="K22" i="7"/>
  <c r="K21" i="7"/>
  <c r="L14" i="7"/>
  <c r="K19" i="7"/>
  <c r="J17" i="7"/>
  <c r="H24" i="7"/>
  <c r="K14" i="7"/>
  <c r="I24" i="7"/>
  <c r="J22" i="7"/>
  <c r="J21" i="7"/>
  <c r="E24" i="7"/>
  <c r="J16" i="7"/>
  <c r="K20" i="7"/>
  <c r="L22" i="7"/>
  <c r="K17" i="7"/>
  <c r="L20" i="7"/>
  <c r="L16" i="7"/>
  <c r="J19" i="7"/>
  <c r="J15" i="7"/>
  <c r="L17" i="7"/>
  <c r="K23" i="7"/>
  <c r="J23" i="7"/>
  <c r="L15" i="7"/>
  <c r="K15" i="7"/>
  <c r="J20" i="7"/>
  <c r="L13" i="7"/>
  <c r="K13" i="7"/>
  <c r="J13" i="7"/>
  <c r="L11" i="7"/>
  <c r="K11" i="7"/>
  <c r="J11" i="7"/>
  <c r="L10" i="7"/>
  <c r="K10" i="7"/>
  <c r="J10" i="7"/>
  <c r="J12" i="9"/>
  <c r="K12" i="9"/>
  <c r="L12" i="9"/>
  <c r="J10" i="9"/>
  <c r="L10" i="9"/>
  <c r="K10" i="9"/>
  <c r="L16" i="9"/>
  <c r="J16" i="9"/>
  <c r="K16" i="9"/>
  <c r="J19" i="9"/>
  <c r="L19" i="9"/>
  <c r="K19" i="9"/>
  <c r="J21" i="9"/>
  <c r="L21" i="9"/>
  <c r="K21" i="9"/>
  <c r="J17" i="9"/>
  <c r="L17" i="9"/>
  <c r="K17" i="9"/>
  <c r="K11" i="9"/>
  <c r="L11" i="9"/>
  <c r="J11" i="9"/>
  <c r="K14" i="9"/>
  <c r="L14" i="9"/>
  <c r="J14" i="9"/>
  <c r="J15" i="9"/>
  <c r="K15" i="9"/>
  <c r="L15" i="9"/>
  <c r="J20" i="9"/>
  <c r="L20" i="9"/>
  <c r="K20" i="9"/>
  <c r="J22" i="9"/>
  <c r="K22" i="9"/>
  <c r="L22" i="9"/>
  <c r="L23" i="9"/>
  <c r="J23" i="9"/>
  <c r="K23" i="9"/>
  <c r="K18" i="9"/>
  <c r="J18" i="9"/>
  <c r="L18" i="9"/>
  <c r="L13" i="9"/>
  <c r="J13" i="9"/>
  <c r="K13" i="9"/>
  <c r="L9" i="9"/>
  <c r="K9" i="9"/>
  <c r="E24" i="9"/>
  <c r="J9" i="9"/>
  <c r="F24" i="7"/>
  <c r="L9" i="7"/>
  <c r="K9" i="7"/>
  <c r="J9" i="7"/>
  <c r="D18" i="7"/>
  <c r="J18" i="7"/>
  <c r="D24" i="7"/>
  <c r="L18" i="7"/>
  <c r="K18" i="7"/>
</calcChain>
</file>

<file path=xl/sharedStrings.xml><?xml version="1.0" encoding="utf-8"?>
<sst xmlns="http://schemas.openxmlformats.org/spreadsheetml/2006/main" count="84" uniqueCount="37">
  <si>
    <t>Efvo</t>
  </si>
  <si>
    <t xml:space="preserve">Tarjeta </t>
  </si>
  <si>
    <t>Comparación de Precios entre diferentes proveedores</t>
  </si>
  <si>
    <t>PRODUCTO</t>
  </si>
  <si>
    <t>Mercado Pago</t>
  </si>
  <si>
    <t>Tarjeta cuotas</t>
  </si>
  <si>
    <t>Gratis</t>
  </si>
  <si>
    <t>Efectivo</t>
  </si>
  <si>
    <t>PRECIO MÁS BAJO</t>
  </si>
  <si>
    <t>PRECIO PROMEDIO</t>
  </si>
  <si>
    <t>PRECIO MÁS ALTO</t>
  </si>
  <si>
    <t>DATOS ADICIONALES</t>
  </si>
  <si>
    <t>TIEMPO DE ENTREGA (DÍAS)</t>
  </si>
  <si>
    <t>COSTO DE ENVÍO</t>
  </si>
  <si>
    <t>FORMAS DE PAGO</t>
  </si>
  <si>
    <t>Ingresa en la tabla los productos, los proveedores y sus precios</t>
  </si>
  <si>
    <t>Ayuda</t>
  </si>
  <si>
    <t>CANTIDAD</t>
  </si>
  <si>
    <t>Almendras</t>
  </si>
  <si>
    <t>Nueces</t>
  </si>
  <si>
    <t>Pistachos</t>
  </si>
  <si>
    <t>Bananas</t>
  </si>
  <si>
    <t>Pasas</t>
  </si>
  <si>
    <t>ESTADÍSTICAS POR PRODUCTO</t>
  </si>
  <si>
    <t>Total</t>
  </si>
  <si>
    <t>Pecán</t>
  </si>
  <si>
    <t>Piñones</t>
  </si>
  <si>
    <t>Cranberries</t>
  </si>
  <si>
    <t>Castañas</t>
  </si>
  <si>
    <t>China Co</t>
  </si>
  <si>
    <t>PROVEEDOR 1</t>
  </si>
  <si>
    <t>PROVEEDOR 2</t>
  </si>
  <si>
    <t>PROVEEDOR 3</t>
  </si>
  <si>
    <t>PROVEEDOR 4</t>
  </si>
  <si>
    <t>PROVEEDOR 5</t>
  </si>
  <si>
    <t>PROVEEDOR 6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</si>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</sst>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;[Red]\-&quot;$&quot;\ #,##0.00"/>
    <numFmt numFmtId="165" formatCode="&quot;$&quot;\ #,##0.00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b/>
      <sz val="14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1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5" fontId="8" fillId="3" borderId="1" xfId="0" applyNumberFormat="1" applyFont="1" applyFill="1" applyBorder="1" applyAlignment="1">
      <alignment horizontal="center"/>
    </xf>
    <xf numFmtId="165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5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65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vertical="center" wrapText="1"/>
    </xf>
    <xf numFmtId="164" fontId="14" fillId="0" borderId="15" xfId="0" applyNumberFormat="1" applyFont="1" applyBorder="1" applyAlignment="1">
      <alignment vertical="center" wrapText="1"/>
    </xf>
    <xf numFmtId="164" fontId="15" fillId="0" borderId="16" xfId="0" applyNumberFormat="1" applyFont="1" applyBorder="1" applyAlignment="1">
      <alignment vertical="center" wrapText="1"/>
    </xf>
    <xf numFmtId="164" fontId="14" fillId="0" borderId="17" xfId="0" applyNumberFormat="1" applyFont="1" applyBorder="1" applyAlignment="1">
      <alignment vertical="center" wrapText="1"/>
    </xf>
    <xf numFmtId="164" fontId="15" fillId="0" borderId="18" xfId="0" applyNumberFormat="1" applyFont="1" applyBorder="1" applyAlignment="1">
      <alignment vertical="center" wrapText="1"/>
    </xf>
    <xf numFmtId="165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/>
    </xf>
    <xf numFmtId="165" fontId="16" fillId="3" borderId="5" xfId="0" applyNumberFormat="1" applyFont="1" applyFill="1" applyBorder="1" applyAlignment="1">
      <alignment horizontal="center"/>
    </xf>
    <xf numFmtId="165" fontId="16" fillId="3" borderId="13" xfId="0" applyNumberFormat="1" applyFont="1" applyFill="1" applyBorder="1" applyAlignment="1">
      <alignment horizontal="center"/>
    </xf>
    <xf numFmtId="165" fontId="16" fillId="3" borderId="14" xfId="0" applyNumberFormat="1" applyFont="1" applyFill="1" applyBorder="1" applyAlignment="1">
      <alignment horizontal="center"/>
    </xf>
    <xf numFmtId="165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4" fontId="15" fillId="6" borderId="28" xfId="0" applyNumberFormat="1" applyFont="1" applyFill="1" applyBorder="1" applyAlignment="1">
      <alignment vertical="center" wrapText="1"/>
    </xf>
    <xf numFmtId="164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5" fontId="9" fillId="2" borderId="0" xfId="0" applyNumberFormat="1" applyFont="1" applyFill="1" applyAlignment="1">
      <alignment horizontal="center"/>
    </xf>
    <xf numFmtId="165" fontId="9" fillId="0" borderId="2" xfId="0" applyNumberFormat="1" applyFont="1" applyBorder="1" applyAlignment="1">
      <alignment horizontal="center" vertical="center" wrapText="1"/>
    </xf>
    <xf numFmtId="165" fontId="10" fillId="7" borderId="2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8" borderId="2" xfId="0" applyNumberFormat="1" applyFont="1" applyFill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horizontal="center" vertical="center" wrapText="1"/>
    </xf>
    <xf numFmtId="165" fontId="17" fillId="3" borderId="5" xfId="0" applyNumberFormat="1" applyFont="1" applyFill="1" applyBorder="1" applyAlignment="1">
      <alignment horizontal="center"/>
    </xf>
    <xf numFmtId="165" fontId="17" fillId="3" borderId="1" xfId="0" applyNumberFormat="1" applyFont="1" applyFill="1" applyBorder="1" applyAlignment="1">
      <alignment horizontal="center"/>
    </xf>
    <xf numFmtId="165" fontId="17" fillId="3" borderId="13" xfId="0" applyNumberFormat="1" applyFont="1" applyFill="1" applyBorder="1" applyAlignment="1">
      <alignment horizontal="center"/>
    </xf>
    <xf numFmtId="165" fontId="17" fillId="3" borderId="14" xfId="0" applyNumberFormat="1" applyFont="1" applyFill="1" applyBorder="1" applyAlignment="1">
      <alignment horizontal="center"/>
    </xf>
    <xf numFmtId="165" fontId="17" fillId="3" borderId="6" xfId="0" applyNumberFormat="1" applyFont="1" applyFill="1" applyBorder="1" applyAlignment="1">
      <alignment horizontal="center"/>
    </xf>
    <xf numFmtId="165" fontId="17" fillId="3" borderId="4" xfId="0" applyNumberFormat="1" applyFont="1" applyFill="1" applyBorder="1" applyAlignment="1">
      <alignment horizontal="center"/>
    </xf>
    <xf numFmtId="165" fontId="18" fillId="3" borderId="1" xfId="0" applyNumberFormat="1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4"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 xr9:uid="{00000000-0011-0000-FFFF-FFFF00000000}">
      <tableStyleElement type="wholeTable" dxfId="83"/>
      <tableStyleElement type="headerRow" dxfId="82"/>
      <tableStyleElement type="totalRow" dxfId="81"/>
    </tableStyle>
  </tableStyles>
  <colors>
    <mruColors>
      <color rgb="FFFFFF66"/>
      <color rgb="FF8745EC"/>
      <color rgb="FFF8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340042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568868</xdr:colOff>
      <xdr:row>1</xdr:row>
      <xdr:rowOff>155780</xdr:rowOff>
    </xdr:from>
    <xdr:to>
      <xdr:col>11</xdr:col>
      <xdr:colOff>641999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340042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7B147E-43B2-4962-A9C9-B8ADD6A5D292}"/>
            </a:ext>
          </a:extLst>
        </xdr:cNvPr>
        <xdr:cNvSpPr txBox="1"/>
      </xdr:nvSpPr>
      <xdr:spPr>
        <a:xfrm>
          <a:off x="213360" y="190500"/>
          <a:ext cx="7182802" cy="734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568868</xdr:colOff>
      <xdr:row>1</xdr:row>
      <xdr:rowOff>155780</xdr:rowOff>
    </xdr:from>
    <xdr:to>
      <xdr:col>11</xdr:col>
      <xdr:colOff>641999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A8646E-F06B-41A8-B2F4-4EDADA9942C0}"/>
            </a:ext>
          </a:extLst>
        </xdr:cNvPr>
        <xdr:cNvSpPr txBox="1"/>
      </xdr:nvSpPr>
      <xdr:spPr>
        <a:xfrm>
          <a:off x="11191148" y="346280"/>
          <a:ext cx="2816331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340042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FB528F-014F-4E98-87E8-BFD4437265A4}"/>
            </a:ext>
          </a:extLst>
        </xdr:cNvPr>
        <xdr:cNvSpPr txBox="1"/>
      </xdr:nvSpPr>
      <xdr:spPr>
        <a:xfrm>
          <a:off x="213360" y="190500"/>
          <a:ext cx="7182802" cy="734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568868</xdr:colOff>
      <xdr:row>1</xdr:row>
      <xdr:rowOff>155780</xdr:rowOff>
    </xdr:from>
    <xdr:to>
      <xdr:col>11</xdr:col>
      <xdr:colOff>641999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951B8-8C22-4DD6-B951-C96C5E13DDB7}"/>
            </a:ext>
          </a:extLst>
        </xdr:cNvPr>
        <xdr:cNvSpPr txBox="1"/>
      </xdr:nvSpPr>
      <xdr:spPr>
        <a:xfrm>
          <a:off x="11191148" y="346280"/>
          <a:ext cx="2816331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-de-Cotizaciones%20(1)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vidor-Administrador"/>
      <sheetName val="Monitor-Administrador"/>
      <sheetName val="Portatil-Supervisor"/>
      <sheetName val="Base-Supervisor"/>
      <sheetName val="Portatil-Personal"/>
      <sheetName val="Base-Personal"/>
      <sheetName val="Mouse"/>
      <sheetName val="Teclados"/>
      <sheetName val="Licencias Microsoft"/>
      <sheetName val="Antivirus"/>
      <sheetName val="Licencias SQL"/>
      <sheetName val="Licencias de windows 11 pro"/>
      <sheetName val="Licencia de server"/>
      <sheetName val="Plan internet empresarial"/>
      <sheetName val="Licencia Visual Studio Code"/>
      <sheetName val="Licencia de Hosting"/>
      <sheetName val="Licencia de dominio"/>
    </sheetNames>
    <sheetDataSet>
      <sheetData sheetId="0">
        <row r="8">
          <cell r="D8" t="str">
            <v>Servidor Dell PowerEdge T350, Intel Xeon E-2378 2.60GHz, 16GB DDR4, 2TB, 3.5″, SATA III, Tower</v>
          </cell>
          <cell r="H8">
            <v>12145721.000000002</v>
          </cell>
        </row>
        <row r="9">
          <cell r="H9">
            <v>12180000</v>
          </cell>
        </row>
        <row r="10">
          <cell r="H10">
            <v>12712545.09</v>
          </cell>
        </row>
      </sheetData>
      <sheetData sheetId="1">
        <row r="8">
          <cell r="D8" t="str">
            <v>Monitor Samsung Gamer 24" pulgadas G320NL Plano Negro</v>
          </cell>
          <cell r="H8">
            <v>679900.00000000012</v>
          </cell>
        </row>
        <row r="9">
          <cell r="H9">
            <v>701900</v>
          </cell>
        </row>
        <row r="10">
          <cell r="H10">
            <v>684000</v>
          </cell>
        </row>
      </sheetData>
      <sheetData sheetId="2">
        <row r="8">
          <cell r="D8" t="str">
            <v>Computador Portátil ASUS Vivobook 16" Pulgadas M3604YA - AMD Ryzen 7 - RAM 16GB - Disco SSD 1 TB - Plateado</v>
          </cell>
          <cell r="H8">
            <v>3449000</v>
          </cell>
        </row>
        <row r="9">
          <cell r="H9">
            <v>2998000</v>
          </cell>
        </row>
        <row r="10">
          <cell r="H10">
            <v>2457900</v>
          </cell>
        </row>
      </sheetData>
      <sheetData sheetId="3">
        <row r="8">
          <cell r="D8" t="str">
            <v>Base Metálica VTA Retráctil para Portátil|8 Posiciones con Estuche De Carga</v>
          </cell>
          <cell r="H8">
            <v>56900</v>
          </cell>
        </row>
        <row r="9">
          <cell r="H9">
            <v>56900</v>
          </cell>
        </row>
        <row r="10">
          <cell r="H10">
            <v>26900.000000000004</v>
          </cell>
        </row>
      </sheetData>
      <sheetData sheetId="4">
        <row r="8">
          <cell r="D8" t="str">
            <v>Computador portátil Gamer ACER NITRO 15.6" Pulgadas R7Z8 AMD Ryzen 7 - RAM 16GB - Disco SSD 1TB - Negro</v>
          </cell>
          <cell r="H8">
            <v>4999000.0000000009</v>
          </cell>
        </row>
        <row r="9">
          <cell r="H9">
            <v>9999000</v>
          </cell>
        </row>
        <row r="10">
          <cell r="H10">
            <v>5389510</v>
          </cell>
        </row>
      </sheetData>
      <sheetData sheetId="5">
        <row r="8">
          <cell r="D8" t="str">
            <v>Base Metálica VTA Retráctil para Portátil|8 Posiciones con Estuche De Carga</v>
          </cell>
          <cell r="H8">
            <v>56900</v>
          </cell>
        </row>
        <row r="9">
          <cell r="H9">
            <v>56900</v>
          </cell>
        </row>
        <row r="10">
          <cell r="H10">
            <v>26900.000000000004</v>
          </cell>
        </row>
      </sheetData>
      <sheetData sheetId="6">
        <row r="8">
          <cell r="D8" t="str">
            <v>Mouse HYPERX Alámbrico Optico Pulsefire Core 6200DPI RGB Gaming</v>
          </cell>
          <cell r="H8">
            <v>89900</v>
          </cell>
        </row>
        <row r="9">
          <cell r="H9">
            <v>89900</v>
          </cell>
        </row>
        <row r="10">
          <cell r="H10">
            <v>89999</v>
          </cell>
        </row>
      </sheetData>
      <sheetData sheetId="7">
        <row r="8">
          <cell r="D8" t="str">
            <v>Teclado PRIMUS Alámbrico Mecánico Gaming colección Star Wars DARTH VADER Negro</v>
          </cell>
          <cell r="H8">
            <v>289900</v>
          </cell>
        </row>
        <row r="9">
          <cell r="H9">
            <v>219900</v>
          </cell>
        </row>
        <row r="10">
          <cell r="H10">
            <v>219900</v>
          </cell>
        </row>
      </sheetData>
      <sheetData sheetId="8">
        <row r="8">
          <cell r="D8" t="str">
            <v>Microsoft 365 Business Standard</v>
          </cell>
          <cell r="H8">
            <v>535949.57999999996</v>
          </cell>
        </row>
        <row r="9">
          <cell r="H9">
            <v>749900.00000000012</v>
          </cell>
        </row>
        <row r="10">
          <cell r="H10">
            <v>749900.00000000012</v>
          </cell>
        </row>
      </sheetData>
      <sheetData sheetId="9">
        <row r="8">
          <cell r="D8" t="str">
            <v>Pin Antivirus McAfee Total Protection 1 Dispositivo - 1 Año</v>
          </cell>
          <cell r="H8">
            <v>44900</v>
          </cell>
        </row>
        <row r="9">
          <cell r="H9">
            <v>39900</v>
          </cell>
        </row>
        <row r="10">
          <cell r="H10">
            <v>30097.000000000004</v>
          </cell>
        </row>
      </sheetData>
      <sheetData sheetId="10">
        <row r="8">
          <cell r="D8" t="str">
            <v>Licencia de dispositivo para SQL Server 2022</v>
          </cell>
          <cell r="H8">
            <v>1302967.8900000001</v>
          </cell>
        </row>
        <row r="9">
          <cell r="H9">
            <v>2809899.1600000006</v>
          </cell>
        </row>
        <row r="10">
          <cell r="H10">
            <v>1990000.0000000002</v>
          </cell>
        </row>
      </sheetData>
      <sheetData sheetId="11">
        <row r="8">
          <cell r="D8" t="str">
            <v>Licencia Windows 11 Pro Retail CD Key</v>
          </cell>
          <cell r="H8">
            <v>34900</v>
          </cell>
        </row>
        <row r="9">
          <cell r="H9">
            <v>39071.000000000007</v>
          </cell>
        </row>
        <row r="10">
          <cell r="H10">
            <v>42872.75</v>
          </cell>
        </row>
      </sheetData>
      <sheetData sheetId="12">
        <row r="8">
          <cell r="D8" t="str">
            <v>Windows Server Standard 2022</v>
          </cell>
          <cell r="H8">
            <v>2290000</v>
          </cell>
        </row>
        <row r="9">
          <cell r="H9">
            <v>140000</v>
          </cell>
        </row>
        <row r="10">
          <cell r="H10">
            <v>5304065.62</v>
          </cell>
        </row>
      </sheetData>
      <sheetData sheetId="13">
        <row r="8">
          <cell r="D8" t="str">
            <v>Internet Fibra Empresarial
500 Megas</v>
          </cell>
          <cell r="H8">
            <v>105990.00000000001</v>
          </cell>
        </row>
        <row r="9">
          <cell r="H9">
            <v>87900.000000000015</v>
          </cell>
        </row>
        <row r="10">
          <cell r="H10">
            <v>129000</v>
          </cell>
        </row>
      </sheetData>
      <sheetData sheetId="14">
        <row r="8">
          <cell r="D8" t="str">
            <v>Microsoft Visual Studio 2022 Professional</v>
          </cell>
          <cell r="H8">
            <v>1589731.09</v>
          </cell>
        </row>
        <row r="9">
          <cell r="H9">
            <v>90685</v>
          </cell>
        </row>
        <row r="10">
          <cell r="H10">
            <v>2099099</v>
          </cell>
        </row>
      </sheetData>
      <sheetData sheetId="15">
        <row r="8">
          <cell r="D8" t="str">
            <v>Hosting ColHost1</v>
          </cell>
          <cell r="H8">
            <v>454000</v>
          </cell>
        </row>
        <row r="9">
          <cell r="H9">
            <v>408502.00000000006</v>
          </cell>
        </row>
        <row r="10">
          <cell r="H10">
            <v>204930</v>
          </cell>
        </row>
      </sheetData>
      <sheetData sheetId="16">
        <row r="8">
          <cell r="D8" t="str">
            <v>Registro de dominio</v>
          </cell>
          <cell r="H8">
            <v>106000</v>
          </cell>
        </row>
        <row r="9">
          <cell r="H9">
            <v>201650.00000000003</v>
          </cell>
        </row>
        <row r="10">
          <cell r="H10">
            <v>80902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4" totalsRowCount="1" headerRowDxfId="80" dataDxfId="79">
  <tableColumns count="11">
    <tableColumn id="1" xr3:uid="{00000000-0010-0000-0000-000001000000}" name="PRODUCTO" totalsRowLabel="Total" dataDxfId="78" totalsRowDxfId="77">
      <calculatedColumnFormula>'[1]Servidor-Administrador'!$D$8</calculatedColumnFormula>
    </tableColumn>
    <tableColumn id="8" xr3:uid="{00000000-0010-0000-0000-000008000000}" name="CANTIDAD" dataDxfId="76" totalsRowDxfId="75"/>
    <tableColumn id="2" xr3:uid="{00000000-0010-0000-0000-000002000000}" name="PROVEEDOR 1" totalsRowFunction="custom" dataDxfId="74" totalsRowDxfId="73">
      <calculatedColumnFormula>'[1]Servidor-Administrador'!$H$8</calculatedColumnFormula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totalsRowDxfId="72">
      <calculatedColumnFormula>'[1]Servidor-Administrador'!$H$9</calculatedColumnFormula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71" totalsRowDxfId="70">
      <calculatedColumnFormula>'[1]Servidor-Administrador'!$H$10</calculatedColumnFormula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69" totalsRowDxfId="68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67" totalsRowDxfId="66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65" totalsRowDxfId="64">
      <totalsRowFormula>ROUND(SUMPRODUCT(Comparación_precios[[CANTIDAD]:[CANTIDAD]],Comparación_precios[PROVEEDOR 6]),2)</totalsRowFormula>
    </tableColumn>
    <tableColumn id="11" xr3:uid="{00000000-0010-0000-0000-00000B000000}" name="PRECIO MÁS BAJO" dataDxfId="63" totalsRowDxfId="62">
      <calculatedColumnFormula>MIN(Comparación_precios[[#This Row],[PROVEEDOR 1]:[PROVEEDOR 6]])</calculatedColumnFormula>
    </tableColumn>
    <tableColumn id="12" xr3:uid="{00000000-0010-0000-0000-00000C000000}" name="PRECIO PROMEDIO" dataDxfId="61" totalsRowDxfId="60">
      <calculatedColumnFormula>IFERROR(AVERAGE(Comparación_precios[[#This Row],[PROVEEDOR 1]:[PROVEEDOR 6]]),0)</calculatedColumnFormula>
    </tableColumn>
    <tableColumn id="13" xr3:uid="{00000000-0010-0000-0000-00000D000000}" name="PRECIO MÁS ALTO" dataDxfId="59" totalsRowDxfId="58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B256D-16A6-405D-AD54-13038EDA79DD}" name="Comparación_precios2" displayName="Comparación_precios2" ref="B8:L24" totalsRowCount="1" headerRowDxfId="57" dataDxfId="56">
  <tableColumns count="11">
    <tableColumn id="1" xr3:uid="{CAB1F42B-E454-449F-A702-2C0A0C202711}" name="PRODUCTO" totalsRowLabel="Total" dataDxfId="55" totalsRowDxfId="54">
      <calculatedColumnFormula>'[1]Servidor-Administrador'!$D$8</calculatedColumnFormula>
    </tableColumn>
    <tableColumn id="8" xr3:uid="{DD294971-DEDD-4BFE-A75C-BB1B600F5CF0}" name="CANTIDAD" dataDxfId="53" totalsRowDxfId="52"/>
    <tableColumn id="2" xr3:uid="{AB6E3812-D369-4DD2-AF6D-533653BA48A3}" name="PROVEEDOR 1" totalsRowFunction="custom" dataDxfId="51" totalsRowDxfId="50">
      <calculatedColumnFormula>'[1]Servidor-Administrador'!$H$8</calculatedColumnFormula>
      <totalsRowFormula>ROUND(SUMPRODUCT(Comparación_precios2[[CANTIDAD]:[CANTIDAD]],Comparación_precios2[PROVEEDOR 1]),2)</totalsRowFormula>
    </tableColumn>
    <tableColumn id="3" xr3:uid="{EA874E9C-B38A-4D62-B2FD-893EF7CEFEE4}" name="PROVEEDOR 2" totalsRowFunction="custom" dataDxfId="49" totalsRowDxfId="48">
      <calculatedColumnFormula>'[1]Servidor-Administrador'!$H$9</calculatedColumnFormula>
      <totalsRowFormula>ROUND(SUMPRODUCT(Comparación_precios2[[CANTIDAD]:[CANTIDAD]],Comparación_precios2[PROVEEDOR 2]),2)</totalsRowFormula>
    </tableColumn>
    <tableColumn id="4" xr3:uid="{532C30C9-28BC-4A9D-A413-06BD8BDD71EC}" name="PROVEEDOR 3" totalsRowFunction="custom" dataDxfId="47" totalsRowDxfId="46">
      <calculatedColumnFormula>'[1]Servidor-Administrador'!$H$10</calculatedColumnFormula>
      <totalsRowFormula>ROUND(SUMPRODUCT(Comparación_precios2[[CANTIDAD]:[CANTIDAD]],Comparación_precios2[PROVEEDOR 3]),2)</totalsRowFormula>
    </tableColumn>
    <tableColumn id="5" xr3:uid="{63B4ACBB-A90E-44F4-8B4C-235866FA71BE}" name="PROVEEDOR 4" totalsRowFunction="custom" dataDxfId="45" totalsRowDxfId="44">
      <totalsRowFormula>ROUND(SUMPRODUCT(Comparación_precios2[[CANTIDAD]:[CANTIDAD]],Comparación_precios2[PROVEEDOR 4]),2)</totalsRowFormula>
    </tableColumn>
    <tableColumn id="6" xr3:uid="{7D5E27BD-62BC-42F0-8BAA-DFA82BFB81CE}" name="PROVEEDOR 5" totalsRowFunction="custom" dataDxfId="43" totalsRowDxfId="42">
      <totalsRowFormula>ROUND(SUMPRODUCT(Comparación_precios2[[CANTIDAD]:[CANTIDAD]],Comparación_precios2[PROVEEDOR 5]),2)</totalsRowFormula>
    </tableColumn>
    <tableColumn id="7" xr3:uid="{18FC4982-DFB8-4549-9C97-ED3E430F7E80}" name="PROVEEDOR 6" totalsRowFunction="custom" dataDxfId="41" totalsRowDxfId="40">
      <totalsRowFormula>ROUND(SUMPRODUCT(Comparación_precios2[[CANTIDAD]:[CANTIDAD]],Comparación_precios2[PROVEEDOR 6]),2)</totalsRowFormula>
    </tableColumn>
    <tableColumn id="11" xr3:uid="{348DEAEE-EE1E-43CF-A27E-0920678BFBDE}" name="PRECIO MÁS BAJO" dataDxfId="39" totalsRowDxfId="38">
      <calculatedColumnFormula>MIN(Comparación_precios2[[#This Row],[PROVEEDOR 1]:[PROVEEDOR 6]])</calculatedColumnFormula>
    </tableColumn>
    <tableColumn id="12" xr3:uid="{8701CCE9-AD0B-4C3D-8FCD-036D8CE4CE29}" name="PRECIO PROMEDIO" dataDxfId="37" totalsRowDxfId="36">
      <calculatedColumnFormula>IFERROR(AVERAGE(Comparación_precios2[[#This Row],[PROVEEDOR 1]:[PROVEEDOR 6]]),0)</calculatedColumnFormula>
    </tableColumn>
    <tableColumn id="13" xr3:uid="{DBEFCA15-60EE-48D4-B42C-D5C6FDB96DDB}" name="PRECIO MÁS ALTO" dataDxfId="35" totalsRowDxfId="34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23B5F-2C19-43F5-8E20-0579A5452970}" name="Comparación_precios24" displayName="Comparación_precios24" ref="B8:L24" totalsRowCount="1" headerRowDxfId="33" dataDxfId="32">
  <tableColumns count="11">
    <tableColumn id="1" xr3:uid="{78FE83BC-DD1D-4163-81CC-A9CA572969F6}" name="PRODUCTO" totalsRowLabel="Total" dataDxfId="31" totalsRowDxfId="30">
      <calculatedColumnFormula>'[1]Servidor-Administrador'!$D$8</calculatedColumnFormula>
    </tableColumn>
    <tableColumn id="8" xr3:uid="{BA3EE683-A9F8-4B5C-B25C-B42CCCA32B82}" name="CANTIDAD" dataDxfId="29" totalsRowDxfId="28"/>
    <tableColumn id="2" xr3:uid="{2F42E9A7-7825-4A52-A9C4-3797237460C0}" name="PROVEEDOR 1" totalsRowFunction="custom" dataDxfId="27" totalsRowDxfId="26">
      <calculatedColumnFormula>'[1]Servidor-Administrador'!$H$8</calculatedColumnFormula>
      <totalsRowFormula>ROUND(SUMPRODUCT(Comparación_precios24[[CANTIDAD]:[CANTIDAD]],Comparación_precios24[PROVEEDOR 1]),2)</totalsRowFormula>
    </tableColumn>
    <tableColumn id="3" xr3:uid="{19B0F4AD-A168-4367-9B5C-46F943F67BAB}" name="PROVEEDOR 2" totalsRowFunction="custom" dataDxfId="25" totalsRowDxfId="24">
      <calculatedColumnFormula>'[1]Servidor-Administrador'!$H$9</calculatedColumnFormula>
      <totalsRowFormula>ROUND(SUMPRODUCT(Comparación_precios24[[CANTIDAD]:[CANTIDAD]],Comparación_precios24[PROVEEDOR 2]),2)</totalsRowFormula>
    </tableColumn>
    <tableColumn id="4" xr3:uid="{91F661AF-F9C1-41FE-AE7F-70D3B31EA44E}" name="PROVEEDOR 3" totalsRowFunction="custom" dataDxfId="23" totalsRowDxfId="22">
      <calculatedColumnFormula>'[1]Servidor-Administrador'!$H$10</calculatedColumnFormula>
      <totalsRowFormula>ROUND(SUMPRODUCT(Comparación_precios24[[CANTIDAD]:[CANTIDAD]],Comparación_precios24[PROVEEDOR 3]),2)</totalsRowFormula>
    </tableColumn>
    <tableColumn id="5" xr3:uid="{AB1A6CE8-F8D5-4F43-BEA1-685D428B9B0E}" name="PROVEEDOR 4" totalsRowFunction="custom" dataDxfId="21" totalsRowDxfId="20">
      <totalsRowFormula>ROUND(SUMPRODUCT(Comparación_precios24[[CANTIDAD]:[CANTIDAD]],Comparación_precios24[PROVEEDOR 4]),2)</totalsRowFormula>
    </tableColumn>
    <tableColumn id="6" xr3:uid="{F86F03F1-A41F-4F5F-B2AC-CC4D44194BC1}" name="PROVEEDOR 5" totalsRowFunction="custom" dataDxfId="19" totalsRowDxfId="18">
      <totalsRowFormula>ROUND(SUMPRODUCT(Comparación_precios24[[CANTIDAD]:[CANTIDAD]],Comparación_precios24[PROVEEDOR 5]),2)</totalsRowFormula>
    </tableColumn>
    <tableColumn id="7" xr3:uid="{4CCAB84A-6EBB-4BBD-A70F-5B98486D5F65}" name="PROVEEDOR 6" totalsRowFunction="custom" dataDxfId="17" totalsRowDxfId="16">
      <totalsRowFormula>ROUND(SUMPRODUCT(Comparación_precios24[[CANTIDAD]:[CANTIDAD]],Comparación_precios24[PROVEEDOR 6]),2)</totalsRowFormula>
    </tableColumn>
    <tableColumn id="11" xr3:uid="{7FBB0357-8870-45C4-B33E-7BA94D08FE57}" name="PRECIO MÁS BAJO" dataDxfId="15" totalsRowDxfId="14">
      <calculatedColumnFormula>MIN(Comparación_precios24[[#This Row],[PROVEEDOR 1]:[PROVEEDOR 6]])</calculatedColumnFormula>
    </tableColumn>
    <tableColumn id="12" xr3:uid="{02B36DB1-0739-4E0C-9385-64AEB60B711E}" name="PRECIO PROMEDIO" dataDxfId="13" totalsRowDxfId="12">
      <calculatedColumnFormula>IFERROR(AVERAGE(Comparación_precios24[[#This Row],[PROVEEDOR 1]:[PROVEEDOR 6]]),0)</calculatedColumnFormula>
    </tableColumn>
    <tableColumn id="13" xr3:uid="{FB498583-EDF3-4261-B97E-D73963A9C900}" name="PRECIO MÁS ALTO" dataDxfId="11" totalsRowDxfId="10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"/>
  <sheetViews>
    <sheetView showGridLines="0" zoomScale="80" zoomScaleNormal="80" workbookViewId="0">
      <selection activeCell="I12" sqref="I12"/>
    </sheetView>
  </sheetViews>
  <sheetFormatPr defaultColWidth="11.96484375" defaultRowHeight="15" x14ac:dyDescent="0.2"/>
  <cols>
    <col min="1" max="1" width="4.88671875" style="18" customWidth="1"/>
    <col min="2" max="11" width="22.08203125" style="18" customWidth="1"/>
    <col min="12" max="16384" width="11.96484375" style="18"/>
  </cols>
  <sheetData>
    <row r="1" spans="2:11" ht="9.9499999999999993" customHeight="1" x14ac:dyDescent="0.2"/>
    <row r="2" spans="2:11" customFormat="1" ht="54.95" customHeight="1" x14ac:dyDescent="0.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"/>
    <row r="4" spans="2:11" ht="42" customHeight="1" x14ac:dyDescent="0.2">
      <c r="B4" s="19" t="s">
        <v>16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"/>
    <row r="8" spans="2:11" x14ac:dyDescent="0.2">
      <c r="I8" s="18" t="s">
        <v>36</v>
      </c>
    </row>
    <row r="10" spans="2:11" x14ac:dyDescent="0.2">
      <c r="I10" s="18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1"/>
  <sheetViews>
    <sheetView showGridLines="0" tabSelected="1" topLeftCell="A8" zoomScale="40" zoomScaleNormal="40" workbookViewId="0">
      <selection activeCell="Q13" sqref="Q13"/>
    </sheetView>
  </sheetViews>
  <sheetFormatPr defaultColWidth="9.26953125" defaultRowHeight="14.25" x14ac:dyDescent="0.2"/>
  <cols>
    <col min="1" max="1" width="4.04296875" style="1" customWidth="1"/>
    <col min="2" max="2" width="23.4296875" style="1" customWidth="1"/>
    <col min="3" max="3" width="31.3515625" style="1" customWidth="1"/>
    <col min="4" max="5" width="24.1015625" style="1" bestFit="1" customWidth="1"/>
    <col min="6" max="6" width="25.11328125" style="1" bestFit="1" customWidth="1"/>
    <col min="7" max="8" width="22.25" style="1" bestFit="1" customWidth="1"/>
    <col min="9" max="9" width="22.25" style="1" customWidth="1"/>
    <col min="10" max="10" width="26.29296875" style="1" customWidth="1"/>
    <col min="11" max="11" width="25.11328125" style="3" customWidth="1"/>
    <col min="12" max="12" width="24.77734375" style="3" customWidth="1"/>
    <col min="13" max="13" width="20.39453125" style="1" customWidth="1"/>
    <col min="14" max="14" width="20.73046875" style="1" customWidth="1"/>
    <col min="15" max="16384" width="9.26953125" style="1"/>
  </cols>
  <sheetData>
    <row r="1" spans="2:14" ht="15" customHeight="1" x14ac:dyDescent="0.2"/>
    <row r="2" spans="2:14" customFormat="1" ht="54.95" customHeight="1" x14ac:dyDescent="0.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9.25" x14ac:dyDescent="0.2">
      <c r="B5" s="16" t="s">
        <v>2</v>
      </c>
      <c r="C5" s="16"/>
    </row>
    <row r="6" spans="2:14" ht="30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74" t="s">
        <v>23</v>
      </c>
      <c r="K7" s="75"/>
      <c r="L7" s="76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21.5" thickBot="1" x14ac:dyDescent="0.3">
      <c r="B9" s="61" t="str">
        <f>'[1]Servidor-Administrador'!$D$8</f>
        <v>Servidor Dell PowerEdge T350, Intel Xeon E-2378 2.60GHz, 16GB DDR4, 2TB, 3.5″, SATA III, Tower</v>
      </c>
      <c r="C9" s="32">
        <v>1</v>
      </c>
      <c r="D9" s="9">
        <f>'[1]Servidor-Administrador'!$H$8</f>
        <v>12145721.000000002</v>
      </c>
      <c r="E9" s="9">
        <f>'[1]Servidor-Administrador'!$H$9</f>
        <v>12180000</v>
      </c>
      <c r="F9" s="9">
        <f>'[1]Servidor-Administrador'!$H$10</f>
        <v>12712545.09</v>
      </c>
      <c r="G9" s="9"/>
      <c r="H9" s="9"/>
      <c r="I9" s="9"/>
      <c r="J9" s="72">
        <f>MIN(Comparación_precios[[#This Row],[PROVEEDOR 1]:[PROVEEDOR 6]])</f>
        <v>12145721.000000002</v>
      </c>
      <c r="K9" s="73">
        <f>IFERROR(AVERAGE(Comparación_precios[[#This Row],[PROVEEDOR 1]:[PROVEEDOR 6]]),0)</f>
        <v>12346088.696666667</v>
      </c>
      <c r="L9" s="67">
        <f>MAX(Comparación_precios[[#This Row],[PROVEEDOR 1]:[PROVEEDOR 6]])</f>
        <v>12712545.09</v>
      </c>
    </row>
    <row r="10" spans="2:14" s="7" customFormat="1" ht="87" thickBot="1" x14ac:dyDescent="0.3">
      <c r="B10" s="61" t="str">
        <f>'[1]Monitor-Administrador'!$D$8</f>
        <v>Monitor Samsung Gamer 24" pulgadas G320NL Plano Negro</v>
      </c>
      <c r="C10" s="32">
        <v>2</v>
      </c>
      <c r="D10" s="9">
        <f>'[1]Monitor-Administrador'!$H$8</f>
        <v>679900.00000000012</v>
      </c>
      <c r="E10" s="9">
        <f>'[1]Monitor-Administrador'!$H$9</f>
        <v>701900</v>
      </c>
      <c r="F10" s="9">
        <f>'[1]Monitor-Administrador'!$H$10</f>
        <v>684000</v>
      </c>
      <c r="G10" s="9"/>
      <c r="H10" s="9"/>
      <c r="I10" s="9"/>
      <c r="J10" s="13">
        <f>MIN(Comparación_precios[[#This Row],[PROVEEDOR 1]:[PROVEEDOR 6]])</f>
        <v>679900.00000000012</v>
      </c>
      <c r="K10" s="8">
        <f>IFERROR(AVERAGE(Comparación_precios[[#This Row],[PROVEEDOR 1]:[PROVEEDOR 6]]),0)</f>
        <v>688600</v>
      </c>
      <c r="L10" s="14">
        <f>MAX(Comparación_precios[[#This Row],[PROVEEDOR 1]:[PROVEEDOR 6]])</f>
        <v>701900</v>
      </c>
    </row>
    <row r="11" spans="2:14" s="7" customFormat="1" ht="87" thickBot="1" x14ac:dyDescent="0.3">
      <c r="B11" s="61" t="str">
        <f>[1]Mouse!$D$8</f>
        <v>Mouse HYPERX Alámbrico Optico Pulsefire Core 6200DPI RGB Gaming</v>
      </c>
      <c r="C11" s="32">
        <v>1</v>
      </c>
      <c r="D11" s="9">
        <f>[1]Mouse!$H$8</f>
        <v>89900</v>
      </c>
      <c r="E11" s="9">
        <f>[1]Mouse!$H$9</f>
        <v>89900</v>
      </c>
      <c r="F11" s="9">
        <f>[1]Mouse!$H$10</f>
        <v>89999</v>
      </c>
      <c r="G11" s="9"/>
      <c r="H11" s="9"/>
      <c r="I11" s="9"/>
      <c r="J11" s="13">
        <f>MIN(Comparación_precios[[#This Row],[PROVEEDOR 1]:[PROVEEDOR 6]])</f>
        <v>89900</v>
      </c>
      <c r="K11" s="8">
        <f>IFERROR(AVERAGE(Comparación_precios[[#This Row],[PROVEEDOR 1]:[PROVEEDOR 6]]),0)</f>
        <v>89933</v>
      </c>
      <c r="L11" s="14">
        <f>MAX(Comparación_precios[[#This Row],[PROVEEDOR 1]:[PROVEEDOR 6]])</f>
        <v>89999</v>
      </c>
    </row>
    <row r="12" spans="2:14" s="7" customFormat="1" ht="104.25" thickBot="1" x14ac:dyDescent="0.3">
      <c r="B12" s="61" t="str">
        <f>[1]Teclados!$D$8</f>
        <v>Teclado PRIMUS Alámbrico Mecánico Gaming colección Star Wars DARTH VADER Negro</v>
      </c>
      <c r="C12" s="32">
        <v>1</v>
      </c>
      <c r="D12" s="9">
        <f>[1]Teclados!$H$8</f>
        <v>289900</v>
      </c>
      <c r="E12" s="9">
        <f>[1]Teclados!$H$9</f>
        <v>219900</v>
      </c>
      <c r="F12" s="9">
        <f>[1]Teclados!$H$10</f>
        <v>219900</v>
      </c>
      <c r="G12" s="9"/>
      <c r="H12" s="9"/>
      <c r="I12" s="9"/>
      <c r="J12" s="13">
        <f>MIN(Comparación_precios[[#This Row],[PROVEEDOR 1]:[PROVEEDOR 6]])</f>
        <v>219900</v>
      </c>
      <c r="K12" s="8">
        <f>IFERROR(AVERAGE(Comparación_precios[[#This Row],[PROVEEDOR 1]:[PROVEEDOR 6]]),0)</f>
        <v>243233.33333333334</v>
      </c>
      <c r="L12" s="14">
        <f>MAX(Comparación_precios[[#This Row],[PROVEEDOR 1]:[PROVEEDOR 6]])</f>
        <v>289900</v>
      </c>
    </row>
    <row r="13" spans="2:14" s="7" customFormat="1" ht="87" thickBot="1" x14ac:dyDescent="0.3">
      <c r="B13" s="61" t="str">
        <f>[1]Antivirus!$D$8</f>
        <v>Pin Antivirus McAfee Total Protection 1 Dispositivo - 1 Año</v>
      </c>
      <c r="C13" s="32">
        <v>1</v>
      </c>
      <c r="D13" s="9">
        <f>[1]Antivirus!$H$8</f>
        <v>44900</v>
      </c>
      <c r="E13" s="9">
        <f>[1]Antivirus!$H$9</f>
        <v>39900</v>
      </c>
      <c r="F13" s="9">
        <f>[1]Antivirus!$H$10</f>
        <v>30097.000000000004</v>
      </c>
      <c r="G13" s="9"/>
      <c r="H13" s="9"/>
      <c r="I13" s="9"/>
      <c r="J13" s="27">
        <f>MIN(Comparación_precios[[#This Row],[PROVEEDOR 1]:[PROVEEDOR 6]])</f>
        <v>30097.000000000004</v>
      </c>
      <c r="K13" s="28">
        <f>IFERROR(AVERAGE(Comparación_precios[[#This Row],[PROVEEDOR 1]:[PROVEEDOR 6]]),0)</f>
        <v>38299</v>
      </c>
      <c r="L13" s="29">
        <f>MAX(Comparación_precios[[#This Row],[PROVEEDOR 1]:[PROVEEDOR 6]])</f>
        <v>44900</v>
      </c>
    </row>
    <row r="14" spans="2:14" s="2" customFormat="1" ht="52.5" thickBot="1" x14ac:dyDescent="0.3">
      <c r="B14" s="65" t="str">
        <f>'[1]Licencias SQL'!$D$8</f>
        <v>Licencia de dispositivo para SQL Server 2022</v>
      </c>
      <c r="C14" s="50">
        <v>1</v>
      </c>
      <c r="D14" s="9">
        <f>'[1]Licencias SQL'!$H$8</f>
        <v>1302967.8900000001</v>
      </c>
      <c r="E14" s="9">
        <f>'[1]Licencias SQL'!$H$9</f>
        <v>2809899.1600000006</v>
      </c>
      <c r="F14" s="9">
        <f>'[1]Licencias SQL'!$H$10</f>
        <v>1990000.0000000002</v>
      </c>
      <c r="G14" s="49"/>
      <c r="H14" s="49"/>
      <c r="I14" s="49"/>
      <c r="J14" s="71">
        <f>MIN(Comparación_precios[[#This Row],[PROVEEDOR 1]:[PROVEEDOR 6]])</f>
        <v>1302967.8900000001</v>
      </c>
      <c r="K14" s="68">
        <f>IFERROR(AVERAGE(Comparación_precios[[#This Row],[PROVEEDOR 1]:[PROVEEDOR 6]]),0)</f>
        <v>2034289.0166666668</v>
      </c>
      <c r="L14" s="67">
        <f>MAX(Comparación_precios[[#This Row],[PROVEEDOR 1]:[PROVEEDOR 6]])</f>
        <v>2809899.1600000006</v>
      </c>
    </row>
    <row r="15" spans="2:14" s="2" customFormat="1" ht="52.5" thickBot="1" x14ac:dyDescent="0.3">
      <c r="B15" s="65" t="str">
        <f>'[1]Licencias Microsoft'!$D$8</f>
        <v>Microsoft 365 Business Standard</v>
      </c>
      <c r="C15" s="50">
        <v>1</v>
      </c>
      <c r="D15" s="49">
        <f>'[1]Licencias Microsoft'!$H$8</f>
        <v>535949.57999999996</v>
      </c>
      <c r="E15" s="9">
        <f>'[1]Licencias Microsoft'!$H$9</f>
        <v>749900.00000000012</v>
      </c>
      <c r="F15" s="9">
        <f>'[1]Licencias Microsoft'!$H$10</f>
        <v>749900.00000000012</v>
      </c>
      <c r="G15" s="49"/>
      <c r="H15" s="49"/>
      <c r="I15" s="49"/>
      <c r="J15" s="27">
        <f>MIN(Comparación_precios[[#This Row],[PROVEEDOR 1]:[PROVEEDOR 6]])</f>
        <v>535949.57999999996</v>
      </c>
      <c r="K15" s="45">
        <f>IFERROR(AVERAGE(Comparación_precios[[#This Row],[PROVEEDOR 1]:[PROVEEDOR 6]]),0)</f>
        <v>678583.19333333336</v>
      </c>
      <c r="L15" s="46">
        <f>MAX(Comparación_precios[[#This Row],[PROVEEDOR 1]:[PROVEEDOR 6]])</f>
        <v>749900.00000000012</v>
      </c>
    </row>
    <row r="16" spans="2:14" s="2" customFormat="1" ht="36" thickBot="1" x14ac:dyDescent="0.3">
      <c r="B16" s="65" t="str">
        <f>'[1]Licencia de server'!$D$8</f>
        <v>Windows Server Standard 2022</v>
      </c>
      <c r="C16" s="50">
        <v>1</v>
      </c>
      <c r="D16" s="49">
        <f>'[1]Licencia de server'!$H$8</f>
        <v>2290000</v>
      </c>
      <c r="E16" s="9">
        <f>'[1]Licencia de server'!$H$9</f>
        <v>140000</v>
      </c>
      <c r="F16" s="9">
        <f>'[1]Licencia de server'!$H$10</f>
        <v>5304065.62</v>
      </c>
      <c r="G16" s="49"/>
      <c r="H16" s="49"/>
      <c r="I16" s="49"/>
      <c r="J16" s="27">
        <f>MIN(Comparación_precios[[#This Row],[PROVEEDOR 1]:[PROVEEDOR 6]])</f>
        <v>140000</v>
      </c>
      <c r="K16" s="69">
        <f>IFERROR(AVERAGE(Comparación_precios[[#This Row],[PROVEEDOR 1]:[PROVEEDOR 6]]),0)</f>
        <v>2578021.8733333335</v>
      </c>
      <c r="L16" s="70">
        <f>MAX(Comparación_precios[[#This Row],[PROVEEDOR 1]:[PROVEEDOR 6]])</f>
        <v>5304065.62</v>
      </c>
    </row>
    <row r="17" spans="2:12" s="2" customFormat="1" ht="52.5" thickBot="1" x14ac:dyDescent="0.3">
      <c r="B17" s="66" t="str">
        <f>'[1]Plan internet empresarial'!$D$8</f>
        <v>Internet Fibra Empresarial
500 Megas</v>
      </c>
      <c r="C17" s="43">
        <v>1</v>
      </c>
      <c r="D17" s="44">
        <f>'[1]Plan internet empresarial'!$H$8</f>
        <v>105990.00000000001</v>
      </c>
      <c r="E17" s="9">
        <f>'[1]Plan internet empresarial'!$H$9</f>
        <v>87900.000000000015</v>
      </c>
      <c r="F17" s="9">
        <f>'[1]Plan internet empresarial'!$H$10</f>
        <v>129000</v>
      </c>
      <c r="G17" s="44"/>
      <c r="H17" s="42"/>
      <c r="I17" s="60"/>
      <c r="J17" s="27">
        <f>MIN(Comparación_precios[[#This Row],[PROVEEDOR 1]:[PROVEEDOR 6]])</f>
        <v>87900.000000000015</v>
      </c>
      <c r="K17" s="45">
        <f>IFERROR(AVERAGE(Comparación_precios[[#This Row],[PROVEEDOR 1]:[PROVEEDOR 6]]),0)</f>
        <v>107630</v>
      </c>
      <c r="L17" s="46">
        <f>MAX(Comparación_precios[[#This Row],[PROVEEDOR 1]:[PROVEEDOR 6]])</f>
        <v>129000</v>
      </c>
    </row>
    <row r="18" spans="2:12" s="2" customFormat="1" ht="19.5" thickBot="1" x14ac:dyDescent="0.3">
      <c r="B18" s="66" t="str">
        <f>'[1]Licencia de Hosting'!$D$8</f>
        <v>Hosting ColHost1</v>
      </c>
      <c r="C18" s="43">
        <v>1</v>
      </c>
      <c r="D18" s="44">
        <f>'[1]Licencia de Hosting'!$H$8</f>
        <v>454000</v>
      </c>
      <c r="E18" s="9">
        <f>'[1]Licencia de Hosting'!$H$9</f>
        <v>408502.00000000006</v>
      </c>
      <c r="F18" s="9">
        <f>'[1]Licencia de Hosting'!$H$10</f>
        <v>204930</v>
      </c>
      <c r="G18" s="44"/>
      <c r="H18" s="42"/>
      <c r="I18" s="60"/>
      <c r="J18" s="27">
        <f>MIN(Comparación_precios[[#This Row],[PROVEEDOR 1]:[PROVEEDOR 6]])</f>
        <v>204930</v>
      </c>
      <c r="K18" s="45">
        <f>IFERROR(AVERAGE(Comparación_precios[[#This Row],[PROVEEDOR 1]:[PROVEEDOR 6]]),0)</f>
        <v>355810.66666666669</v>
      </c>
      <c r="L18" s="46">
        <f>MAX(Comparación_precios[[#This Row],[PROVEEDOR 1]:[PROVEEDOR 6]])</f>
        <v>454000</v>
      </c>
    </row>
    <row r="19" spans="2:12" s="2" customFormat="1" ht="36" thickBot="1" x14ac:dyDescent="0.3">
      <c r="B19" s="66" t="str">
        <f>'[1]Licencia de dominio'!$D$8</f>
        <v>Registro de dominio</v>
      </c>
      <c r="C19" s="43">
        <v>1</v>
      </c>
      <c r="D19" s="44">
        <f>'[1]Licencia de dominio'!$H$8</f>
        <v>106000</v>
      </c>
      <c r="E19" s="9">
        <f>'[1]Licencia de dominio'!$H$9</f>
        <v>201650.00000000003</v>
      </c>
      <c r="F19" s="9">
        <f>'[1]Licencia de dominio'!$H$10</f>
        <v>80902</v>
      </c>
      <c r="G19" s="44"/>
      <c r="H19" s="42"/>
      <c r="I19" s="60"/>
      <c r="J19" s="27">
        <f>MIN(Comparación_precios[[#This Row],[PROVEEDOR 1]:[PROVEEDOR 6]])</f>
        <v>80902</v>
      </c>
      <c r="K19" s="45">
        <f>IFERROR(AVERAGE(Comparación_precios[[#This Row],[PROVEEDOR 1]:[PROVEEDOR 6]]),0)</f>
        <v>129517.33333333333</v>
      </c>
      <c r="L19" s="46">
        <f>MAX(Comparación_precios[[#This Row],[PROVEEDOR 1]:[PROVEEDOR 6]])</f>
        <v>201650.00000000003</v>
      </c>
    </row>
    <row r="20" spans="2:12" s="2" customFormat="1" ht="52.5" thickBot="1" x14ac:dyDescent="0.3">
      <c r="B20" s="66" t="str">
        <f>'[1]Licencia Visual Studio Code'!$D$8</f>
        <v>Microsoft Visual Studio 2022 Professional</v>
      </c>
      <c r="C20" s="43">
        <v>4</v>
      </c>
      <c r="D20" s="44">
        <f>'[1]Licencia Visual Studio Code'!$H$8</f>
        <v>1589731.09</v>
      </c>
      <c r="E20" s="9">
        <f>'[1]Licencia Visual Studio Code'!$H$9</f>
        <v>90685</v>
      </c>
      <c r="F20" s="9">
        <f>'[1]Licencia Visual Studio Code'!$H$10</f>
        <v>2099099</v>
      </c>
      <c r="G20" s="44"/>
      <c r="H20" s="42"/>
      <c r="I20" s="60"/>
      <c r="J20" s="27">
        <f>MIN(Comparación_precios[[#This Row],[PROVEEDOR 1]:[PROVEEDOR 6]])</f>
        <v>90685</v>
      </c>
      <c r="K20" s="68">
        <f>IFERROR(AVERAGE(Comparación_precios[[#This Row],[PROVEEDOR 1]:[PROVEEDOR 6]]),0)</f>
        <v>1259838.3633333333</v>
      </c>
      <c r="L20" s="67">
        <f>MAX(Comparación_precios[[#This Row],[PROVEEDOR 1]:[PROVEEDOR 6]])</f>
        <v>2099099</v>
      </c>
    </row>
    <row r="21" spans="2:12" s="2" customFormat="1" ht="19.5" thickBot="1" x14ac:dyDescent="0.3">
      <c r="B21" s="42"/>
      <c r="C21" s="43"/>
      <c r="D21" s="44"/>
      <c r="E21" s="9"/>
      <c r="F21" s="9"/>
      <c r="G21" s="44"/>
      <c r="H21" s="42"/>
      <c r="I21" s="60"/>
      <c r="J21" s="27">
        <f>MIN(Comparación_precios[[#This Row],[PROVEEDOR 1]:[PROVEEDOR 6]])</f>
        <v>0</v>
      </c>
      <c r="K21" s="45">
        <f>IFERROR(AVERAGE(Comparación_precios[[#This Row],[PROVEEDOR 1]:[PROVEEDOR 6]]),0)</f>
        <v>0</v>
      </c>
      <c r="L21" s="46">
        <f>MAX(Comparación_precios[[#This Row],[PROVEEDOR 1]:[PROVEEDOR 6]])</f>
        <v>0</v>
      </c>
    </row>
    <row r="22" spans="2:12" s="2" customFormat="1" ht="19.5" thickBot="1" x14ac:dyDescent="0.3">
      <c r="B22" s="42"/>
      <c r="C22" s="43"/>
      <c r="D22" s="44"/>
      <c r="E22" s="9"/>
      <c r="F22" s="9"/>
      <c r="G22" s="44"/>
      <c r="H22" s="42"/>
      <c r="I22" s="60"/>
      <c r="J22" s="27">
        <f>MIN(Comparación_precios[[#This Row],[PROVEEDOR 1]:[PROVEEDOR 6]])</f>
        <v>0</v>
      </c>
      <c r="K22" s="45">
        <f>IFERROR(AVERAGE(Comparación_precios[[#This Row],[PROVEEDOR 1]:[PROVEEDOR 6]]),0)</f>
        <v>0</v>
      </c>
      <c r="L22" s="46">
        <f>MAX(Comparación_precios[[#This Row],[PROVEEDOR 1]:[PROVEEDOR 6]])</f>
        <v>0</v>
      </c>
    </row>
    <row r="23" spans="2:12" s="2" customFormat="1" ht="19.5" thickBot="1" x14ac:dyDescent="0.3">
      <c r="B23" s="42"/>
      <c r="C23" s="43"/>
      <c r="D23" s="44"/>
      <c r="E23" s="9"/>
      <c r="F23" s="9"/>
      <c r="G23" s="44"/>
      <c r="H23" s="42"/>
      <c r="I23" s="60"/>
      <c r="J23" s="27">
        <f>MIN(Comparación_precios[[#This Row],[PROVEEDOR 1]:[PROVEEDOR 6]])</f>
        <v>0</v>
      </c>
      <c r="K23" s="45">
        <f>IFERROR(AVERAGE(Comparación_precios[[#This Row],[PROVEEDOR 1]:[PROVEEDOR 6]]),0)</f>
        <v>0</v>
      </c>
      <c r="L23" s="46">
        <f>MAX(Comparación_precios[[#This Row],[PROVEEDOR 1]:[PROVEEDOR 6]])</f>
        <v>0</v>
      </c>
    </row>
    <row r="24" spans="2:12" s="2" customFormat="1" ht="19.5" thickBot="1" x14ac:dyDescent="0.3">
      <c r="B24" s="33" t="s">
        <v>24</v>
      </c>
      <c r="C24" s="33"/>
      <c r="D24" s="63">
        <f>ROUND(SUMPRODUCT(Comparación_precios[[CANTIDAD]:[CANTIDAD]],Comparación_precios[PROVEEDOR 1]),2)</f>
        <v>25084052.829999998</v>
      </c>
      <c r="E24" s="64">
        <f>ROUND(SUMPRODUCT(Comparación_precios[[CANTIDAD]:[CANTIDAD]],Comparación_precios[PROVEEDOR 2]),2)</f>
        <v>18694091.16</v>
      </c>
      <c r="F24" s="63">
        <f>ROUND(SUMPRODUCT(Comparación_precios[[CANTIDAD]:[CANTIDAD]],Comparación_precios[PROVEEDOR 3]),2)</f>
        <v>31275734.710000001</v>
      </c>
      <c r="G24" s="34">
        <f>ROUND(SUMPRODUCT(Comparación_precios[[CANTIDAD]:[CANTIDAD]],Comparación_precios[PROVEEDOR 4]),2)</f>
        <v>0</v>
      </c>
      <c r="H24" s="34">
        <f>ROUND(SUMPRODUCT(Comparación_precios[[CANTIDAD]:[CANTIDAD]],Comparación_precios[PROVEEDOR 5]),2)</f>
        <v>0</v>
      </c>
      <c r="I24" s="34">
        <f>ROUND(SUMPRODUCT(Comparación_precios[[CANTIDAD]:[CANTIDAD]],Comparación_precios[PROVEEDOR 6]),2)</f>
        <v>0</v>
      </c>
      <c r="J24" s="35"/>
      <c r="K24" s="35"/>
      <c r="L24" s="36"/>
    </row>
    <row r="25" spans="2:12" s="2" customFormat="1" x14ac:dyDescent="0.2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</row>
    <row r="26" spans="2:12" s="2" customFormat="1" ht="15" thickBot="1" x14ac:dyDescent="0.25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48.6" customHeight="1" x14ac:dyDescent="0.2">
      <c r="B27" s="79" t="s">
        <v>11</v>
      </c>
      <c r="C27" s="80"/>
      <c r="D27" s="21"/>
      <c r="E27" s="21"/>
      <c r="F27" s="21"/>
      <c r="G27" s="21"/>
      <c r="H27" s="21"/>
    </row>
    <row r="28" spans="2:12" s="2" customFormat="1" ht="33.6" customHeight="1" x14ac:dyDescent="0.2">
      <c r="B28" s="77" t="s">
        <v>12</v>
      </c>
      <c r="C28" s="78"/>
      <c r="D28" s="51"/>
      <c r="E28" s="15"/>
      <c r="F28" s="15"/>
      <c r="G28" s="15"/>
      <c r="H28" s="15"/>
      <c r="I28" s="15"/>
    </row>
    <row r="29" spans="2:12" s="2" customFormat="1" ht="25.9" customHeight="1" x14ac:dyDescent="0.2">
      <c r="B29" s="77" t="s">
        <v>13</v>
      </c>
      <c r="C29" s="78"/>
      <c r="D29" s="52"/>
      <c r="E29" s="22"/>
      <c r="F29" s="22"/>
      <c r="G29" s="15"/>
      <c r="H29" s="22"/>
      <c r="I29" s="22"/>
    </row>
    <row r="30" spans="2:12" s="2" customFormat="1" ht="18" customHeight="1" x14ac:dyDescent="0.2">
      <c r="B30" s="77" t="s">
        <v>14</v>
      </c>
      <c r="C30" s="78"/>
      <c r="D30" s="53"/>
      <c r="E30" s="23"/>
      <c r="F30" s="23"/>
      <c r="G30" s="23"/>
      <c r="H30" s="23"/>
      <c r="I30" s="23"/>
    </row>
    <row r="31" spans="2:12" s="2" customFormat="1" ht="18.75" x14ac:dyDescent="0.2">
      <c r="B31" s="77"/>
      <c r="C31" s="78"/>
      <c r="D31" s="54"/>
      <c r="E31" s="24"/>
      <c r="F31" s="24"/>
      <c r="G31" s="24"/>
      <c r="H31" s="24"/>
      <c r="I31" s="24"/>
    </row>
    <row r="32" spans="2:12" s="2" customFormat="1" ht="18.75" x14ac:dyDescent="0.2">
      <c r="B32" s="77"/>
      <c r="C32" s="78"/>
      <c r="D32" s="55"/>
      <c r="E32" s="25"/>
      <c r="F32" s="25"/>
      <c r="G32" s="25"/>
      <c r="H32" s="25"/>
      <c r="I32" s="25"/>
    </row>
    <row r="33" spans="2:12" ht="18.75" x14ac:dyDescent="0.2">
      <c r="B33" s="77"/>
      <c r="C33" s="78"/>
      <c r="D33" s="56"/>
      <c r="E33" s="26"/>
      <c r="F33" s="26"/>
      <c r="G33" s="26"/>
      <c r="H33" s="26"/>
      <c r="I33" s="26"/>
      <c r="J33" s="2"/>
      <c r="K33" s="1"/>
      <c r="L33" s="1"/>
    </row>
    <row r="34" spans="2:12" x14ac:dyDescent="0.2">
      <c r="J34" s="3"/>
      <c r="K34" s="1"/>
      <c r="L34" s="1"/>
    </row>
    <row r="35" spans="2:12" x14ac:dyDescent="0.2">
      <c r="J35" s="3"/>
      <c r="K35" s="1"/>
      <c r="L35" s="1"/>
    </row>
    <row r="36" spans="2:12" ht="18.75" x14ac:dyDescent="0.2">
      <c r="D36" s="37"/>
      <c r="E36" s="37"/>
      <c r="F36" s="38"/>
      <c r="G36" s="39"/>
      <c r="H36" s="40"/>
      <c r="I36" s="37"/>
      <c r="J36" s="3"/>
      <c r="K36" s="1"/>
      <c r="L36" s="1"/>
    </row>
    <row r="37" spans="2:12" ht="18.75" x14ac:dyDescent="0.2">
      <c r="D37" s="37"/>
      <c r="E37" s="37"/>
      <c r="F37" s="38"/>
      <c r="G37" s="41"/>
      <c r="H37" s="40"/>
      <c r="I37" s="37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</sheetData>
  <mergeCells count="5">
    <mergeCell ref="J7:L7"/>
    <mergeCell ref="B28:C28"/>
    <mergeCell ref="B29:C29"/>
    <mergeCell ref="B30:C33"/>
    <mergeCell ref="B27:C27"/>
  </mergeCells>
  <phoneticPr fontId="13" type="noConversion"/>
  <conditionalFormatting sqref="B8:C8 D24:I24">
    <cfRule type="expression" dxfId="9" priority="1">
      <formula>AND(B$24=MIN($D$24:$I$24),B$24&lt;&gt;0)</formula>
    </cfRule>
  </conditionalFormatting>
  <conditionalFormatting sqref="D8:I8">
    <cfRule type="expression" dxfId="8" priority="42">
      <formula>AND(D$24=MIN($D$24:$I$24),D$24&lt;&gt;0)</formula>
    </cfRule>
  </conditionalFormatting>
  <conditionalFormatting sqref="D9:I23">
    <cfRule type="expression" dxfId="7" priority="52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7DA5-D110-46FE-845E-DB41DAF110C8}">
  <dimension ref="B1:N41"/>
  <sheetViews>
    <sheetView showGridLines="0" topLeftCell="A11" zoomScale="90" zoomScaleNormal="90" workbookViewId="0">
      <selection activeCell="B14" sqref="B14"/>
    </sheetView>
  </sheetViews>
  <sheetFormatPr defaultColWidth="9.26953125" defaultRowHeight="14.25" x14ac:dyDescent="0.2"/>
  <cols>
    <col min="1" max="1" width="4.04296875" style="1" customWidth="1"/>
    <col min="2" max="2" width="23.4296875" style="1" customWidth="1"/>
    <col min="3" max="3" width="31.3515625" style="1" customWidth="1"/>
    <col min="4" max="5" width="24.1015625" style="1" bestFit="1" customWidth="1"/>
    <col min="6" max="6" width="25.11328125" style="1" bestFit="1" customWidth="1"/>
    <col min="7" max="8" width="22.25" style="1" bestFit="1" customWidth="1"/>
    <col min="9" max="9" width="22.25" style="1" customWidth="1"/>
    <col min="10" max="10" width="26.29296875" style="1" customWidth="1"/>
    <col min="11" max="11" width="25.11328125" style="3" customWidth="1"/>
    <col min="12" max="12" width="24.77734375" style="3" customWidth="1"/>
    <col min="13" max="13" width="20.39453125" style="1" customWidth="1"/>
    <col min="14" max="14" width="20.73046875" style="1" customWidth="1"/>
    <col min="15" max="16384" width="9.26953125" style="1"/>
  </cols>
  <sheetData>
    <row r="1" spans="2:14" ht="15" customHeight="1" x14ac:dyDescent="0.2"/>
    <row r="2" spans="2:14" customFormat="1" ht="54.95" customHeight="1" x14ac:dyDescent="0.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9.25" x14ac:dyDescent="0.2">
      <c r="B5" s="16" t="s">
        <v>2</v>
      </c>
      <c r="C5" s="16"/>
    </row>
    <row r="6" spans="2:14" ht="30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74" t="s">
        <v>23</v>
      </c>
      <c r="K7" s="75"/>
      <c r="L7" s="76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38" thickBot="1" x14ac:dyDescent="0.3">
      <c r="B9" s="61" t="str">
        <f>'[1]Portatil-Supervisor'!$D$8</f>
        <v>Computador Portátil ASUS Vivobook 16" Pulgadas M3604YA - AMD Ryzen 7 - RAM 16GB - Disco SSD 1 TB - Plateado</v>
      </c>
      <c r="C9" s="32">
        <v>1</v>
      </c>
      <c r="D9" s="9">
        <f>'[1]Portatil-Supervisor'!$H$8</f>
        <v>3449000</v>
      </c>
      <c r="E9" s="9">
        <f>'[1]Portatil-Supervisor'!$H$9</f>
        <v>2998000</v>
      </c>
      <c r="F9" s="9">
        <f>'[1]Portatil-Supervisor'!$H$10</f>
        <v>2457900</v>
      </c>
      <c r="G9" s="9"/>
      <c r="H9" s="9"/>
      <c r="I9" s="9"/>
      <c r="J9" s="13">
        <f>MIN(Comparación_precios2[[#This Row],[PROVEEDOR 1]:[PROVEEDOR 6]])</f>
        <v>2457900</v>
      </c>
      <c r="K9" s="8">
        <f>IFERROR(AVERAGE(Comparación_precios2[[#This Row],[PROVEEDOR 1]:[PROVEEDOR 6]]),0)</f>
        <v>2968300</v>
      </c>
      <c r="L9" s="14">
        <f>MAX(Comparación_precios2[[#This Row],[PROVEEDOR 1]:[PROVEEDOR 6]])</f>
        <v>3449000</v>
      </c>
    </row>
    <row r="10" spans="2:14" s="7" customFormat="1" ht="87" thickBot="1" x14ac:dyDescent="0.3">
      <c r="B10" s="61" t="str">
        <f>'[1]Base-Supervisor'!$D$8</f>
        <v>Base Metálica VTA Retráctil para Portátil|8 Posiciones con Estuche De Carga</v>
      </c>
      <c r="C10" s="32">
        <v>1</v>
      </c>
      <c r="D10" s="9">
        <f>'[1]Base-Supervisor'!$H$8</f>
        <v>56900</v>
      </c>
      <c r="E10" s="9">
        <f>'[1]Base-Supervisor'!$H$9</f>
        <v>56900</v>
      </c>
      <c r="F10" s="9">
        <f>'[1]Base-Supervisor'!$H$10</f>
        <v>26900.000000000004</v>
      </c>
      <c r="G10" s="9"/>
      <c r="H10" s="9"/>
      <c r="I10" s="9"/>
      <c r="J10" s="13">
        <f>MIN(Comparación_precios2[[#This Row],[PROVEEDOR 1]:[PROVEEDOR 6]])</f>
        <v>26900.000000000004</v>
      </c>
      <c r="K10" s="8">
        <f>IFERROR(AVERAGE(Comparación_precios2[[#This Row],[PROVEEDOR 1]:[PROVEEDOR 6]]),0)</f>
        <v>46900</v>
      </c>
      <c r="L10" s="14">
        <f>MAX(Comparación_precios2[[#This Row],[PROVEEDOR 1]:[PROVEEDOR 6]])</f>
        <v>56900</v>
      </c>
    </row>
    <row r="11" spans="2:14" s="7" customFormat="1" ht="87" thickBot="1" x14ac:dyDescent="0.3">
      <c r="B11" s="61" t="str">
        <f>[1]Mouse!$D$8</f>
        <v>Mouse HYPERX Alámbrico Optico Pulsefire Core 6200DPI RGB Gaming</v>
      </c>
      <c r="C11" s="32">
        <v>1</v>
      </c>
      <c r="D11" s="9">
        <f>[1]Mouse!$H$8</f>
        <v>89900</v>
      </c>
      <c r="E11" s="9">
        <f>[1]Mouse!$H$9</f>
        <v>89900</v>
      </c>
      <c r="F11" s="9">
        <f>[1]Mouse!$H$10</f>
        <v>89999</v>
      </c>
      <c r="G11" s="9"/>
      <c r="H11" s="9"/>
      <c r="I11" s="9"/>
      <c r="J11" s="13">
        <f>MIN(Comparación_precios2[[#This Row],[PROVEEDOR 1]:[PROVEEDOR 6]])</f>
        <v>89900</v>
      </c>
      <c r="K11" s="8">
        <f>IFERROR(AVERAGE(Comparación_precios2[[#This Row],[PROVEEDOR 1]:[PROVEEDOR 6]]),0)</f>
        <v>89933</v>
      </c>
      <c r="L11" s="14">
        <f>MAX(Comparación_precios2[[#This Row],[PROVEEDOR 1]:[PROVEEDOR 6]])</f>
        <v>89999</v>
      </c>
    </row>
    <row r="12" spans="2:14" s="7" customFormat="1" ht="104.25" thickBot="1" x14ac:dyDescent="0.3">
      <c r="B12" s="61" t="str">
        <f>[1]Teclados!$D$8</f>
        <v>Teclado PRIMUS Alámbrico Mecánico Gaming colección Star Wars DARTH VADER Negro</v>
      </c>
      <c r="C12" s="32">
        <v>1</v>
      </c>
      <c r="D12" s="9">
        <f>[1]Teclados!$H$8</f>
        <v>289900</v>
      </c>
      <c r="E12" s="9">
        <f>[1]Teclados!$H$9</f>
        <v>219900</v>
      </c>
      <c r="F12" s="9">
        <f>[1]Teclados!$H$10</f>
        <v>219900</v>
      </c>
      <c r="G12" s="9"/>
      <c r="H12" s="9"/>
      <c r="I12" s="9"/>
      <c r="J12" s="13">
        <f>MIN(Comparación_precios2[[#This Row],[PROVEEDOR 1]:[PROVEEDOR 6]])</f>
        <v>219900</v>
      </c>
      <c r="K12" s="8">
        <f>IFERROR(AVERAGE(Comparación_precios2[[#This Row],[PROVEEDOR 1]:[PROVEEDOR 6]]),0)</f>
        <v>243233.33333333334</v>
      </c>
      <c r="L12" s="14">
        <f>MAX(Comparación_precios2[[#This Row],[PROVEEDOR 1]:[PROVEEDOR 6]])</f>
        <v>289900</v>
      </c>
    </row>
    <row r="13" spans="2:14" s="7" customFormat="1" ht="52.5" thickBot="1" x14ac:dyDescent="0.3">
      <c r="B13" s="61" t="str">
        <f>'[1]Licencias Microsoft'!$D$8</f>
        <v>Microsoft 365 Business Standard</v>
      </c>
      <c r="C13" s="32">
        <v>1</v>
      </c>
      <c r="D13" s="9">
        <f>'[1]Licencias Microsoft'!$H$8</f>
        <v>535949.57999999996</v>
      </c>
      <c r="E13" s="9">
        <f>'[1]Licencias Microsoft'!$H$9</f>
        <v>749900.00000000012</v>
      </c>
      <c r="F13" s="9">
        <f>'[1]Licencias Microsoft'!$H$10</f>
        <v>749900.00000000012</v>
      </c>
      <c r="G13" s="9"/>
      <c r="H13" s="9"/>
      <c r="I13" s="9"/>
      <c r="J13" s="27">
        <f>MIN(Comparación_precios2[[#This Row],[PROVEEDOR 1]:[PROVEEDOR 6]])</f>
        <v>535949.57999999996</v>
      </c>
      <c r="K13" s="28">
        <f>IFERROR(AVERAGE(Comparación_precios2[[#This Row],[PROVEEDOR 1]:[PROVEEDOR 6]]),0)</f>
        <v>678583.19333333336</v>
      </c>
      <c r="L13" s="29">
        <f>MAX(Comparación_precios2[[#This Row],[PROVEEDOR 1]:[PROVEEDOR 6]])</f>
        <v>749900.00000000012</v>
      </c>
    </row>
    <row r="14" spans="2:14" s="2" customFormat="1" ht="52.5" thickBot="1" x14ac:dyDescent="0.3">
      <c r="B14" s="65" t="str">
        <f>'[1]Licencias de windows 11 pro'!$D$8</f>
        <v>Licencia Windows 11 Pro Retail CD Key</v>
      </c>
      <c r="C14" s="50">
        <v>1</v>
      </c>
      <c r="D14" s="49">
        <f>'[1]Licencias de windows 11 pro'!$H$8</f>
        <v>34900</v>
      </c>
      <c r="E14" s="9">
        <f>'[1]Licencias de windows 11 pro'!$H$9</f>
        <v>39071.000000000007</v>
      </c>
      <c r="F14" s="9">
        <f>'[1]Licencias de windows 11 pro'!$H$10</f>
        <v>42872.75</v>
      </c>
      <c r="G14" s="49"/>
      <c r="H14" s="49"/>
      <c r="I14" s="49"/>
      <c r="J14" s="27">
        <f>MIN(Comparación_precios2[[#This Row],[PROVEEDOR 1]:[PROVEEDOR 6]])</f>
        <v>34900</v>
      </c>
      <c r="K14" s="45">
        <f>IFERROR(AVERAGE(Comparación_precios2[[#This Row],[PROVEEDOR 1]:[PROVEEDOR 6]]),0)</f>
        <v>38947.916666666664</v>
      </c>
      <c r="L14" s="46">
        <f>MAX(Comparación_precios2[[#This Row],[PROVEEDOR 1]:[PROVEEDOR 6]])</f>
        <v>42872.75</v>
      </c>
    </row>
    <row r="15" spans="2:14" s="2" customFormat="1" ht="19.5" thickBot="1" x14ac:dyDescent="0.3">
      <c r="B15" s="49"/>
      <c r="C15" s="50"/>
      <c r="D15" s="49"/>
      <c r="E15" s="9"/>
      <c r="F15" s="9"/>
      <c r="G15" s="49"/>
      <c r="H15" s="49"/>
      <c r="I15" s="49"/>
      <c r="J15" s="27">
        <f>MIN(Comparación_precios2[[#This Row],[PROVEEDOR 1]:[PROVEEDOR 6]])</f>
        <v>0</v>
      </c>
      <c r="K15" s="45">
        <f>IFERROR(AVERAGE(Comparación_precios2[[#This Row],[PROVEEDOR 1]:[PROVEEDOR 6]]),0)</f>
        <v>0</v>
      </c>
      <c r="L15" s="46">
        <f>MAX(Comparación_precios2[[#This Row],[PROVEEDOR 1]:[PROVEEDOR 6]])</f>
        <v>0</v>
      </c>
    </row>
    <row r="16" spans="2:14" s="2" customFormat="1" ht="19.5" thickBot="1" x14ac:dyDescent="0.3">
      <c r="B16" s="49"/>
      <c r="C16" s="50"/>
      <c r="D16" s="49"/>
      <c r="E16" s="9"/>
      <c r="F16" s="9"/>
      <c r="G16" s="49"/>
      <c r="H16" s="49"/>
      <c r="I16" s="49"/>
      <c r="J16" s="27">
        <f>MIN(Comparación_precios2[[#This Row],[PROVEEDOR 1]:[PROVEEDOR 6]])</f>
        <v>0</v>
      </c>
      <c r="K16" s="47">
        <f>IFERROR(AVERAGE(Comparación_precios2[[#This Row],[PROVEEDOR 1]:[PROVEEDOR 6]]),0)</f>
        <v>0</v>
      </c>
      <c r="L16" s="48">
        <f>MAX(Comparación_precios2[[#This Row],[PROVEEDOR 1]:[PROVEEDOR 6]])</f>
        <v>0</v>
      </c>
    </row>
    <row r="17" spans="2:12" s="2" customFormat="1" ht="19.5" thickBot="1" x14ac:dyDescent="0.3">
      <c r="B17" s="42"/>
      <c r="C17" s="43"/>
      <c r="D17" s="44"/>
      <c r="E17" s="9"/>
      <c r="F17" s="9"/>
      <c r="G17" s="44"/>
      <c r="H17" s="42"/>
      <c r="I17" s="60"/>
      <c r="J17" s="27">
        <f>MIN(Comparación_precios2[[#This Row],[PROVEEDOR 1]:[PROVEEDOR 6]])</f>
        <v>0</v>
      </c>
      <c r="K17" s="45">
        <f>IFERROR(AVERAGE(Comparación_precios2[[#This Row],[PROVEEDOR 1]:[PROVEEDOR 6]]),0)</f>
        <v>0</v>
      </c>
      <c r="L17" s="46">
        <f>MAX(Comparación_precios2[[#This Row],[PROVEEDOR 1]:[PROVEEDOR 6]])</f>
        <v>0</v>
      </c>
    </row>
    <row r="18" spans="2:12" s="2" customFormat="1" ht="19.5" thickBot="1" x14ac:dyDescent="0.3">
      <c r="B18" s="42"/>
      <c r="C18" s="43"/>
      <c r="D18" s="44"/>
      <c r="E18" s="9"/>
      <c r="F18" s="9"/>
      <c r="G18" s="44"/>
      <c r="H18" s="42"/>
      <c r="I18" s="60"/>
      <c r="J18" s="27">
        <f>MIN(Comparación_precios2[[#This Row],[PROVEEDOR 1]:[PROVEEDOR 6]])</f>
        <v>0</v>
      </c>
      <c r="K18" s="45">
        <f>IFERROR(AVERAGE(Comparación_precios2[[#This Row],[PROVEEDOR 1]:[PROVEEDOR 6]]),0)</f>
        <v>0</v>
      </c>
      <c r="L18" s="46">
        <f>MAX(Comparación_precios2[[#This Row],[PROVEEDOR 1]:[PROVEEDOR 6]])</f>
        <v>0</v>
      </c>
    </row>
    <row r="19" spans="2:12" s="2" customFormat="1" ht="19.5" thickBot="1" x14ac:dyDescent="0.3">
      <c r="B19" s="42"/>
      <c r="C19" s="43"/>
      <c r="D19" s="44"/>
      <c r="E19" s="9"/>
      <c r="F19" s="9"/>
      <c r="G19" s="44"/>
      <c r="H19" s="42"/>
      <c r="I19" s="60"/>
      <c r="J19" s="27">
        <f>MIN(Comparación_precios2[[#This Row],[PROVEEDOR 1]:[PROVEEDOR 6]])</f>
        <v>0</v>
      </c>
      <c r="K19" s="45">
        <f>IFERROR(AVERAGE(Comparación_precios2[[#This Row],[PROVEEDOR 1]:[PROVEEDOR 6]]),0)</f>
        <v>0</v>
      </c>
      <c r="L19" s="46">
        <f>MAX(Comparación_precios2[[#This Row],[PROVEEDOR 1]:[PROVEEDOR 6]])</f>
        <v>0</v>
      </c>
    </row>
    <row r="20" spans="2:12" s="2" customFormat="1" ht="19.5" thickBot="1" x14ac:dyDescent="0.3">
      <c r="B20" s="42"/>
      <c r="C20" s="43"/>
      <c r="D20" s="44"/>
      <c r="E20" s="9"/>
      <c r="F20" s="9"/>
      <c r="G20" s="44"/>
      <c r="H20" s="42"/>
      <c r="I20" s="60"/>
      <c r="J20" s="27">
        <f>MIN(Comparación_precios2[[#This Row],[PROVEEDOR 1]:[PROVEEDOR 6]])</f>
        <v>0</v>
      </c>
      <c r="K20" s="45">
        <f>IFERROR(AVERAGE(Comparación_precios2[[#This Row],[PROVEEDOR 1]:[PROVEEDOR 6]]),0)</f>
        <v>0</v>
      </c>
      <c r="L20" s="46">
        <f>MAX(Comparación_precios2[[#This Row],[PROVEEDOR 1]:[PROVEEDOR 6]])</f>
        <v>0</v>
      </c>
    </row>
    <row r="21" spans="2:12" s="2" customFormat="1" ht="19.5" thickBot="1" x14ac:dyDescent="0.3">
      <c r="B21" s="42"/>
      <c r="C21" s="43"/>
      <c r="D21" s="44"/>
      <c r="E21" s="9"/>
      <c r="F21" s="9"/>
      <c r="G21" s="44"/>
      <c r="H21" s="42"/>
      <c r="I21" s="60"/>
      <c r="J21" s="27">
        <f>MIN(Comparación_precios2[[#This Row],[PROVEEDOR 1]:[PROVEEDOR 6]])</f>
        <v>0</v>
      </c>
      <c r="K21" s="45">
        <f>IFERROR(AVERAGE(Comparación_precios2[[#This Row],[PROVEEDOR 1]:[PROVEEDOR 6]]),0)</f>
        <v>0</v>
      </c>
      <c r="L21" s="46">
        <f>MAX(Comparación_precios2[[#This Row],[PROVEEDOR 1]:[PROVEEDOR 6]])</f>
        <v>0</v>
      </c>
    </row>
    <row r="22" spans="2:12" s="2" customFormat="1" ht="19.5" thickBot="1" x14ac:dyDescent="0.3">
      <c r="B22" s="42"/>
      <c r="C22" s="43"/>
      <c r="D22" s="44"/>
      <c r="E22" s="9"/>
      <c r="F22" s="9"/>
      <c r="G22" s="44"/>
      <c r="H22" s="42"/>
      <c r="I22" s="60"/>
      <c r="J22" s="27">
        <f>MIN(Comparación_precios2[[#This Row],[PROVEEDOR 1]:[PROVEEDOR 6]])</f>
        <v>0</v>
      </c>
      <c r="K22" s="45">
        <f>IFERROR(AVERAGE(Comparación_precios2[[#This Row],[PROVEEDOR 1]:[PROVEEDOR 6]]),0)</f>
        <v>0</v>
      </c>
      <c r="L22" s="46">
        <f>MAX(Comparación_precios2[[#This Row],[PROVEEDOR 1]:[PROVEEDOR 6]])</f>
        <v>0</v>
      </c>
    </row>
    <row r="23" spans="2:12" s="2" customFormat="1" ht="19.5" thickBot="1" x14ac:dyDescent="0.3">
      <c r="B23" s="42"/>
      <c r="C23" s="43"/>
      <c r="D23" s="44"/>
      <c r="E23" s="9"/>
      <c r="F23" s="9"/>
      <c r="G23" s="44"/>
      <c r="H23" s="42"/>
      <c r="I23" s="60"/>
      <c r="J23" s="27">
        <f>MIN(Comparación_precios2[[#This Row],[PROVEEDOR 1]:[PROVEEDOR 6]])</f>
        <v>0</v>
      </c>
      <c r="K23" s="45">
        <f>IFERROR(AVERAGE(Comparación_precios2[[#This Row],[PROVEEDOR 1]:[PROVEEDOR 6]]),0)</f>
        <v>0</v>
      </c>
      <c r="L23" s="46">
        <f>MAX(Comparación_precios2[[#This Row],[PROVEEDOR 1]:[PROVEEDOR 6]])</f>
        <v>0</v>
      </c>
    </row>
    <row r="24" spans="2:12" s="2" customFormat="1" ht="19.5" thickBot="1" x14ac:dyDescent="0.3">
      <c r="B24" s="33" t="s">
        <v>24</v>
      </c>
      <c r="C24" s="33"/>
      <c r="D24" s="34">
        <f>ROUND(SUMPRODUCT(Comparación_precios2[[CANTIDAD]:[CANTIDAD]],Comparación_precios2[PROVEEDOR 1]),2)</f>
        <v>4456549.58</v>
      </c>
      <c r="E24" s="34">
        <f>ROUND(SUMPRODUCT(Comparación_precios2[[CANTIDAD]:[CANTIDAD]],Comparación_precios2[PROVEEDOR 2]),2)</f>
        <v>4153671</v>
      </c>
      <c r="F24" s="62">
        <f>ROUND(SUMPRODUCT(Comparación_precios2[[CANTIDAD]:[CANTIDAD]],Comparación_precios2[PROVEEDOR 3]),2)</f>
        <v>3587471.75</v>
      </c>
      <c r="G24" s="34">
        <f>ROUND(SUMPRODUCT(Comparación_precios2[[CANTIDAD]:[CANTIDAD]],Comparación_precios2[PROVEEDOR 4]),2)</f>
        <v>0</v>
      </c>
      <c r="H24" s="34">
        <f>ROUND(SUMPRODUCT(Comparación_precios2[[CANTIDAD]:[CANTIDAD]],Comparación_precios2[PROVEEDOR 5]),2)</f>
        <v>0</v>
      </c>
      <c r="I24" s="34">
        <f>ROUND(SUMPRODUCT(Comparación_precios2[[CANTIDAD]:[CANTIDAD]],Comparación_precios2[PROVEEDOR 6]),2)</f>
        <v>0</v>
      </c>
      <c r="J24" s="35"/>
      <c r="K24" s="35"/>
      <c r="L24" s="36"/>
    </row>
    <row r="25" spans="2:12" s="2" customFormat="1" x14ac:dyDescent="0.2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</row>
    <row r="26" spans="2:12" s="2" customFormat="1" ht="15" thickBot="1" x14ac:dyDescent="0.25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48.6" customHeight="1" x14ac:dyDescent="0.2">
      <c r="B27" s="79" t="s">
        <v>11</v>
      </c>
      <c r="C27" s="80"/>
      <c r="D27" s="21"/>
      <c r="E27" s="21"/>
      <c r="F27" s="21"/>
      <c r="G27" s="21"/>
      <c r="H27" s="21"/>
    </row>
    <row r="28" spans="2:12" s="2" customFormat="1" ht="33.6" customHeight="1" x14ac:dyDescent="0.2">
      <c r="B28" s="77" t="s">
        <v>12</v>
      </c>
      <c r="C28" s="78"/>
      <c r="D28" s="51"/>
      <c r="E28" s="15"/>
      <c r="F28" s="15"/>
      <c r="G28" s="15"/>
      <c r="H28" s="15"/>
      <c r="I28" s="15"/>
    </row>
    <row r="29" spans="2:12" s="2" customFormat="1" ht="25.9" customHeight="1" x14ac:dyDescent="0.2">
      <c r="B29" s="77" t="s">
        <v>13</v>
      </c>
      <c r="C29" s="78"/>
      <c r="D29" s="52"/>
      <c r="E29" s="22"/>
      <c r="F29" s="22"/>
      <c r="G29" s="15"/>
      <c r="H29" s="22"/>
      <c r="I29" s="22"/>
    </row>
    <row r="30" spans="2:12" s="2" customFormat="1" ht="18" customHeight="1" x14ac:dyDescent="0.2">
      <c r="B30" s="77" t="s">
        <v>14</v>
      </c>
      <c r="C30" s="78"/>
      <c r="D30" s="53"/>
      <c r="E30" s="23"/>
      <c r="F30" s="23"/>
      <c r="G30" s="23"/>
      <c r="H30" s="23"/>
      <c r="I30" s="23"/>
    </row>
    <row r="31" spans="2:12" s="2" customFormat="1" ht="18.75" x14ac:dyDescent="0.2">
      <c r="B31" s="77"/>
      <c r="C31" s="78"/>
      <c r="D31" s="54"/>
      <c r="E31" s="24"/>
      <c r="F31" s="24"/>
      <c r="G31" s="24"/>
      <c r="H31" s="24"/>
      <c r="I31" s="24"/>
    </row>
    <row r="32" spans="2:12" s="2" customFormat="1" ht="18.75" x14ac:dyDescent="0.2">
      <c r="B32" s="77"/>
      <c r="C32" s="78"/>
      <c r="D32" s="55"/>
      <c r="E32" s="25"/>
      <c r="F32" s="25"/>
      <c r="G32" s="25"/>
      <c r="H32" s="25"/>
      <c r="I32" s="25"/>
    </row>
    <row r="33" spans="2:12" ht="18.75" x14ac:dyDescent="0.2">
      <c r="B33" s="77"/>
      <c r="C33" s="78"/>
      <c r="D33" s="56"/>
      <c r="E33" s="26"/>
      <c r="F33" s="26"/>
      <c r="G33" s="26"/>
      <c r="H33" s="26"/>
      <c r="I33" s="26"/>
      <c r="J33" s="2"/>
      <c r="K33" s="1"/>
      <c r="L33" s="1"/>
    </row>
    <row r="34" spans="2:12" x14ac:dyDescent="0.2">
      <c r="J34" s="3"/>
      <c r="K34" s="1"/>
      <c r="L34" s="1"/>
    </row>
    <row r="35" spans="2:12" x14ac:dyDescent="0.2">
      <c r="J35" s="3"/>
      <c r="K35" s="1"/>
      <c r="L35" s="1"/>
    </row>
    <row r="36" spans="2:12" ht="18.75" x14ac:dyDescent="0.2">
      <c r="D36" s="37"/>
      <c r="E36" s="37"/>
      <c r="F36" s="38"/>
      <c r="G36" s="39"/>
      <c r="H36" s="40"/>
      <c r="I36" s="37"/>
      <c r="J36" s="3"/>
      <c r="K36" s="1"/>
      <c r="L36" s="1"/>
    </row>
    <row r="37" spans="2:12" ht="18.75" x14ac:dyDescent="0.2">
      <c r="D37" s="37"/>
      <c r="E37" s="37"/>
      <c r="F37" s="38"/>
      <c r="G37" s="41"/>
      <c r="H37" s="40"/>
      <c r="I37" s="37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</sheetData>
  <mergeCells count="5">
    <mergeCell ref="J7:L7"/>
    <mergeCell ref="B27:C27"/>
    <mergeCell ref="B28:C28"/>
    <mergeCell ref="B29:C29"/>
    <mergeCell ref="B30:C33"/>
  </mergeCells>
  <conditionalFormatting sqref="B8:C8 D24:I24">
    <cfRule type="expression" dxfId="6" priority="1">
      <formula>AND(B$24=MIN($D$24:$I$24),B$24&lt;&gt;0)</formula>
    </cfRule>
  </conditionalFormatting>
  <conditionalFormatting sqref="D8:I8">
    <cfRule type="expression" dxfId="5" priority="2">
      <formula>AND(D$24=MIN($D$24:$I$24),D$24&lt;&gt;0)</formula>
    </cfRule>
  </conditionalFormatting>
  <conditionalFormatting sqref="D9:I23">
    <cfRule type="expression" dxfId="4" priority="50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845A-A6FE-4945-AA7A-FFA64636BF64}">
  <dimension ref="B1:N41"/>
  <sheetViews>
    <sheetView showGridLines="0" topLeftCell="A20" zoomScale="90" zoomScaleNormal="90" workbookViewId="0">
      <selection activeCell="B20" sqref="B20"/>
    </sheetView>
  </sheetViews>
  <sheetFormatPr defaultColWidth="9.26953125" defaultRowHeight="14.25" x14ac:dyDescent="0.2"/>
  <cols>
    <col min="1" max="1" width="4.04296875" style="1" customWidth="1"/>
    <col min="2" max="2" width="23.4296875" style="1" customWidth="1"/>
    <col min="3" max="3" width="31.3515625" style="1" customWidth="1"/>
    <col min="4" max="5" width="24.1015625" style="1" bestFit="1" customWidth="1"/>
    <col min="6" max="6" width="25.11328125" style="1" bestFit="1" customWidth="1"/>
    <col min="7" max="8" width="22.25" style="1" bestFit="1" customWidth="1"/>
    <col min="9" max="9" width="22.25" style="1" customWidth="1"/>
    <col min="10" max="10" width="26.29296875" style="1" customWidth="1"/>
    <col min="11" max="11" width="25.11328125" style="3" customWidth="1"/>
    <col min="12" max="12" width="24.77734375" style="3" customWidth="1"/>
    <col min="13" max="13" width="20.39453125" style="1" customWidth="1"/>
    <col min="14" max="14" width="20.73046875" style="1" customWidth="1"/>
    <col min="15" max="16384" width="9.26953125" style="1"/>
  </cols>
  <sheetData>
    <row r="1" spans="2:14" ht="15" customHeight="1" x14ac:dyDescent="0.2"/>
    <row r="2" spans="2:14" customFormat="1" ht="54.95" customHeight="1" x14ac:dyDescent="0.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9.25" x14ac:dyDescent="0.2">
      <c r="B5" s="16" t="s">
        <v>2</v>
      </c>
      <c r="C5" s="16"/>
    </row>
    <row r="6" spans="2:14" ht="30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74" t="s">
        <v>23</v>
      </c>
      <c r="K7" s="75"/>
      <c r="L7" s="76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38" thickBot="1" x14ac:dyDescent="0.3">
      <c r="B9" s="61" t="str">
        <f>'[1]Portatil-Personal'!$D$8</f>
        <v>Computador portátil Gamer ACER NITRO 15.6" Pulgadas R7Z8 AMD Ryzen 7 - RAM 16GB - Disco SSD 1TB - Negro</v>
      </c>
      <c r="C9" s="32">
        <v>4</v>
      </c>
      <c r="D9" s="9">
        <f>'[1]Portatil-Personal'!$H$8</f>
        <v>4999000.0000000009</v>
      </c>
      <c r="E9" s="9">
        <f>'[1]Portatil-Personal'!$H$9</f>
        <v>9999000</v>
      </c>
      <c r="F9" s="9">
        <f>'[1]Portatil-Personal'!$H$10</f>
        <v>5389510</v>
      </c>
      <c r="G9" s="9"/>
      <c r="H9" s="9"/>
      <c r="I9" s="9"/>
      <c r="J9" s="13">
        <f>MIN(Comparación_precios24[[#This Row],[PROVEEDOR 1]:[PROVEEDOR 6]])</f>
        <v>4999000.0000000009</v>
      </c>
      <c r="K9" s="8">
        <f>IFERROR(AVERAGE(Comparación_precios24[[#This Row],[PROVEEDOR 1]:[PROVEEDOR 6]]),0)</f>
        <v>6795836.666666667</v>
      </c>
      <c r="L9" s="14">
        <f>MAX(Comparación_precios24[[#This Row],[PROVEEDOR 1]:[PROVEEDOR 6]])</f>
        <v>9999000</v>
      </c>
    </row>
    <row r="10" spans="2:14" s="7" customFormat="1" ht="87" thickBot="1" x14ac:dyDescent="0.3">
      <c r="B10" s="61" t="str">
        <f>'[1]Base-Personal'!$D$8</f>
        <v>Base Metálica VTA Retráctil para Portátil|8 Posiciones con Estuche De Carga</v>
      </c>
      <c r="C10" s="32">
        <v>4</v>
      </c>
      <c r="D10" s="9">
        <f>'[1]Base-Personal'!$H$8</f>
        <v>56900</v>
      </c>
      <c r="E10" s="9">
        <f>'[1]Base-Personal'!$H$9</f>
        <v>56900</v>
      </c>
      <c r="F10" s="9">
        <f>'[1]Base-Personal'!$H$10</f>
        <v>26900.000000000004</v>
      </c>
      <c r="G10" s="9"/>
      <c r="H10" s="9"/>
      <c r="I10" s="9"/>
      <c r="J10" s="13">
        <f>MIN(Comparación_precios24[[#This Row],[PROVEEDOR 1]:[PROVEEDOR 6]])</f>
        <v>26900.000000000004</v>
      </c>
      <c r="K10" s="8">
        <f>IFERROR(AVERAGE(Comparación_precios24[[#This Row],[PROVEEDOR 1]:[PROVEEDOR 6]]),0)</f>
        <v>46900</v>
      </c>
      <c r="L10" s="14">
        <f>MAX(Comparación_precios24[[#This Row],[PROVEEDOR 1]:[PROVEEDOR 6]])</f>
        <v>56900</v>
      </c>
    </row>
    <row r="11" spans="2:14" s="7" customFormat="1" ht="87" thickBot="1" x14ac:dyDescent="0.3">
      <c r="B11" s="61" t="str">
        <f>[1]Mouse!$D$8</f>
        <v>Mouse HYPERX Alámbrico Optico Pulsefire Core 6200DPI RGB Gaming</v>
      </c>
      <c r="C11" s="32">
        <v>4</v>
      </c>
      <c r="D11" s="9">
        <f>[1]Mouse!$H$8</f>
        <v>89900</v>
      </c>
      <c r="E11" s="9">
        <f>[1]Mouse!$H$9</f>
        <v>89900</v>
      </c>
      <c r="F11" s="9">
        <f>[1]Mouse!$H$10</f>
        <v>89999</v>
      </c>
      <c r="G11" s="9"/>
      <c r="H11" s="9"/>
      <c r="I11" s="9"/>
      <c r="J11" s="13">
        <f>MIN(Comparación_precios24[[#This Row],[PROVEEDOR 1]:[PROVEEDOR 6]])</f>
        <v>89900</v>
      </c>
      <c r="K11" s="8">
        <f>IFERROR(AVERAGE(Comparación_precios24[[#This Row],[PROVEEDOR 1]:[PROVEEDOR 6]]),0)</f>
        <v>89933</v>
      </c>
      <c r="L11" s="14">
        <f>MAX(Comparación_precios24[[#This Row],[PROVEEDOR 1]:[PROVEEDOR 6]])</f>
        <v>89999</v>
      </c>
    </row>
    <row r="12" spans="2:14" s="7" customFormat="1" ht="104.25" thickBot="1" x14ac:dyDescent="0.3">
      <c r="B12" s="61" t="str">
        <f>[1]Teclados!$D$8</f>
        <v>Teclado PRIMUS Alámbrico Mecánico Gaming colección Star Wars DARTH VADER Negro</v>
      </c>
      <c r="C12" s="32">
        <v>4</v>
      </c>
      <c r="D12" s="9">
        <f>[1]Teclados!$H$8</f>
        <v>289900</v>
      </c>
      <c r="E12" s="9">
        <f>[1]Teclados!$H$9</f>
        <v>219900</v>
      </c>
      <c r="F12" s="9">
        <f>[1]Teclados!$H$10</f>
        <v>219900</v>
      </c>
      <c r="G12" s="9"/>
      <c r="H12" s="9"/>
      <c r="I12" s="9"/>
      <c r="J12" s="13">
        <f>MIN(Comparación_precios24[[#This Row],[PROVEEDOR 1]:[PROVEEDOR 6]])</f>
        <v>219900</v>
      </c>
      <c r="K12" s="8">
        <f>IFERROR(AVERAGE(Comparación_precios24[[#This Row],[PROVEEDOR 1]:[PROVEEDOR 6]]),0)</f>
        <v>243233.33333333334</v>
      </c>
      <c r="L12" s="14">
        <f>MAX(Comparación_precios24[[#This Row],[PROVEEDOR 1]:[PROVEEDOR 6]])</f>
        <v>289900</v>
      </c>
    </row>
    <row r="13" spans="2:14" s="7" customFormat="1" ht="52.5" thickBot="1" x14ac:dyDescent="0.3">
      <c r="B13" s="61" t="str">
        <f>'[1]Licencias Microsoft'!$D$8</f>
        <v>Microsoft 365 Business Standard</v>
      </c>
      <c r="C13" s="32">
        <v>4</v>
      </c>
      <c r="D13" s="9">
        <f>'[1]Licencias Microsoft'!$H$8</f>
        <v>535949.57999999996</v>
      </c>
      <c r="E13" s="9">
        <f>'[1]Licencias Microsoft'!$H$9</f>
        <v>749900.00000000012</v>
      </c>
      <c r="F13" s="9">
        <f>'[1]Licencias Microsoft'!$H$10</f>
        <v>749900.00000000012</v>
      </c>
      <c r="G13" s="9"/>
      <c r="H13" s="9"/>
      <c r="I13" s="9"/>
      <c r="J13" s="27">
        <f>MIN(Comparación_precios24[[#This Row],[PROVEEDOR 1]:[PROVEEDOR 6]])</f>
        <v>535949.57999999996</v>
      </c>
      <c r="K13" s="28">
        <f>IFERROR(AVERAGE(Comparación_precios24[[#This Row],[PROVEEDOR 1]:[PROVEEDOR 6]]),0)</f>
        <v>678583.19333333336</v>
      </c>
      <c r="L13" s="29">
        <f>MAX(Comparación_precios24[[#This Row],[PROVEEDOR 1]:[PROVEEDOR 6]])</f>
        <v>749900.00000000012</v>
      </c>
    </row>
    <row r="14" spans="2:14" s="2" customFormat="1" ht="52.5" thickBot="1" x14ac:dyDescent="0.3">
      <c r="B14" s="65" t="str">
        <f>'[1]Licencias de windows 11 pro'!$D$8</f>
        <v>Licencia Windows 11 Pro Retail CD Key</v>
      </c>
      <c r="C14" s="50">
        <v>4</v>
      </c>
      <c r="D14" s="49">
        <f>'[1]Licencias de windows 11 pro'!$H$8</f>
        <v>34900</v>
      </c>
      <c r="E14" s="9">
        <f>'[1]Licencias de windows 11 pro'!$H$9</f>
        <v>39071.000000000007</v>
      </c>
      <c r="F14" s="9">
        <f>'[1]Licencias de windows 11 pro'!$H$10</f>
        <v>42872.75</v>
      </c>
      <c r="G14" s="49"/>
      <c r="H14" s="49"/>
      <c r="I14" s="49"/>
      <c r="J14" s="27">
        <f>MIN(Comparación_precios24[[#This Row],[PROVEEDOR 1]:[PROVEEDOR 6]])</f>
        <v>34900</v>
      </c>
      <c r="K14" s="45">
        <f>IFERROR(AVERAGE(Comparación_precios24[[#This Row],[PROVEEDOR 1]:[PROVEEDOR 6]]),0)</f>
        <v>38947.916666666664</v>
      </c>
      <c r="L14" s="46">
        <f>MAX(Comparación_precios24[[#This Row],[PROVEEDOR 1]:[PROVEEDOR 6]])</f>
        <v>42872.75</v>
      </c>
    </row>
    <row r="15" spans="2:14" s="2" customFormat="1" ht="52.5" thickBot="1" x14ac:dyDescent="0.3">
      <c r="B15" s="65" t="str">
        <f>'[1]Licencia Visual Studio Code'!$D$8</f>
        <v>Microsoft Visual Studio 2022 Professional</v>
      </c>
      <c r="C15" s="50">
        <v>4</v>
      </c>
      <c r="D15" s="49">
        <f>'[1]Licencia Visual Studio Code'!$H$8</f>
        <v>1589731.09</v>
      </c>
      <c r="E15" s="9">
        <f>'[1]Licencia Visual Studio Code'!$H$9</f>
        <v>90685</v>
      </c>
      <c r="F15" s="9">
        <f>'[1]Licencia Visual Studio Code'!$H$10</f>
        <v>2099099</v>
      </c>
      <c r="G15" s="49"/>
      <c r="H15" s="49"/>
      <c r="I15" s="49"/>
      <c r="J15" s="27">
        <f>MIN(Comparación_precios24[[#This Row],[PROVEEDOR 1]:[PROVEEDOR 6]])</f>
        <v>90685</v>
      </c>
      <c r="K15" s="45">
        <f>IFERROR(AVERAGE(Comparación_precios24[[#This Row],[PROVEEDOR 1]:[PROVEEDOR 6]]),0)</f>
        <v>1259838.3633333333</v>
      </c>
      <c r="L15" s="46">
        <f>MAX(Comparación_precios24[[#This Row],[PROVEEDOR 1]:[PROVEEDOR 6]])</f>
        <v>2099099</v>
      </c>
    </row>
    <row r="16" spans="2:14" s="2" customFormat="1" ht="52.5" thickBot="1" x14ac:dyDescent="0.3">
      <c r="B16" s="65" t="str">
        <f>'[1]Licencias SQL'!$D$8</f>
        <v>Licencia de dispositivo para SQL Server 2022</v>
      </c>
      <c r="C16" s="50">
        <v>4</v>
      </c>
      <c r="D16" s="49">
        <f>'[1]Licencias SQL'!$H$8</f>
        <v>1302967.8900000001</v>
      </c>
      <c r="E16" s="9">
        <f>'[1]Licencias SQL'!$H$9</f>
        <v>2809899.1600000006</v>
      </c>
      <c r="F16" s="9">
        <f>'[1]Licencias SQL'!$H$10</f>
        <v>1990000.0000000002</v>
      </c>
      <c r="G16" s="49"/>
      <c r="H16" s="49"/>
      <c r="I16" s="49"/>
      <c r="J16" s="27">
        <f>MIN(Comparación_precios24[[#This Row],[PROVEEDOR 1]:[PROVEEDOR 6]])</f>
        <v>1302967.8900000001</v>
      </c>
      <c r="K16" s="47">
        <f>IFERROR(AVERAGE(Comparación_precios24[[#This Row],[PROVEEDOR 1]:[PROVEEDOR 6]]),0)</f>
        <v>2034289.0166666668</v>
      </c>
      <c r="L16" s="48">
        <f>MAX(Comparación_precios24[[#This Row],[PROVEEDOR 1]:[PROVEEDOR 6]])</f>
        <v>2809899.1600000006</v>
      </c>
    </row>
    <row r="17" spans="2:12" s="2" customFormat="1" ht="52.5" thickBot="1" x14ac:dyDescent="0.3">
      <c r="B17" s="66" t="str">
        <f>'[1]Plan internet empresarial'!$D$8</f>
        <v>Internet Fibra Empresarial
500 Megas</v>
      </c>
      <c r="C17" s="43">
        <v>1</v>
      </c>
      <c r="D17" s="44">
        <f>'[1]Plan internet empresarial'!$H$8</f>
        <v>105990.00000000001</v>
      </c>
      <c r="E17" s="9">
        <f>'[1]Plan internet empresarial'!$H$9</f>
        <v>87900.000000000015</v>
      </c>
      <c r="F17" s="9">
        <f>'[1]Plan internet empresarial'!$H$10</f>
        <v>129000</v>
      </c>
      <c r="G17" s="44"/>
      <c r="H17" s="42"/>
      <c r="I17" s="60"/>
      <c r="J17" s="27">
        <f>MIN(Comparación_precios24[[#This Row],[PROVEEDOR 1]:[PROVEEDOR 6]])</f>
        <v>87900.000000000015</v>
      </c>
      <c r="K17" s="45">
        <f>IFERROR(AVERAGE(Comparación_precios24[[#This Row],[PROVEEDOR 1]:[PROVEEDOR 6]]),0)</f>
        <v>107630</v>
      </c>
      <c r="L17" s="46">
        <f>MAX(Comparación_precios24[[#This Row],[PROVEEDOR 1]:[PROVEEDOR 6]])</f>
        <v>129000</v>
      </c>
    </row>
    <row r="18" spans="2:12" s="2" customFormat="1" ht="87" thickBot="1" x14ac:dyDescent="0.3">
      <c r="B18" s="66" t="str">
        <f>[1]Antivirus!$D$8</f>
        <v>Pin Antivirus McAfee Total Protection 1 Dispositivo - 1 Año</v>
      </c>
      <c r="C18" s="43">
        <v>4</v>
      </c>
      <c r="D18" s="44">
        <f>[1]Antivirus!$H$8</f>
        <v>44900</v>
      </c>
      <c r="E18" s="9">
        <f>[1]Antivirus!$H$9</f>
        <v>39900</v>
      </c>
      <c r="F18" s="9">
        <f>[1]Antivirus!$H$10</f>
        <v>30097.000000000004</v>
      </c>
      <c r="G18" s="44"/>
      <c r="H18" s="42"/>
      <c r="I18" s="60"/>
      <c r="J18" s="27">
        <f>MIN(Comparación_precios24[[#This Row],[PROVEEDOR 1]:[PROVEEDOR 6]])</f>
        <v>30097.000000000004</v>
      </c>
      <c r="K18" s="45">
        <f>IFERROR(AVERAGE(Comparación_precios24[[#This Row],[PROVEEDOR 1]:[PROVEEDOR 6]]),0)</f>
        <v>38299</v>
      </c>
      <c r="L18" s="46">
        <f>MAX(Comparación_precios24[[#This Row],[PROVEEDOR 1]:[PROVEEDOR 6]])</f>
        <v>44900</v>
      </c>
    </row>
    <row r="19" spans="2:12" s="2" customFormat="1" ht="19.5" thickBot="1" x14ac:dyDescent="0.3">
      <c r="B19" s="66" t="str">
        <f>'[1]Licencia de Hosting'!$D$8</f>
        <v>Hosting ColHost1</v>
      </c>
      <c r="C19" s="43">
        <v>1</v>
      </c>
      <c r="D19" s="44">
        <f>'[1]Licencia de Hosting'!$H$8</f>
        <v>454000</v>
      </c>
      <c r="E19" s="9">
        <f>'[1]Licencia de Hosting'!$H$9</f>
        <v>408502.00000000006</v>
      </c>
      <c r="F19" s="9">
        <f>'[1]Licencia de Hosting'!$H$10</f>
        <v>204930</v>
      </c>
      <c r="G19" s="44"/>
      <c r="H19" s="42"/>
      <c r="I19" s="60"/>
      <c r="J19" s="27">
        <f>MIN(Comparación_precios24[[#This Row],[PROVEEDOR 1]:[PROVEEDOR 6]])</f>
        <v>204930</v>
      </c>
      <c r="K19" s="45">
        <f>IFERROR(AVERAGE(Comparación_precios24[[#This Row],[PROVEEDOR 1]:[PROVEEDOR 6]]),0)</f>
        <v>355810.66666666669</v>
      </c>
      <c r="L19" s="46">
        <f>MAX(Comparación_precios24[[#This Row],[PROVEEDOR 1]:[PROVEEDOR 6]])</f>
        <v>454000</v>
      </c>
    </row>
    <row r="20" spans="2:12" s="2" customFormat="1" ht="36" thickBot="1" x14ac:dyDescent="0.3">
      <c r="B20" s="66" t="str">
        <f>'[1]Licencia de dominio'!$D$8</f>
        <v>Registro de dominio</v>
      </c>
      <c r="C20" s="43">
        <v>1</v>
      </c>
      <c r="D20" s="44">
        <f>'[1]Licencia de dominio'!$H$8</f>
        <v>106000</v>
      </c>
      <c r="E20" s="9">
        <f>'[1]Licencia de dominio'!$H$9</f>
        <v>201650.00000000003</v>
      </c>
      <c r="F20" s="9">
        <f>'[1]Licencia de dominio'!$H$10</f>
        <v>80902</v>
      </c>
      <c r="G20" s="44"/>
      <c r="H20" s="42"/>
      <c r="I20" s="60"/>
      <c r="J20" s="27">
        <f>MIN(Comparación_precios24[[#This Row],[PROVEEDOR 1]:[PROVEEDOR 6]])</f>
        <v>80902</v>
      </c>
      <c r="K20" s="45">
        <f>IFERROR(AVERAGE(Comparación_precios24[[#This Row],[PROVEEDOR 1]:[PROVEEDOR 6]]),0)</f>
        <v>129517.33333333333</v>
      </c>
      <c r="L20" s="46">
        <f>MAX(Comparación_precios24[[#This Row],[PROVEEDOR 1]:[PROVEEDOR 6]])</f>
        <v>201650.00000000003</v>
      </c>
    </row>
    <row r="21" spans="2:12" s="2" customFormat="1" ht="19.5" thickBot="1" x14ac:dyDescent="0.3">
      <c r="B21" s="42"/>
      <c r="C21" s="43"/>
      <c r="D21" s="44"/>
      <c r="E21" s="9"/>
      <c r="F21" s="9"/>
      <c r="G21" s="44"/>
      <c r="H21" s="42"/>
      <c r="I21" s="60"/>
      <c r="J21" s="27">
        <f>MIN(Comparación_precios24[[#This Row],[PROVEEDOR 1]:[PROVEEDOR 6]])</f>
        <v>0</v>
      </c>
      <c r="K21" s="45">
        <f>IFERROR(AVERAGE(Comparación_precios24[[#This Row],[PROVEEDOR 1]:[PROVEEDOR 6]]),0)</f>
        <v>0</v>
      </c>
      <c r="L21" s="46">
        <f>MAX(Comparación_precios24[[#This Row],[PROVEEDOR 1]:[PROVEEDOR 6]])</f>
        <v>0</v>
      </c>
    </row>
    <row r="22" spans="2:12" s="2" customFormat="1" ht="19.5" thickBot="1" x14ac:dyDescent="0.3">
      <c r="B22" s="42"/>
      <c r="C22" s="43"/>
      <c r="D22" s="44"/>
      <c r="E22" s="9"/>
      <c r="F22" s="9"/>
      <c r="G22" s="44"/>
      <c r="H22" s="42"/>
      <c r="I22" s="60"/>
      <c r="J22" s="27">
        <f>MIN(Comparación_precios24[[#This Row],[PROVEEDOR 1]:[PROVEEDOR 6]])</f>
        <v>0</v>
      </c>
      <c r="K22" s="45">
        <f>IFERROR(AVERAGE(Comparación_precios24[[#This Row],[PROVEEDOR 1]:[PROVEEDOR 6]]),0)</f>
        <v>0</v>
      </c>
      <c r="L22" s="46">
        <f>MAX(Comparación_precios24[[#This Row],[PROVEEDOR 1]:[PROVEEDOR 6]])</f>
        <v>0</v>
      </c>
    </row>
    <row r="23" spans="2:12" s="2" customFormat="1" ht="19.5" thickBot="1" x14ac:dyDescent="0.3">
      <c r="B23" s="42"/>
      <c r="C23" s="43"/>
      <c r="D23" s="44"/>
      <c r="E23" s="9"/>
      <c r="F23" s="9"/>
      <c r="G23" s="44"/>
      <c r="H23" s="42"/>
      <c r="I23" s="60"/>
      <c r="J23" s="27">
        <f>MIN(Comparación_precios24[[#This Row],[PROVEEDOR 1]:[PROVEEDOR 6]])</f>
        <v>0</v>
      </c>
      <c r="K23" s="45">
        <f>IFERROR(AVERAGE(Comparación_precios24[[#This Row],[PROVEEDOR 1]:[PROVEEDOR 6]]),0)</f>
        <v>0</v>
      </c>
      <c r="L23" s="46">
        <f>MAX(Comparación_precios24[[#This Row],[PROVEEDOR 1]:[PROVEEDOR 6]])</f>
        <v>0</v>
      </c>
    </row>
    <row r="24" spans="2:12" s="2" customFormat="1" ht="19.5" thickBot="1" x14ac:dyDescent="0.3">
      <c r="B24" s="33" t="s">
        <v>24</v>
      </c>
      <c r="C24" s="33"/>
      <c r="D24" s="64">
        <f>ROUND(SUMPRODUCT(Comparación_precios24[[CANTIDAD]:[CANTIDAD]],Comparación_precios24[PROVEEDOR 1]),2)</f>
        <v>36442584.240000002</v>
      </c>
      <c r="E24" s="34">
        <f>ROUND(SUMPRODUCT(Comparación_precios24[[CANTIDAD]:[CANTIDAD]],Comparación_precios24[PROVEEDOR 2]),2)</f>
        <v>57078672.640000001</v>
      </c>
      <c r="F24" s="63">
        <f>ROUND(SUMPRODUCT(Comparación_precios24[[CANTIDAD]:[CANTIDAD]],Comparación_precios24[PROVEEDOR 3]),2)</f>
        <v>42967943</v>
      </c>
      <c r="G24" s="34">
        <f>ROUND(SUMPRODUCT(Comparación_precios24[[CANTIDAD]:[CANTIDAD]],Comparación_precios24[PROVEEDOR 4]),2)</f>
        <v>0</v>
      </c>
      <c r="H24" s="34">
        <f>ROUND(SUMPRODUCT(Comparación_precios24[[CANTIDAD]:[CANTIDAD]],Comparación_precios24[PROVEEDOR 5]),2)</f>
        <v>0</v>
      </c>
      <c r="I24" s="34">
        <f>ROUND(SUMPRODUCT(Comparación_precios24[[CANTIDAD]:[CANTIDAD]],Comparación_precios24[PROVEEDOR 6]),2)</f>
        <v>0</v>
      </c>
      <c r="J24" s="35"/>
      <c r="K24" s="35"/>
      <c r="L24" s="36"/>
    </row>
    <row r="25" spans="2:12" s="2" customFormat="1" x14ac:dyDescent="0.2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</row>
    <row r="26" spans="2:12" s="2" customFormat="1" ht="15" thickBot="1" x14ac:dyDescent="0.25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48.6" customHeight="1" x14ac:dyDescent="0.2">
      <c r="B27" s="79" t="s">
        <v>11</v>
      </c>
      <c r="C27" s="80"/>
      <c r="D27" s="21"/>
      <c r="E27" s="21"/>
      <c r="F27" s="21"/>
      <c r="G27" s="21"/>
      <c r="H27" s="21"/>
    </row>
    <row r="28" spans="2:12" s="2" customFormat="1" ht="33.6" customHeight="1" x14ac:dyDescent="0.2">
      <c r="B28" s="77" t="s">
        <v>12</v>
      </c>
      <c r="C28" s="78"/>
      <c r="D28" s="51"/>
      <c r="E28" s="15"/>
      <c r="F28" s="15"/>
      <c r="G28" s="15"/>
      <c r="H28" s="15"/>
      <c r="I28" s="15"/>
    </row>
    <row r="29" spans="2:12" s="2" customFormat="1" ht="25.9" customHeight="1" x14ac:dyDescent="0.2">
      <c r="B29" s="77" t="s">
        <v>13</v>
      </c>
      <c r="C29" s="78"/>
      <c r="D29" s="52"/>
      <c r="E29" s="22"/>
      <c r="F29" s="22"/>
      <c r="G29" s="15"/>
      <c r="H29" s="22"/>
      <c r="I29" s="22"/>
    </row>
    <row r="30" spans="2:12" s="2" customFormat="1" ht="18" customHeight="1" x14ac:dyDescent="0.2">
      <c r="B30" s="77" t="s">
        <v>14</v>
      </c>
      <c r="C30" s="78"/>
      <c r="D30" s="53"/>
      <c r="E30" s="23"/>
      <c r="F30" s="23"/>
      <c r="G30" s="23"/>
      <c r="H30" s="23"/>
      <c r="I30" s="23"/>
    </row>
    <row r="31" spans="2:12" s="2" customFormat="1" ht="18.75" x14ac:dyDescent="0.2">
      <c r="B31" s="77"/>
      <c r="C31" s="78"/>
      <c r="D31" s="54"/>
      <c r="E31" s="24"/>
      <c r="F31" s="24"/>
      <c r="G31" s="24"/>
      <c r="H31" s="24"/>
      <c r="I31" s="24"/>
    </row>
    <row r="32" spans="2:12" s="2" customFormat="1" ht="18.75" x14ac:dyDescent="0.2">
      <c r="B32" s="77"/>
      <c r="C32" s="78"/>
      <c r="D32" s="55"/>
      <c r="E32" s="25"/>
      <c r="F32" s="25"/>
      <c r="G32" s="25"/>
      <c r="H32" s="25"/>
      <c r="I32" s="25"/>
    </row>
    <row r="33" spans="2:12" ht="18.75" x14ac:dyDescent="0.2">
      <c r="B33" s="77"/>
      <c r="C33" s="78"/>
      <c r="D33" s="56"/>
      <c r="E33" s="26"/>
      <c r="F33" s="26"/>
      <c r="G33" s="26"/>
      <c r="H33" s="26"/>
      <c r="I33" s="26"/>
      <c r="J33" s="2"/>
      <c r="K33" s="1"/>
      <c r="L33" s="1"/>
    </row>
    <row r="34" spans="2:12" x14ac:dyDescent="0.2">
      <c r="J34" s="3"/>
      <c r="K34" s="1"/>
      <c r="L34" s="1"/>
    </row>
    <row r="35" spans="2:12" x14ac:dyDescent="0.2">
      <c r="J35" s="3"/>
      <c r="K35" s="1"/>
      <c r="L35" s="1"/>
    </row>
    <row r="36" spans="2:12" ht="18.75" x14ac:dyDescent="0.2">
      <c r="D36" s="37"/>
      <c r="E36" s="37"/>
      <c r="F36" s="38"/>
      <c r="G36" s="39"/>
      <c r="H36" s="40"/>
      <c r="I36" s="37"/>
      <c r="J36" s="3"/>
      <c r="K36" s="1"/>
      <c r="L36" s="1"/>
    </row>
    <row r="37" spans="2:12" ht="18.75" x14ac:dyDescent="0.2">
      <c r="D37" s="37"/>
      <c r="E37" s="37"/>
      <c r="F37" s="38"/>
      <c r="G37" s="41"/>
      <c r="H37" s="40"/>
      <c r="I37" s="37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</sheetData>
  <mergeCells count="5">
    <mergeCell ref="J7:L7"/>
    <mergeCell ref="B27:C27"/>
    <mergeCell ref="B28:C28"/>
    <mergeCell ref="B29:C29"/>
    <mergeCell ref="B30:C33"/>
  </mergeCells>
  <conditionalFormatting sqref="B8:C8 D24:I24">
    <cfRule type="expression" dxfId="3" priority="1">
      <formula>AND(B$24=MIN($D$24:$I$24),B$24&lt;&gt;0)</formula>
    </cfRule>
  </conditionalFormatting>
  <conditionalFormatting sqref="D8:I8">
    <cfRule type="expression" dxfId="2" priority="2">
      <formula>AND(D$24=MIN($D$24:$I$24),D$24&lt;&gt;0)</formula>
    </cfRule>
  </conditionalFormatting>
  <conditionalFormatting sqref="D9:I23">
    <cfRule type="expression" dxfId="1" priority="48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defaultColWidth="10.78515625" defaultRowHeight="10.5" x14ac:dyDescent="0.1"/>
  <cols>
    <col min="2" max="2" width="19.890625" customWidth="1"/>
    <col min="4" max="9" width="18.37109375" customWidth="1"/>
  </cols>
  <sheetData>
    <row r="6" spans="2:9" ht="11.25" thickBot="1" x14ac:dyDescent="0.15"/>
    <row r="7" spans="2:9" ht="19.5" thickBot="1" x14ac:dyDescent="0.15">
      <c r="B7" s="49" t="s">
        <v>18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9.5" thickBot="1" x14ac:dyDescent="0.15">
      <c r="B8" s="49" t="s">
        <v>19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9.5" thickBot="1" x14ac:dyDescent="0.15">
      <c r="B9" s="49" t="s">
        <v>20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9.5" thickBot="1" x14ac:dyDescent="0.15">
      <c r="B10" s="49" t="s">
        <v>25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9.5" thickBot="1" x14ac:dyDescent="0.15">
      <c r="B11" s="49" t="s">
        <v>21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9.5" thickBot="1" x14ac:dyDescent="0.15">
      <c r="B12" s="49" t="s">
        <v>22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9" spans="2:9" ht="18.75" x14ac:dyDescent="0.1">
      <c r="D19" s="51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1">
      <c r="D20" s="52">
        <v>10</v>
      </c>
      <c r="E20" s="22">
        <v>10</v>
      </c>
      <c r="F20" s="22">
        <v>10</v>
      </c>
      <c r="G20" s="15" t="s">
        <v>6</v>
      </c>
      <c r="H20" s="22">
        <v>5</v>
      </c>
      <c r="I20" s="22" t="s">
        <v>6</v>
      </c>
    </row>
    <row r="21" spans="2:9" ht="18.75" x14ac:dyDescent="0.1">
      <c r="D21" s="53" t="s">
        <v>0</v>
      </c>
      <c r="E21" s="23" t="s">
        <v>0</v>
      </c>
      <c r="F21" s="23" t="s">
        <v>4</v>
      </c>
      <c r="G21" s="23" t="s">
        <v>7</v>
      </c>
      <c r="H21" s="23" t="s">
        <v>4</v>
      </c>
      <c r="I21" s="23" t="s">
        <v>4</v>
      </c>
    </row>
    <row r="22" spans="2:9" ht="18.75" x14ac:dyDescent="0.1">
      <c r="D22" s="54" t="s">
        <v>1</v>
      </c>
      <c r="E22" s="24" t="s">
        <v>1</v>
      </c>
      <c r="F22" s="24" t="s">
        <v>5</v>
      </c>
      <c r="G22" s="24" t="s">
        <v>4</v>
      </c>
      <c r="H22" s="24" t="s">
        <v>5</v>
      </c>
      <c r="I22" s="24" t="s">
        <v>5</v>
      </c>
    </row>
    <row r="23" spans="2:9" ht="18.75" x14ac:dyDescent="0.1">
      <c r="D23" s="55"/>
      <c r="E23" s="25"/>
      <c r="F23" s="25"/>
      <c r="G23" s="25"/>
      <c r="H23" s="25"/>
      <c r="I23" s="25"/>
    </row>
    <row r="24" spans="2:9" ht="18.75" x14ac:dyDescent="0.1">
      <c r="D24" s="56"/>
      <c r="E24" s="26"/>
      <c r="F24" s="26"/>
      <c r="G24" s="26"/>
      <c r="H24" s="26"/>
      <c r="I24" s="26"/>
    </row>
    <row r="27" spans="2:9" ht="11.25" thickBot="1" x14ac:dyDescent="0.15"/>
    <row r="28" spans="2:9" ht="19.5" thickBot="1" x14ac:dyDescent="0.15">
      <c r="B28" s="49" t="s">
        <v>26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9.5" thickBot="1" x14ac:dyDescent="0.15">
      <c r="B29" s="49" t="s">
        <v>27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9.5" thickBot="1" x14ac:dyDescent="0.15">
      <c r="B30" s="49" t="s">
        <v>28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5" spans="2:2" ht="13.5" x14ac:dyDescent="0.15">
      <c r="B35" s="59" t="s">
        <v>29</v>
      </c>
    </row>
    <row r="36" spans="2:2" ht="18.75" x14ac:dyDescent="0.1">
      <c r="B36" s="57">
        <v>250</v>
      </c>
    </row>
    <row r="37" spans="2:2" ht="18.75" x14ac:dyDescent="0.1">
      <c r="B37" s="58">
        <v>440</v>
      </c>
    </row>
    <row r="38" spans="2:2" ht="18.75" x14ac:dyDescent="0.1">
      <c r="B38" s="58">
        <v>440</v>
      </c>
    </row>
    <row r="39" spans="2:2" ht="18.75" x14ac:dyDescent="0.1">
      <c r="B39" s="58">
        <v>350</v>
      </c>
    </row>
    <row r="40" spans="2:2" ht="18.75" x14ac:dyDescent="0.1">
      <c r="B40" s="58">
        <v>420</v>
      </c>
    </row>
    <row r="41" spans="2:2" ht="18.75" x14ac:dyDescent="0.1">
      <c r="B41" s="58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Administrador</vt:lpstr>
      <vt:lpstr>Supervisor</vt:lpstr>
      <vt:lpstr>Desarrolladores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ASUS</cp:lastModifiedBy>
  <dcterms:created xsi:type="dcterms:W3CDTF">2013-10-17T12:18:53Z</dcterms:created>
  <dcterms:modified xsi:type="dcterms:W3CDTF">2024-09-17T19:51:06Z</dcterms:modified>
</cp:coreProperties>
</file>