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Rehagel Beans\Documents\"/>
    </mc:Choice>
  </mc:AlternateContent>
  <xr:revisionPtr revIDLastSave="0" documentId="8_{791A29E2-7E74-4916-8EF4-D55E8E07CA4F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Data Lapangan" sheetId="1" r:id="rId1"/>
    <sheet name="KKH" sheetId="2" r:id="rId2"/>
    <sheet name="Detail P1" sheetId="3" state="hidden" r:id="rId3"/>
    <sheet name="Detail 1" sheetId="4" r:id="rId4"/>
    <sheet name="p3-4" sheetId="5" r:id="rId5"/>
    <sheet name="p5 bunderan" sheetId="6" r:id="rId6"/>
    <sheet name="p6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87" i="1" l="1"/>
  <c r="X87" i="1"/>
  <c r="Y86" i="1"/>
  <c r="X86" i="1"/>
  <c r="Y85" i="1"/>
  <c r="X85" i="1"/>
  <c r="Y84" i="1"/>
  <c r="X84" i="1"/>
  <c r="Y83" i="1"/>
  <c r="X83" i="1"/>
  <c r="Y82" i="1"/>
  <c r="X82" i="1"/>
  <c r="Y81" i="1"/>
  <c r="X81" i="1"/>
  <c r="Y80" i="1"/>
  <c r="X80" i="1"/>
  <c r="Y79" i="1"/>
  <c r="X79" i="1"/>
  <c r="Y78" i="1"/>
  <c r="X78" i="1"/>
  <c r="Y77" i="1"/>
  <c r="X77" i="1"/>
  <c r="Y76" i="1"/>
  <c r="X76" i="1"/>
  <c r="Y75" i="1"/>
  <c r="X75" i="1"/>
  <c r="Y74" i="1"/>
  <c r="X74" i="1"/>
  <c r="Y73" i="1"/>
  <c r="X73" i="1"/>
  <c r="Y72" i="1"/>
  <c r="X72" i="1"/>
  <c r="Y71" i="1"/>
  <c r="X71" i="1"/>
  <c r="Y70" i="1"/>
  <c r="X70" i="1"/>
  <c r="Y69" i="1"/>
  <c r="X69" i="1"/>
  <c r="Y68" i="1"/>
  <c r="X68" i="1"/>
  <c r="Y67" i="1"/>
  <c r="X67" i="1"/>
  <c r="Y66" i="1"/>
  <c r="X66" i="1"/>
  <c r="Y65" i="1"/>
  <c r="X65" i="1"/>
  <c r="Y64" i="1"/>
  <c r="X64" i="1"/>
  <c r="O64" i="1"/>
  <c r="Q64" i="1" s="1"/>
  <c r="K64" i="1"/>
  <c r="I87" i="1"/>
  <c r="H87" i="1"/>
  <c r="I86" i="1"/>
  <c r="H86" i="1"/>
  <c r="I85" i="1"/>
  <c r="H85" i="1"/>
  <c r="I84" i="1"/>
  <c r="H84" i="1"/>
  <c r="I83" i="1"/>
  <c r="H83" i="1"/>
  <c r="I82" i="1"/>
  <c r="H82" i="1"/>
  <c r="I81" i="1"/>
  <c r="H81" i="1"/>
  <c r="I80" i="1"/>
  <c r="H80" i="1"/>
  <c r="I79" i="1"/>
  <c r="H79" i="1"/>
  <c r="I78" i="1"/>
  <c r="H78" i="1"/>
  <c r="I77" i="1"/>
  <c r="H77" i="1"/>
  <c r="I76" i="1"/>
  <c r="H76" i="1"/>
  <c r="I75" i="1"/>
  <c r="H75" i="1"/>
  <c r="I74" i="1"/>
  <c r="H74" i="1"/>
  <c r="I73" i="1"/>
  <c r="H73" i="1"/>
  <c r="I72" i="1"/>
  <c r="H72" i="1"/>
  <c r="I71" i="1"/>
  <c r="H71" i="1"/>
  <c r="I70" i="1"/>
  <c r="H70" i="1"/>
  <c r="I69" i="1"/>
  <c r="H69" i="1"/>
  <c r="I68" i="1"/>
  <c r="H68" i="1"/>
  <c r="I67" i="1"/>
  <c r="H67" i="1"/>
  <c r="I66" i="1"/>
  <c r="H66" i="1"/>
  <c r="I65" i="1"/>
  <c r="H65" i="1"/>
  <c r="I64" i="1"/>
  <c r="H64" i="1"/>
  <c r="S6" i="2"/>
  <c r="N7" i="7"/>
  <c r="N8" i="7" s="1"/>
  <c r="N9" i="7" s="1"/>
  <c r="N10" i="7" s="1"/>
  <c r="N11" i="7" s="1"/>
  <c r="N12" i="7" s="1"/>
  <c r="M7" i="7"/>
  <c r="M8" i="7" s="1"/>
  <c r="M9" i="7" s="1"/>
  <c r="M10" i="7" s="1"/>
  <c r="M11" i="7" s="1"/>
  <c r="M12" i="7" s="1"/>
  <c r="T114" i="6"/>
  <c r="P114" i="6"/>
  <c r="L114" i="6"/>
  <c r="T113" i="6"/>
  <c r="P113" i="6"/>
  <c r="L113" i="6"/>
  <c r="T112" i="6"/>
  <c r="P112" i="6"/>
  <c r="L112" i="6"/>
  <c r="T111" i="6"/>
  <c r="P111" i="6"/>
  <c r="L111" i="6"/>
  <c r="T110" i="6"/>
  <c r="P110" i="6"/>
  <c r="L110" i="6"/>
  <c r="T109" i="6"/>
  <c r="P109" i="6"/>
  <c r="L109" i="6"/>
  <c r="T108" i="6"/>
  <c r="P108" i="6"/>
  <c r="L108" i="6"/>
  <c r="T107" i="6"/>
  <c r="P107" i="6"/>
  <c r="L107" i="6"/>
  <c r="T106" i="6"/>
  <c r="P106" i="6"/>
  <c r="L106" i="6"/>
  <c r="T105" i="6"/>
  <c r="P105" i="6"/>
  <c r="L105" i="6"/>
  <c r="T104" i="6"/>
  <c r="P104" i="6"/>
  <c r="L104" i="6"/>
  <c r="T103" i="6"/>
  <c r="P103" i="6"/>
  <c r="L103" i="6"/>
  <c r="T102" i="6"/>
  <c r="P102" i="6"/>
  <c r="L102" i="6"/>
  <c r="T101" i="6"/>
  <c r="P101" i="6"/>
  <c r="L101" i="6"/>
  <c r="T100" i="6"/>
  <c r="P100" i="6"/>
  <c r="L100" i="6"/>
  <c r="T99" i="6"/>
  <c r="P99" i="6"/>
  <c r="L99" i="6"/>
  <c r="T98" i="6"/>
  <c r="P98" i="6"/>
  <c r="L98" i="6"/>
  <c r="T97" i="6"/>
  <c r="P97" i="6"/>
  <c r="L97" i="6"/>
  <c r="T96" i="6"/>
  <c r="P96" i="6"/>
  <c r="L96" i="6"/>
  <c r="T95" i="6"/>
  <c r="P95" i="6"/>
  <c r="L95" i="6"/>
  <c r="T94" i="6"/>
  <c r="P94" i="6"/>
  <c r="L94" i="6"/>
  <c r="T93" i="6"/>
  <c r="P93" i="6"/>
  <c r="L93" i="6"/>
  <c r="T92" i="6"/>
  <c r="P92" i="6"/>
  <c r="L92" i="6"/>
  <c r="W91" i="6"/>
  <c r="T91" i="6"/>
  <c r="P91" i="6"/>
  <c r="L91" i="6"/>
  <c r="T90" i="6"/>
  <c r="P90" i="6"/>
  <c r="L90" i="6"/>
  <c r="T85" i="6"/>
  <c r="W85" i="6" s="1"/>
  <c r="P85" i="6"/>
  <c r="L85" i="6"/>
  <c r="T84" i="6"/>
  <c r="W84" i="6" s="1"/>
  <c r="P84" i="6"/>
  <c r="L84" i="6"/>
  <c r="T83" i="6"/>
  <c r="W83" i="6" s="1"/>
  <c r="P83" i="6"/>
  <c r="L83" i="6"/>
  <c r="T82" i="6"/>
  <c r="W82" i="6" s="1"/>
  <c r="P82" i="6"/>
  <c r="L82" i="6"/>
  <c r="T81" i="6"/>
  <c r="W81" i="6" s="1"/>
  <c r="P81" i="6"/>
  <c r="L81" i="6"/>
  <c r="T80" i="6"/>
  <c r="W80" i="6" s="1"/>
  <c r="P80" i="6"/>
  <c r="L80" i="6"/>
  <c r="T79" i="6"/>
  <c r="W79" i="6" s="1"/>
  <c r="P79" i="6"/>
  <c r="L79" i="6"/>
  <c r="T78" i="6"/>
  <c r="W78" i="6" s="1"/>
  <c r="P78" i="6"/>
  <c r="L78" i="6"/>
  <c r="T77" i="6"/>
  <c r="W77" i="6" s="1"/>
  <c r="P77" i="6"/>
  <c r="L77" i="6"/>
  <c r="T76" i="6"/>
  <c r="W76" i="6" s="1"/>
  <c r="P76" i="6"/>
  <c r="L76" i="6"/>
  <c r="T75" i="6"/>
  <c r="W75" i="6" s="1"/>
  <c r="P75" i="6"/>
  <c r="L75" i="6"/>
  <c r="T74" i="6"/>
  <c r="W74" i="6" s="1"/>
  <c r="P74" i="6"/>
  <c r="L74" i="6"/>
  <c r="T73" i="6"/>
  <c r="W73" i="6" s="1"/>
  <c r="P73" i="6"/>
  <c r="L73" i="6"/>
  <c r="T72" i="6"/>
  <c r="W72" i="6" s="1"/>
  <c r="P72" i="6"/>
  <c r="L72" i="6"/>
  <c r="T71" i="6"/>
  <c r="W71" i="6" s="1"/>
  <c r="P71" i="6"/>
  <c r="L71" i="6"/>
  <c r="T70" i="6"/>
  <c r="W70" i="6" s="1"/>
  <c r="P70" i="6"/>
  <c r="L70" i="6"/>
  <c r="T69" i="6"/>
  <c r="W69" i="6" s="1"/>
  <c r="P69" i="6"/>
  <c r="L69" i="6"/>
  <c r="T68" i="6"/>
  <c r="W68" i="6" s="1"/>
  <c r="P68" i="6"/>
  <c r="L68" i="6"/>
  <c r="T67" i="6"/>
  <c r="W67" i="6" s="1"/>
  <c r="P67" i="6"/>
  <c r="L67" i="6"/>
  <c r="T66" i="6"/>
  <c r="W66" i="6" s="1"/>
  <c r="P66" i="6"/>
  <c r="L66" i="6"/>
  <c r="T65" i="6"/>
  <c r="W65" i="6" s="1"/>
  <c r="P65" i="6"/>
  <c r="L65" i="6"/>
  <c r="T64" i="6"/>
  <c r="W64" i="6" s="1"/>
  <c r="P64" i="6"/>
  <c r="L64" i="6"/>
  <c r="T63" i="6"/>
  <c r="W63" i="6" s="1"/>
  <c r="P63" i="6"/>
  <c r="L63" i="6"/>
  <c r="T62" i="6"/>
  <c r="W62" i="6" s="1"/>
  <c r="P62" i="6"/>
  <c r="L62" i="6"/>
  <c r="T61" i="6"/>
  <c r="W61" i="6" s="1"/>
  <c r="P61" i="6"/>
  <c r="L61" i="6"/>
  <c r="T60" i="6"/>
  <c r="W60" i="6" s="1"/>
  <c r="P60" i="6"/>
  <c r="L60" i="6"/>
  <c r="T59" i="6"/>
  <c r="W59" i="6" s="1"/>
  <c r="P59" i="6"/>
  <c r="L59" i="6"/>
  <c r="T58" i="6"/>
  <c r="W58" i="6" s="1"/>
  <c r="P58" i="6"/>
  <c r="L58" i="6"/>
  <c r="T57" i="6"/>
  <c r="W57" i="6" s="1"/>
  <c r="P57" i="6"/>
  <c r="L57" i="6"/>
  <c r="T56" i="6"/>
  <c r="W56" i="6" s="1"/>
  <c r="P56" i="6"/>
  <c r="L56" i="6"/>
  <c r="T55" i="6"/>
  <c r="W55" i="6" s="1"/>
  <c r="P55" i="6"/>
  <c r="L55" i="6"/>
  <c r="T54" i="6"/>
  <c r="W54" i="6" s="1"/>
  <c r="P54" i="6"/>
  <c r="L54" i="6"/>
  <c r="T53" i="6"/>
  <c r="W53" i="6" s="1"/>
  <c r="P53" i="6"/>
  <c r="L53" i="6"/>
  <c r="T52" i="6"/>
  <c r="W52" i="6" s="1"/>
  <c r="P52" i="6"/>
  <c r="L52" i="6"/>
  <c r="T51" i="6"/>
  <c r="W51" i="6" s="1"/>
  <c r="P51" i="6"/>
  <c r="L51" i="6"/>
  <c r="T50" i="6"/>
  <c r="W50" i="6" s="1"/>
  <c r="P50" i="6"/>
  <c r="L50" i="6"/>
  <c r="T49" i="6"/>
  <c r="W49" i="6" s="1"/>
  <c r="P49" i="6"/>
  <c r="L49" i="6"/>
  <c r="T48" i="6"/>
  <c r="W48" i="6" s="1"/>
  <c r="P48" i="6"/>
  <c r="L48" i="6"/>
  <c r="T47" i="6"/>
  <c r="W47" i="6" s="1"/>
  <c r="P47" i="6"/>
  <c r="L47" i="6"/>
  <c r="T46" i="6"/>
  <c r="W46" i="6" s="1"/>
  <c r="P46" i="6"/>
  <c r="L46" i="6"/>
  <c r="T45" i="6"/>
  <c r="W45" i="6" s="1"/>
  <c r="P45" i="6"/>
  <c r="L45" i="6"/>
  <c r="T44" i="6"/>
  <c r="W44" i="6" s="1"/>
  <c r="P44" i="6"/>
  <c r="L44" i="6"/>
  <c r="T43" i="6"/>
  <c r="W43" i="6" s="1"/>
  <c r="P43" i="6"/>
  <c r="L43" i="6"/>
  <c r="T42" i="6"/>
  <c r="W42" i="6" s="1"/>
  <c r="P42" i="6"/>
  <c r="L42" i="6"/>
  <c r="T41" i="6"/>
  <c r="W41" i="6" s="1"/>
  <c r="P41" i="6"/>
  <c r="L41" i="6"/>
  <c r="T40" i="6"/>
  <c r="W40" i="6" s="1"/>
  <c r="P40" i="6"/>
  <c r="L40" i="6"/>
  <c r="T39" i="6"/>
  <c r="W39" i="6" s="1"/>
  <c r="P39" i="6"/>
  <c r="L39" i="6"/>
  <c r="T38" i="6"/>
  <c r="W38" i="6" s="1"/>
  <c r="P38" i="6"/>
  <c r="L38" i="6"/>
  <c r="T37" i="6"/>
  <c r="W37" i="6" s="1"/>
  <c r="P37" i="6"/>
  <c r="L37" i="6"/>
  <c r="T36" i="6"/>
  <c r="W36" i="6" s="1"/>
  <c r="P36" i="6"/>
  <c r="L36" i="6"/>
  <c r="T35" i="6"/>
  <c r="W35" i="6" s="1"/>
  <c r="P35" i="6"/>
  <c r="L35" i="6"/>
  <c r="T34" i="6"/>
  <c r="W34" i="6" s="1"/>
  <c r="P34" i="6"/>
  <c r="L34" i="6"/>
  <c r="T33" i="6"/>
  <c r="W33" i="6" s="1"/>
  <c r="P33" i="6"/>
  <c r="L33" i="6"/>
  <c r="T32" i="6"/>
  <c r="W32" i="6" s="1"/>
  <c r="P32" i="6"/>
  <c r="L32" i="6"/>
  <c r="T31" i="6"/>
  <c r="W31" i="6" s="1"/>
  <c r="P31" i="6"/>
  <c r="L31" i="6"/>
  <c r="T30" i="6"/>
  <c r="W30" i="6" s="1"/>
  <c r="P30" i="6"/>
  <c r="L30" i="6"/>
  <c r="T29" i="6"/>
  <c r="W29" i="6" s="1"/>
  <c r="P29" i="6"/>
  <c r="L29" i="6"/>
  <c r="T28" i="6"/>
  <c r="W28" i="6" s="1"/>
  <c r="P28" i="6"/>
  <c r="L28" i="6"/>
  <c r="T27" i="6"/>
  <c r="W27" i="6" s="1"/>
  <c r="P27" i="6"/>
  <c r="L27" i="6"/>
  <c r="T26" i="6"/>
  <c r="W26" i="6" s="1"/>
  <c r="P26" i="6"/>
  <c r="L26" i="6"/>
  <c r="T25" i="6"/>
  <c r="W25" i="6" s="1"/>
  <c r="P25" i="6"/>
  <c r="L25" i="6"/>
  <c r="T24" i="6"/>
  <c r="W24" i="6" s="1"/>
  <c r="P24" i="6"/>
  <c r="L24" i="6"/>
  <c r="T23" i="6"/>
  <c r="W23" i="6" s="1"/>
  <c r="P23" i="6"/>
  <c r="L23" i="6"/>
  <c r="T22" i="6"/>
  <c r="W22" i="6" s="1"/>
  <c r="P22" i="6"/>
  <c r="L22" i="6"/>
  <c r="T21" i="6"/>
  <c r="W21" i="6" s="1"/>
  <c r="P21" i="6"/>
  <c r="L21" i="6"/>
  <c r="T20" i="6"/>
  <c r="W20" i="6" s="1"/>
  <c r="P20" i="6"/>
  <c r="L20" i="6"/>
  <c r="T19" i="6"/>
  <c r="W19" i="6" s="1"/>
  <c r="P19" i="6"/>
  <c r="L19" i="6"/>
  <c r="T18" i="6"/>
  <c r="W18" i="6" s="1"/>
  <c r="P18" i="6"/>
  <c r="L18" i="6"/>
  <c r="T17" i="6"/>
  <c r="W17" i="6" s="1"/>
  <c r="P17" i="6"/>
  <c r="L17" i="6"/>
  <c r="T16" i="6"/>
  <c r="W16" i="6" s="1"/>
  <c r="P16" i="6"/>
  <c r="L16" i="6"/>
  <c r="T15" i="6"/>
  <c r="W15" i="6" s="1"/>
  <c r="P15" i="6"/>
  <c r="L15" i="6"/>
  <c r="T14" i="6"/>
  <c r="W14" i="6" s="1"/>
  <c r="P14" i="6"/>
  <c r="L14" i="6"/>
  <c r="R13" i="6"/>
  <c r="T13" i="6" s="1"/>
  <c r="W13" i="6" s="1"/>
  <c r="P13" i="6"/>
  <c r="L13" i="6"/>
  <c r="T12" i="6"/>
  <c r="W12" i="6" s="1"/>
  <c r="P12" i="6"/>
  <c r="L12" i="6"/>
  <c r="T11" i="6"/>
  <c r="W11" i="6" s="1"/>
  <c r="P11" i="6"/>
  <c r="L11" i="6"/>
  <c r="T10" i="6"/>
  <c r="W10" i="6" s="1"/>
  <c r="P10" i="6"/>
  <c r="L10" i="6"/>
  <c r="T9" i="6"/>
  <c r="W9" i="6" s="1"/>
  <c r="P9" i="6"/>
  <c r="L9" i="6"/>
  <c r="T8" i="6"/>
  <c r="W8" i="6" s="1"/>
  <c r="P8" i="6"/>
  <c r="L8" i="6"/>
  <c r="T7" i="6"/>
  <c r="P7" i="6"/>
  <c r="L7" i="6"/>
  <c r="U105" i="5"/>
  <c r="X105" i="5" s="1"/>
  <c r="Q105" i="5"/>
  <c r="M105" i="5"/>
  <c r="U104" i="5"/>
  <c r="X104" i="5" s="1"/>
  <c r="Q104" i="5"/>
  <c r="M104" i="5"/>
  <c r="U103" i="5"/>
  <c r="X103" i="5" s="1"/>
  <c r="Q103" i="5"/>
  <c r="M103" i="5"/>
  <c r="U102" i="5"/>
  <c r="X102" i="5" s="1"/>
  <c r="Q102" i="5"/>
  <c r="M102" i="5"/>
  <c r="U101" i="5"/>
  <c r="X101" i="5" s="1"/>
  <c r="Q101" i="5"/>
  <c r="M101" i="5"/>
  <c r="U100" i="5"/>
  <c r="X100" i="5" s="1"/>
  <c r="Q100" i="5"/>
  <c r="M100" i="5"/>
  <c r="U99" i="5"/>
  <c r="X99" i="5" s="1"/>
  <c r="Q99" i="5"/>
  <c r="M99" i="5"/>
  <c r="U98" i="5"/>
  <c r="X98" i="5" s="1"/>
  <c r="Q98" i="5"/>
  <c r="M98" i="5"/>
  <c r="X97" i="5"/>
  <c r="U97" i="5"/>
  <c r="Q97" i="5"/>
  <c r="M97" i="5"/>
  <c r="U96" i="5"/>
  <c r="X96" i="5" s="1"/>
  <c r="Q96" i="5"/>
  <c r="M96" i="5"/>
  <c r="U95" i="5"/>
  <c r="X95" i="5" s="1"/>
  <c r="Q95" i="5"/>
  <c r="M95" i="5"/>
  <c r="U94" i="5"/>
  <c r="X94" i="5" s="1"/>
  <c r="Q94" i="5"/>
  <c r="M94" i="5"/>
  <c r="X93" i="5"/>
  <c r="U93" i="5"/>
  <c r="Q93" i="5"/>
  <c r="M93" i="5"/>
  <c r="U92" i="5"/>
  <c r="X92" i="5" s="1"/>
  <c r="Q92" i="5"/>
  <c r="M92" i="5"/>
  <c r="X91" i="5"/>
  <c r="U91" i="5"/>
  <c r="Q91" i="5"/>
  <c r="M91" i="5"/>
  <c r="U90" i="5"/>
  <c r="X90" i="5" s="1"/>
  <c r="Q90" i="5"/>
  <c r="M90" i="5"/>
  <c r="U89" i="5"/>
  <c r="X89" i="5" s="1"/>
  <c r="Q89" i="5"/>
  <c r="M89" i="5"/>
  <c r="U88" i="5"/>
  <c r="X88" i="5" s="1"/>
  <c r="Q88" i="5"/>
  <c r="M88" i="5"/>
  <c r="U87" i="5"/>
  <c r="X87" i="5" s="1"/>
  <c r="Q87" i="5"/>
  <c r="M87" i="5"/>
  <c r="U86" i="5"/>
  <c r="X86" i="5" s="1"/>
  <c r="Q86" i="5"/>
  <c r="M86" i="5"/>
  <c r="U85" i="5"/>
  <c r="X85" i="5" s="1"/>
  <c r="Q85" i="5"/>
  <c r="M85" i="5"/>
  <c r="U84" i="5"/>
  <c r="X84" i="5" s="1"/>
  <c r="Q84" i="5"/>
  <c r="M84" i="5"/>
  <c r="U83" i="5"/>
  <c r="X83" i="5" s="1"/>
  <c r="Q83" i="5"/>
  <c r="M83" i="5"/>
  <c r="U82" i="5"/>
  <c r="X82" i="5" s="1"/>
  <c r="Q82" i="5"/>
  <c r="M82" i="5"/>
  <c r="U81" i="5"/>
  <c r="X81" i="5" s="1"/>
  <c r="Q81" i="5"/>
  <c r="M81" i="5"/>
  <c r="U80" i="5"/>
  <c r="X80" i="5" s="1"/>
  <c r="Q80" i="5"/>
  <c r="M80" i="5"/>
  <c r="X79" i="5"/>
  <c r="U79" i="5"/>
  <c r="Q79" i="5"/>
  <c r="M79" i="5"/>
  <c r="U78" i="5"/>
  <c r="X78" i="5" s="1"/>
  <c r="Q78" i="5"/>
  <c r="M78" i="5"/>
  <c r="U77" i="5"/>
  <c r="X77" i="5" s="1"/>
  <c r="Q77" i="5"/>
  <c r="M77" i="5"/>
  <c r="U76" i="5"/>
  <c r="X76" i="5" s="1"/>
  <c r="Q76" i="5"/>
  <c r="M76" i="5"/>
  <c r="X75" i="5"/>
  <c r="U75" i="5"/>
  <c r="Q75" i="5"/>
  <c r="M75" i="5"/>
  <c r="U74" i="5"/>
  <c r="X74" i="5" s="1"/>
  <c r="Q74" i="5"/>
  <c r="M74" i="5"/>
  <c r="X73" i="5"/>
  <c r="U73" i="5"/>
  <c r="Q73" i="5"/>
  <c r="M73" i="5"/>
  <c r="U72" i="5"/>
  <c r="X72" i="5" s="1"/>
  <c r="Q72" i="5"/>
  <c r="M72" i="5"/>
  <c r="U71" i="5"/>
  <c r="X71" i="5" s="1"/>
  <c r="Q71" i="5"/>
  <c r="M71" i="5"/>
  <c r="U70" i="5"/>
  <c r="X70" i="5" s="1"/>
  <c r="Q70" i="5"/>
  <c r="M70" i="5"/>
  <c r="X69" i="5"/>
  <c r="U69" i="5"/>
  <c r="Q69" i="5"/>
  <c r="M69" i="5"/>
  <c r="U68" i="5"/>
  <c r="X68" i="5" s="1"/>
  <c r="Q68" i="5"/>
  <c r="M68" i="5"/>
  <c r="X67" i="5"/>
  <c r="U67" i="5"/>
  <c r="Q67" i="5"/>
  <c r="M67" i="5"/>
  <c r="U66" i="5"/>
  <c r="X66" i="5" s="1"/>
  <c r="Q66" i="5"/>
  <c r="M66" i="5"/>
  <c r="U65" i="5"/>
  <c r="X65" i="5" s="1"/>
  <c r="Q65" i="5"/>
  <c r="M65" i="5"/>
  <c r="U64" i="5"/>
  <c r="X64" i="5" s="1"/>
  <c r="Q64" i="5"/>
  <c r="M64" i="5"/>
  <c r="U63" i="5"/>
  <c r="X63" i="5" s="1"/>
  <c r="Q63" i="5"/>
  <c r="M63" i="5"/>
  <c r="U62" i="5"/>
  <c r="X62" i="5" s="1"/>
  <c r="Q62" i="5"/>
  <c r="M62" i="5"/>
  <c r="U61" i="5"/>
  <c r="X61" i="5" s="1"/>
  <c r="Q61" i="5"/>
  <c r="M61" i="5"/>
  <c r="U60" i="5"/>
  <c r="X60" i="5" s="1"/>
  <c r="Q60" i="5"/>
  <c r="M60" i="5"/>
  <c r="U59" i="5"/>
  <c r="X59" i="5" s="1"/>
  <c r="Q59" i="5"/>
  <c r="M59" i="5"/>
  <c r="U58" i="5"/>
  <c r="Q58" i="5"/>
  <c r="M58" i="5"/>
  <c r="U52" i="5"/>
  <c r="X52" i="5" s="1"/>
  <c r="Q52" i="5"/>
  <c r="M52" i="5"/>
  <c r="U51" i="5"/>
  <c r="X51" i="5" s="1"/>
  <c r="Q51" i="5"/>
  <c r="M51" i="5"/>
  <c r="U50" i="5"/>
  <c r="X50" i="5" s="1"/>
  <c r="Q50" i="5"/>
  <c r="M50" i="5"/>
  <c r="U49" i="5"/>
  <c r="X49" i="5" s="1"/>
  <c r="Q49" i="5"/>
  <c r="M49" i="5"/>
  <c r="U48" i="5"/>
  <c r="X48" i="5" s="1"/>
  <c r="Q48" i="5"/>
  <c r="M48" i="5"/>
  <c r="X47" i="5"/>
  <c r="U47" i="5"/>
  <c r="Q47" i="5"/>
  <c r="M47" i="5"/>
  <c r="U46" i="5"/>
  <c r="X46" i="5" s="1"/>
  <c r="Q46" i="5"/>
  <c r="M46" i="5"/>
  <c r="U45" i="5"/>
  <c r="X45" i="5" s="1"/>
  <c r="Q45" i="5"/>
  <c r="M45" i="5"/>
  <c r="U44" i="5"/>
  <c r="X44" i="5" s="1"/>
  <c r="Q44" i="5"/>
  <c r="M44" i="5"/>
  <c r="X43" i="5"/>
  <c r="U43" i="5"/>
  <c r="Q43" i="5"/>
  <c r="M43" i="5"/>
  <c r="U42" i="5"/>
  <c r="X42" i="5" s="1"/>
  <c r="Q42" i="5"/>
  <c r="M42" i="5"/>
  <c r="X41" i="5"/>
  <c r="U41" i="5"/>
  <c r="Q41" i="5"/>
  <c r="M41" i="5"/>
  <c r="U40" i="5"/>
  <c r="X40" i="5" s="1"/>
  <c r="Q40" i="5"/>
  <c r="M40" i="5"/>
  <c r="U39" i="5"/>
  <c r="X39" i="5" s="1"/>
  <c r="Q39" i="5"/>
  <c r="M39" i="5"/>
  <c r="U38" i="5"/>
  <c r="X38" i="5" s="1"/>
  <c r="Q38" i="5"/>
  <c r="M38" i="5"/>
  <c r="U37" i="5"/>
  <c r="X37" i="5" s="1"/>
  <c r="Q37" i="5"/>
  <c r="M37" i="5"/>
  <c r="U36" i="5"/>
  <c r="X36" i="5" s="1"/>
  <c r="Q36" i="5"/>
  <c r="M36" i="5"/>
  <c r="U35" i="5"/>
  <c r="X35" i="5" s="1"/>
  <c r="Q35" i="5"/>
  <c r="M35" i="5"/>
  <c r="U34" i="5"/>
  <c r="X34" i="5" s="1"/>
  <c r="Q34" i="5"/>
  <c r="M34" i="5"/>
  <c r="U33" i="5"/>
  <c r="X33" i="5" s="1"/>
  <c r="Q33" i="5"/>
  <c r="M33" i="5"/>
  <c r="U32" i="5"/>
  <c r="X32" i="5" s="1"/>
  <c r="Q32" i="5"/>
  <c r="M32" i="5"/>
  <c r="U31" i="5"/>
  <c r="X31" i="5" s="1"/>
  <c r="Q31" i="5"/>
  <c r="M31" i="5"/>
  <c r="U30" i="5"/>
  <c r="X30" i="5" s="1"/>
  <c r="Q30" i="5"/>
  <c r="M30" i="5"/>
  <c r="X29" i="5"/>
  <c r="U29" i="5"/>
  <c r="Q29" i="5"/>
  <c r="M29" i="5"/>
  <c r="U28" i="5"/>
  <c r="X28" i="5" s="1"/>
  <c r="Q28" i="5"/>
  <c r="M28" i="5"/>
  <c r="U27" i="5"/>
  <c r="X27" i="5" s="1"/>
  <c r="Q27" i="5"/>
  <c r="M27" i="5"/>
  <c r="U26" i="5"/>
  <c r="X26" i="5" s="1"/>
  <c r="Q26" i="5"/>
  <c r="M26" i="5"/>
  <c r="X25" i="5"/>
  <c r="U25" i="5"/>
  <c r="Q25" i="5"/>
  <c r="M25" i="5"/>
  <c r="U24" i="5"/>
  <c r="X24" i="5" s="1"/>
  <c r="Q24" i="5"/>
  <c r="M24" i="5"/>
  <c r="X23" i="5"/>
  <c r="U23" i="5"/>
  <c r="Q23" i="5"/>
  <c r="M23" i="5"/>
  <c r="AT22" i="5"/>
  <c r="AP22" i="5"/>
  <c r="AL22" i="5"/>
  <c r="U22" i="5"/>
  <c r="X22" i="5" s="1"/>
  <c r="Q22" i="5"/>
  <c r="M22" i="5"/>
  <c r="AT21" i="5"/>
  <c r="AP21" i="5"/>
  <c r="AL21" i="5"/>
  <c r="X21" i="5"/>
  <c r="U21" i="5"/>
  <c r="Q21" i="5"/>
  <c r="M21" i="5"/>
  <c r="AT20" i="5"/>
  <c r="AP20" i="5"/>
  <c r="AL20" i="5"/>
  <c r="X20" i="5"/>
  <c r="U20" i="5"/>
  <c r="Q20" i="5"/>
  <c r="M20" i="5"/>
  <c r="AT19" i="5"/>
  <c r="AP19" i="5"/>
  <c r="AL19" i="5"/>
  <c r="U19" i="5"/>
  <c r="Q19" i="5"/>
  <c r="M19" i="5"/>
  <c r="AT18" i="5"/>
  <c r="AP18" i="5"/>
  <c r="AL18" i="5"/>
  <c r="AT17" i="5"/>
  <c r="AP17" i="5"/>
  <c r="AL17" i="5"/>
  <c r="AT16" i="5"/>
  <c r="AP16" i="5"/>
  <c r="AL16" i="5"/>
  <c r="AT15" i="5"/>
  <c r="AP15" i="5"/>
  <c r="AL15" i="5"/>
  <c r="AT13" i="5"/>
  <c r="AP13" i="5"/>
  <c r="AL13" i="5"/>
  <c r="U13" i="5"/>
  <c r="X13" i="5" s="1"/>
  <c r="Q13" i="5"/>
  <c r="M13" i="5"/>
  <c r="AT12" i="5"/>
  <c r="AP12" i="5"/>
  <c r="AL12" i="5"/>
  <c r="U12" i="5"/>
  <c r="X12" i="5" s="1"/>
  <c r="Q12" i="5"/>
  <c r="M12" i="5"/>
  <c r="AT11" i="5"/>
  <c r="AP11" i="5"/>
  <c r="AL11" i="5"/>
  <c r="U11" i="5"/>
  <c r="X11" i="5" s="1"/>
  <c r="Q11" i="5"/>
  <c r="M11" i="5"/>
  <c r="AT10" i="5"/>
  <c r="AP10" i="5"/>
  <c r="AL10" i="5"/>
  <c r="U10" i="5"/>
  <c r="X10" i="5" s="1"/>
  <c r="Q10" i="5"/>
  <c r="M10" i="5"/>
  <c r="AT9" i="5"/>
  <c r="AP9" i="5"/>
  <c r="AL9" i="5"/>
  <c r="U9" i="5"/>
  <c r="X9" i="5" s="1"/>
  <c r="Q9" i="5"/>
  <c r="M9" i="5"/>
  <c r="AT8" i="5"/>
  <c r="AP8" i="5"/>
  <c r="AL8" i="5"/>
  <c r="U8" i="5"/>
  <c r="Q8" i="5"/>
  <c r="M8" i="5"/>
  <c r="S155" i="4"/>
  <c r="O155" i="4"/>
  <c r="K155" i="4" s="1"/>
  <c r="Y155" i="4" s="1"/>
  <c r="S154" i="4"/>
  <c r="O154" i="4"/>
  <c r="K154" i="4"/>
  <c r="S153" i="4"/>
  <c r="O153" i="4"/>
  <c r="K153" i="4" s="1"/>
  <c r="Y153" i="4" s="1"/>
  <c r="S152" i="4"/>
  <c r="O152" i="4"/>
  <c r="K152" i="4"/>
  <c r="X152" i="4" s="1"/>
  <c r="S151" i="4"/>
  <c r="O151" i="4"/>
  <c r="K151" i="4" s="1"/>
  <c r="Y151" i="4" s="1"/>
  <c r="S150" i="4"/>
  <c r="O150" i="4"/>
  <c r="K150" i="4" s="1"/>
  <c r="S149" i="4"/>
  <c r="O149" i="4"/>
  <c r="K149" i="4" s="1"/>
  <c r="Y149" i="4" s="1"/>
  <c r="S148" i="4"/>
  <c r="O148" i="4"/>
  <c r="K148" i="4" s="1"/>
  <c r="S147" i="4"/>
  <c r="O147" i="4"/>
  <c r="K147" i="4" s="1"/>
  <c r="Y147" i="4" s="1"/>
  <c r="S146" i="4"/>
  <c r="O146" i="4"/>
  <c r="K146" i="4" s="1"/>
  <c r="S145" i="4"/>
  <c r="O145" i="4"/>
  <c r="K145" i="4" s="1"/>
  <c r="Y145" i="4" s="1"/>
  <c r="S144" i="4"/>
  <c r="O144" i="4"/>
  <c r="K144" i="4" s="1"/>
  <c r="S143" i="4"/>
  <c r="O143" i="4"/>
  <c r="K143" i="4" s="1"/>
  <c r="Y143" i="4" s="1"/>
  <c r="S142" i="4"/>
  <c r="O142" i="4"/>
  <c r="K142" i="4" s="1"/>
  <c r="S141" i="4"/>
  <c r="O141" i="4"/>
  <c r="K141" i="4" s="1"/>
  <c r="Y141" i="4" s="1"/>
  <c r="S140" i="4"/>
  <c r="O140" i="4"/>
  <c r="K140" i="4" s="1"/>
  <c r="S139" i="4"/>
  <c r="O139" i="4"/>
  <c r="K139" i="4" s="1"/>
  <c r="Y139" i="4" s="1"/>
  <c r="S138" i="4"/>
  <c r="O138" i="4"/>
  <c r="K138" i="4" s="1"/>
  <c r="S137" i="4"/>
  <c r="O137" i="4"/>
  <c r="K137" i="4" s="1"/>
  <c r="Y137" i="4" s="1"/>
  <c r="S136" i="4"/>
  <c r="O136" i="4"/>
  <c r="K136" i="4"/>
  <c r="X136" i="4" s="1"/>
  <c r="S135" i="4"/>
  <c r="O135" i="4"/>
  <c r="K135" i="4" s="1"/>
  <c r="Y135" i="4" s="1"/>
  <c r="S134" i="4"/>
  <c r="O134" i="4"/>
  <c r="K134" i="4" s="1"/>
  <c r="S133" i="4"/>
  <c r="O133" i="4"/>
  <c r="K133" i="4" s="1"/>
  <c r="Y133" i="4" s="1"/>
  <c r="S132" i="4"/>
  <c r="O132" i="4"/>
  <c r="K132" i="4" s="1"/>
  <c r="S131" i="4"/>
  <c r="O131" i="4"/>
  <c r="K131" i="4" s="1"/>
  <c r="Y131" i="4" s="1"/>
  <c r="S130" i="4"/>
  <c r="O130" i="4"/>
  <c r="K130" i="4"/>
  <c r="S129" i="4"/>
  <c r="O129" i="4"/>
  <c r="K129" i="4" s="1"/>
  <c r="Y129" i="4" s="1"/>
  <c r="S128" i="4"/>
  <c r="O128" i="4"/>
  <c r="K128" i="4"/>
  <c r="X128" i="4" s="1"/>
  <c r="S127" i="4"/>
  <c r="O127" i="4"/>
  <c r="K127" i="4" s="1"/>
  <c r="Y127" i="4" s="1"/>
  <c r="S126" i="4"/>
  <c r="O126" i="4"/>
  <c r="K126" i="4"/>
  <c r="S125" i="4"/>
  <c r="O125" i="4"/>
  <c r="K125" i="4" s="1"/>
  <c r="Y125" i="4" s="1"/>
  <c r="S124" i="4"/>
  <c r="O124" i="4"/>
  <c r="K124" i="4" s="1"/>
  <c r="S123" i="4"/>
  <c r="O123" i="4"/>
  <c r="K123" i="4" s="1"/>
  <c r="Y123" i="4" s="1"/>
  <c r="S122" i="4"/>
  <c r="O122" i="4"/>
  <c r="K122" i="4" s="1"/>
  <c r="S121" i="4"/>
  <c r="O121" i="4"/>
  <c r="K121" i="4" s="1"/>
  <c r="Y121" i="4" s="1"/>
  <c r="Y120" i="4"/>
  <c r="S120" i="4"/>
  <c r="O120" i="4"/>
  <c r="K120" i="4"/>
  <c r="X120" i="4" s="1"/>
  <c r="S119" i="4"/>
  <c r="O119" i="4"/>
  <c r="K119" i="4" s="1"/>
  <c r="Y119" i="4" s="1"/>
  <c r="S118" i="4"/>
  <c r="O118" i="4"/>
  <c r="K118" i="4"/>
  <c r="S117" i="4"/>
  <c r="O117" i="4"/>
  <c r="K117" i="4" s="1"/>
  <c r="Y117" i="4" s="1"/>
  <c r="S116" i="4"/>
  <c r="O116" i="4"/>
  <c r="K116" i="4" s="1"/>
  <c r="S115" i="4"/>
  <c r="O115" i="4"/>
  <c r="K115" i="4" s="1"/>
  <c r="Y115" i="4" s="1"/>
  <c r="S114" i="4"/>
  <c r="O114" i="4"/>
  <c r="K114" i="4"/>
  <c r="S113" i="4"/>
  <c r="O113" i="4"/>
  <c r="K113" i="4" s="1"/>
  <c r="Y113" i="4" s="1"/>
  <c r="S112" i="4"/>
  <c r="O112" i="4"/>
  <c r="K112" i="4" s="1"/>
  <c r="S111" i="4"/>
  <c r="O111" i="4"/>
  <c r="K111" i="4" s="1"/>
  <c r="Y111" i="4" s="1"/>
  <c r="S110" i="4"/>
  <c r="O110" i="4"/>
  <c r="K110" i="4" s="1"/>
  <c r="S109" i="4"/>
  <c r="O109" i="4"/>
  <c r="K109" i="4" s="1"/>
  <c r="Y109" i="4" s="1"/>
  <c r="S108" i="4"/>
  <c r="O108" i="4"/>
  <c r="K108" i="4" s="1"/>
  <c r="S107" i="4"/>
  <c r="O107" i="4"/>
  <c r="K107" i="4" s="1"/>
  <c r="Y107" i="4" s="1"/>
  <c r="S106" i="4"/>
  <c r="O106" i="4"/>
  <c r="K106" i="4"/>
  <c r="S105" i="4"/>
  <c r="O105" i="4"/>
  <c r="K105" i="4" s="1"/>
  <c r="Y105" i="4" s="1"/>
  <c r="S104" i="4"/>
  <c r="O104" i="4"/>
  <c r="K104" i="4"/>
  <c r="X104" i="4" s="1"/>
  <c r="Z103" i="4"/>
  <c r="S103" i="4"/>
  <c r="O103" i="4"/>
  <c r="K103" i="4" s="1"/>
  <c r="Y103" i="4" s="1"/>
  <c r="AC102" i="4"/>
  <c r="S102" i="4"/>
  <c r="O102" i="4"/>
  <c r="AW101" i="4"/>
  <c r="AS101" i="4"/>
  <c r="AO101" i="4"/>
  <c r="AC101" i="4"/>
  <c r="AW100" i="4"/>
  <c r="AS100" i="4"/>
  <c r="AO100" i="4" s="1"/>
  <c r="BC100" i="4" s="1"/>
  <c r="W100" i="4"/>
  <c r="S100" i="4"/>
  <c r="O100" i="4"/>
  <c r="AW99" i="4"/>
  <c r="AS99" i="4"/>
  <c r="AO99" i="4" s="1"/>
  <c r="BC99" i="4" s="1"/>
  <c r="W99" i="4"/>
  <c r="S99" i="4"/>
  <c r="O99" i="4"/>
  <c r="AW98" i="4"/>
  <c r="AS98" i="4"/>
  <c r="AO98" i="4" s="1"/>
  <c r="BC98" i="4" s="1"/>
  <c r="W98" i="4"/>
  <c r="S98" i="4"/>
  <c r="O98" i="4"/>
  <c r="AW97" i="4"/>
  <c r="AS97" i="4"/>
  <c r="AO97" i="4" s="1"/>
  <c r="BC97" i="4" s="1"/>
  <c r="W97" i="4"/>
  <c r="S97" i="4"/>
  <c r="O97" i="4"/>
  <c r="AW96" i="4"/>
  <c r="AS96" i="4"/>
  <c r="AO96" i="4" s="1"/>
  <c r="BC96" i="4" s="1"/>
  <c r="W96" i="4"/>
  <c r="S96" i="4"/>
  <c r="O96" i="4"/>
  <c r="AW95" i="4"/>
  <c r="AS95" i="4"/>
  <c r="AO95" i="4" s="1"/>
  <c r="BC95" i="4" s="1"/>
  <c r="W95" i="4"/>
  <c r="S95" i="4"/>
  <c r="O95" i="4"/>
  <c r="AW94" i="4"/>
  <c r="AS94" i="4"/>
  <c r="AO94" i="4" s="1"/>
  <c r="BC94" i="4" s="1"/>
  <c r="W94" i="4"/>
  <c r="S94" i="4"/>
  <c r="O94" i="4"/>
  <c r="AW93" i="4"/>
  <c r="AS93" i="4"/>
  <c r="AO93" i="4" s="1"/>
  <c r="BC93" i="4" s="1"/>
  <c r="W93" i="4"/>
  <c r="S93" i="4"/>
  <c r="O93" i="4"/>
  <c r="AW92" i="4"/>
  <c r="AS92" i="4"/>
  <c r="AO92" i="4" s="1"/>
  <c r="BC92" i="4" s="1"/>
  <c r="AC92" i="4"/>
  <c r="W92" i="4"/>
  <c r="Z92" i="4" s="1"/>
  <c r="S92" i="4"/>
  <c r="O92" i="4"/>
  <c r="AW91" i="4"/>
  <c r="AS91" i="4"/>
  <c r="AO91" i="4"/>
  <c r="BB91" i="4" s="1"/>
  <c r="AC91" i="4"/>
  <c r="AW90" i="4"/>
  <c r="AS90" i="4"/>
  <c r="AO90" i="4" s="1"/>
  <c r="BC90" i="4" s="1"/>
  <c r="AC90" i="4"/>
  <c r="BC89" i="4"/>
  <c r="AW89" i="4"/>
  <c r="AS89" i="4"/>
  <c r="AO89" i="4"/>
  <c r="BB89" i="4" s="1"/>
  <c r="AC89" i="4"/>
  <c r="AW88" i="4"/>
  <c r="AS88" i="4"/>
  <c r="AO88" i="4" s="1"/>
  <c r="BC88" i="4" s="1"/>
  <c r="AC88" i="4"/>
  <c r="AW87" i="4"/>
  <c r="AS87" i="4"/>
  <c r="AO87" i="4"/>
  <c r="BB87" i="4" s="1"/>
  <c r="AC87" i="4"/>
  <c r="AW86" i="4"/>
  <c r="AS86" i="4"/>
  <c r="AO86" i="4" s="1"/>
  <c r="BC86" i="4" s="1"/>
  <c r="AC86" i="4"/>
  <c r="AW85" i="4"/>
  <c r="AS85" i="4"/>
  <c r="AO85" i="4"/>
  <c r="BB85" i="4" s="1"/>
  <c r="AC85" i="4"/>
  <c r="AW84" i="4"/>
  <c r="AS84" i="4"/>
  <c r="AO84" i="4" s="1"/>
  <c r="BC84" i="4" s="1"/>
  <c r="AC84" i="4"/>
  <c r="BC83" i="4"/>
  <c r="AW83" i="4"/>
  <c r="AS83" i="4"/>
  <c r="AO83" i="4"/>
  <c r="BB83" i="4" s="1"/>
  <c r="AC83" i="4"/>
  <c r="AW82" i="4"/>
  <c r="AS82" i="4"/>
  <c r="AO82" i="4" s="1"/>
  <c r="BC82" i="4" s="1"/>
  <c r="W82" i="4"/>
  <c r="S82" i="4"/>
  <c r="O82" i="4"/>
  <c r="K82" i="4" s="1"/>
  <c r="AW81" i="4"/>
  <c r="AS81" i="4"/>
  <c r="AO81" i="4" s="1"/>
  <c r="BC81" i="4" s="1"/>
  <c r="W81" i="4"/>
  <c r="S81" i="4"/>
  <c r="O81" i="4"/>
  <c r="K81" i="4" s="1"/>
  <c r="AW80" i="4"/>
  <c r="AS80" i="4"/>
  <c r="AO80" i="4" s="1"/>
  <c r="BC80" i="4" s="1"/>
  <c r="W80" i="4"/>
  <c r="S80" i="4"/>
  <c r="O80" i="4"/>
  <c r="K80" i="4" s="1"/>
  <c r="AW79" i="4"/>
  <c r="AS79" i="4"/>
  <c r="AO79" i="4" s="1"/>
  <c r="BC79" i="4" s="1"/>
  <c r="W79" i="4"/>
  <c r="S79" i="4"/>
  <c r="O79" i="4"/>
  <c r="K79" i="4" s="1"/>
  <c r="AW78" i="4"/>
  <c r="AS78" i="4"/>
  <c r="AO78" i="4" s="1"/>
  <c r="BC78" i="4" s="1"/>
  <c r="W78" i="4"/>
  <c r="S78" i="4"/>
  <c r="O78" i="4"/>
  <c r="K78" i="4" s="1"/>
  <c r="AW77" i="4"/>
  <c r="AS77" i="4"/>
  <c r="AO77" i="4" s="1"/>
  <c r="BC77" i="4" s="1"/>
  <c r="W77" i="4"/>
  <c r="S77" i="4"/>
  <c r="O77" i="4"/>
  <c r="K77" i="4" s="1"/>
  <c r="AW76" i="4"/>
  <c r="AS76" i="4"/>
  <c r="AO76" i="4" s="1"/>
  <c r="BC76" i="4" s="1"/>
  <c r="W76" i="4"/>
  <c r="S76" i="4"/>
  <c r="O76" i="4"/>
  <c r="K76" i="4" s="1"/>
  <c r="AW75" i="4"/>
  <c r="AS75" i="4"/>
  <c r="AO75" i="4" s="1"/>
  <c r="BC75" i="4" s="1"/>
  <c r="W75" i="4"/>
  <c r="S75" i="4"/>
  <c r="O75" i="4"/>
  <c r="K75" i="4" s="1"/>
  <c r="AW74" i="4"/>
  <c r="AS74" i="4"/>
  <c r="AO74" i="4" s="1"/>
  <c r="BC74" i="4" s="1"/>
  <c r="W74" i="4"/>
  <c r="S74" i="4"/>
  <c r="O74" i="4"/>
  <c r="K74" i="4" s="1"/>
  <c r="AW73" i="4"/>
  <c r="AS73" i="4"/>
  <c r="AO73" i="4" s="1"/>
  <c r="BC73" i="4" s="1"/>
  <c r="W73" i="4"/>
  <c r="S73" i="4"/>
  <c r="O73" i="4"/>
  <c r="K73" i="4" s="1"/>
  <c r="AW72" i="4"/>
  <c r="AS72" i="4"/>
  <c r="AO72" i="4" s="1"/>
  <c r="BC72" i="4" s="1"/>
  <c r="W72" i="4"/>
  <c r="S72" i="4"/>
  <c r="O72" i="4"/>
  <c r="K72" i="4" s="1"/>
  <c r="AW71" i="4"/>
  <c r="AS71" i="4"/>
  <c r="AO71" i="4" s="1"/>
  <c r="BC71" i="4" s="1"/>
  <c r="W71" i="4"/>
  <c r="S71" i="4"/>
  <c r="O71" i="4"/>
  <c r="K71" i="4" s="1"/>
  <c r="AW70" i="4"/>
  <c r="AS70" i="4"/>
  <c r="AO70" i="4" s="1"/>
  <c r="BC70" i="4" s="1"/>
  <c r="W70" i="4"/>
  <c r="S70" i="4"/>
  <c r="O70" i="4"/>
  <c r="K70" i="4" s="1"/>
  <c r="BC69" i="4"/>
  <c r="AW69" i="4"/>
  <c r="AS69" i="4"/>
  <c r="AO69" i="4"/>
  <c r="BB69" i="4" s="1"/>
  <c r="W69" i="4"/>
  <c r="S69" i="4"/>
  <c r="O69" i="4"/>
  <c r="K69" i="4" s="1"/>
  <c r="BC68" i="4"/>
  <c r="AW68" i="4"/>
  <c r="AS68" i="4"/>
  <c r="AO68" i="4"/>
  <c r="BB68" i="4" s="1"/>
  <c r="W68" i="4"/>
  <c r="S68" i="4"/>
  <c r="O68" i="4"/>
  <c r="K68" i="4"/>
  <c r="AW67" i="4"/>
  <c r="AS67" i="4"/>
  <c r="AO67" i="4" s="1"/>
  <c r="W67" i="4"/>
  <c r="S67" i="4"/>
  <c r="O67" i="4"/>
  <c r="K67" i="4"/>
  <c r="BC66" i="4"/>
  <c r="AW66" i="4"/>
  <c r="AS66" i="4"/>
  <c r="AO66" i="4"/>
  <c r="BB66" i="4" s="1"/>
  <c r="W66" i="4"/>
  <c r="S66" i="4"/>
  <c r="O66" i="4"/>
  <c r="K66" i="4" s="1"/>
  <c r="BC65" i="4"/>
  <c r="AW65" i="4"/>
  <c r="AS65" i="4"/>
  <c r="AO65" i="4"/>
  <c r="BB65" i="4" s="1"/>
  <c r="W65" i="4"/>
  <c r="S65" i="4"/>
  <c r="O65" i="4"/>
  <c r="K65" i="4"/>
  <c r="AW64" i="4"/>
  <c r="AS64" i="4"/>
  <c r="AO64" i="4" s="1"/>
  <c r="W64" i="4"/>
  <c r="S64" i="4"/>
  <c r="O64" i="4"/>
  <c r="K64" i="4"/>
  <c r="BC63" i="4"/>
  <c r="AW63" i="4"/>
  <c r="AS63" i="4"/>
  <c r="AO63" i="4"/>
  <c r="BB63" i="4" s="1"/>
  <c r="W63" i="4"/>
  <c r="S63" i="4"/>
  <c r="O63" i="4"/>
  <c r="K63" i="4" s="1"/>
  <c r="BC62" i="4"/>
  <c r="AW62" i="4"/>
  <c r="AS62" i="4"/>
  <c r="AO62" i="4"/>
  <c r="BB62" i="4" s="1"/>
  <c r="W62" i="4"/>
  <c r="S62" i="4"/>
  <c r="O62" i="4"/>
  <c r="K62" i="4"/>
  <c r="AW61" i="4"/>
  <c r="AS61" i="4"/>
  <c r="AO61" i="4" s="1"/>
  <c r="W61" i="4"/>
  <c r="S61" i="4"/>
  <c r="O61" i="4"/>
  <c r="K61" i="4" s="1"/>
  <c r="W60" i="4"/>
  <c r="S60" i="4"/>
  <c r="O60" i="4"/>
  <c r="K60" i="4" s="1"/>
  <c r="BA59" i="4"/>
  <c r="AW59" i="4"/>
  <c r="AS59" i="4"/>
  <c r="W59" i="4"/>
  <c r="S59" i="4"/>
  <c r="O59" i="4"/>
  <c r="K59" i="4"/>
  <c r="BA58" i="4"/>
  <c r="AW58" i="4"/>
  <c r="AS58" i="4"/>
  <c r="W58" i="4"/>
  <c r="Z58" i="4" s="1"/>
  <c r="S58" i="4"/>
  <c r="O58" i="4"/>
  <c r="K58" i="4" s="1"/>
  <c r="AO50" i="4" s="1"/>
  <c r="BA57" i="4"/>
  <c r="AW57" i="4"/>
  <c r="AS57" i="4"/>
  <c r="W57" i="4"/>
  <c r="Z57" i="4" s="1"/>
  <c r="S57" i="4"/>
  <c r="O57" i="4"/>
  <c r="K57" i="4"/>
  <c r="Y57" i="4" s="1"/>
  <c r="BA56" i="4"/>
  <c r="AW56" i="4"/>
  <c r="AS56" i="4"/>
  <c r="Y56" i="4"/>
  <c r="W56" i="4"/>
  <c r="Z56" i="4" s="1"/>
  <c r="S56" i="4"/>
  <c r="O56" i="4"/>
  <c r="K56" i="4" s="1"/>
  <c r="X56" i="4" s="1"/>
  <c r="BA55" i="4"/>
  <c r="BD55" i="4" s="1"/>
  <c r="AW55" i="4"/>
  <c r="AS55" i="4"/>
  <c r="Z55" i="4"/>
  <c r="W55" i="4"/>
  <c r="S55" i="4"/>
  <c r="O55" i="4"/>
  <c r="K55" i="4"/>
  <c r="Y55" i="4" s="1"/>
  <c r="BA54" i="4"/>
  <c r="AW54" i="4"/>
  <c r="AS54" i="4"/>
  <c r="W54" i="4"/>
  <c r="Z54" i="4" s="1"/>
  <c r="S54" i="4"/>
  <c r="O54" i="4"/>
  <c r="K54" i="4" s="1"/>
  <c r="X54" i="4" s="1"/>
  <c r="BA53" i="4"/>
  <c r="AW53" i="4"/>
  <c r="AS53" i="4"/>
  <c r="W53" i="4"/>
  <c r="Z53" i="4" s="1"/>
  <c r="S53" i="4"/>
  <c r="O53" i="4"/>
  <c r="K53" i="4" s="1"/>
  <c r="BA52" i="4"/>
  <c r="BD52" i="4" s="1"/>
  <c r="AW52" i="4"/>
  <c r="AS52" i="4"/>
  <c r="W52" i="4"/>
  <c r="Z52" i="4" s="1"/>
  <c r="S52" i="4"/>
  <c r="O52" i="4"/>
  <c r="K52" i="4"/>
  <c r="Y52" i="4" s="1"/>
  <c r="BA51" i="4"/>
  <c r="AW51" i="4"/>
  <c r="AS51" i="4"/>
  <c r="W51" i="4"/>
  <c r="Z51" i="4" s="1"/>
  <c r="S51" i="4"/>
  <c r="O51" i="4"/>
  <c r="K51" i="4" s="1"/>
  <c r="BD50" i="4"/>
  <c r="BA50" i="4"/>
  <c r="AW50" i="4"/>
  <c r="AS50" i="4"/>
  <c r="W50" i="4"/>
  <c r="Z50" i="4" s="1"/>
  <c r="S50" i="4"/>
  <c r="O50" i="4"/>
  <c r="K50" i="4"/>
  <c r="Y50" i="4" s="1"/>
  <c r="BA49" i="4"/>
  <c r="AW49" i="4"/>
  <c r="AS49" i="4"/>
  <c r="W49" i="4"/>
  <c r="Z49" i="4" s="1"/>
  <c r="S49" i="4"/>
  <c r="O49" i="4"/>
  <c r="K49" i="4" s="1"/>
  <c r="BA48" i="4"/>
  <c r="BD48" i="4" s="1"/>
  <c r="AW48" i="4"/>
  <c r="AS48" i="4"/>
  <c r="W48" i="4"/>
  <c r="Z48" i="4" s="1"/>
  <c r="S48" i="4"/>
  <c r="O48" i="4"/>
  <c r="K48" i="4" s="1"/>
  <c r="Y48" i="4" s="1"/>
  <c r="BA47" i="4"/>
  <c r="AW47" i="4"/>
  <c r="AS47" i="4"/>
  <c r="W47" i="4"/>
  <c r="Z47" i="4" s="1"/>
  <c r="S47" i="4"/>
  <c r="O47" i="4"/>
  <c r="K47" i="4" s="1"/>
  <c r="BA46" i="4"/>
  <c r="BD46" i="4" s="1"/>
  <c r="AW46" i="4"/>
  <c r="AS46" i="4"/>
  <c r="W46" i="4"/>
  <c r="Z46" i="4" s="1"/>
  <c r="S46" i="4"/>
  <c r="O46" i="4"/>
  <c r="K46" i="4"/>
  <c r="Y46" i="4" s="1"/>
  <c r="BA45" i="4"/>
  <c r="BD45" i="4" s="1"/>
  <c r="AW45" i="4"/>
  <c r="AS45" i="4"/>
  <c r="AO45" i="4" s="1"/>
  <c r="W45" i="4"/>
  <c r="Z45" i="4" s="1"/>
  <c r="S45" i="4"/>
  <c r="O45" i="4"/>
  <c r="K45" i="4" s="1"/>
  <c r="BD44" i="4"/>
  <c r="BA44" i="4"/>
  <c r="AW44" i="4"/>
  <c r="AS44" i="4"/>
  <c r="AO44" i="4" s="1"/>
  <c r="BC44" i="4" s="1"/>
  <c r="W44" i="4"/>
  <c r="Z44" i="4" s="1"/>
  <c r="S44" i="4"/>
  <c r="O44" i="4"/>
  <c r="K44" i="4"/>
  <c r="Y44" i="4" s="1"/>
  <c r="BA43" i="4"/>
  <c r="BD43" i="4" s="1"/>
  <c r="AW43" i="4"/>
  <c r="AS43" i="4"/>
  <c r="AO43" i="4" s="1"/>
  <c r="W43" i="4"/>
  <c r="Z43" i="4" s="1"/>
  <c r="S43" i="4"/>
  <c r="O43" i="4"/>
  <c r="K43" i="4" s="1"/>
  <c r="BA42" i="4"/>
  <c r="BD42" i="4" s="1"/>
  <c r="AW42" i="4"/>
  <c r="AS42" i="4"/>
  <c r="AO42" i="4" s="1"/>
  <c r="W42" i="4"/>
  <c r="Z42" i="4" s="1"/>
  <c r="S42" i="4"/>
  <c r="O42" i="4"/>
  <c r="K42" i="4" s="1"/>
  <c r="Y42" i="4" s="1"/>
  <c r="BC41" i="4"/>
  <c r="BA41" i="4"/>
  <c r="BD41" i="4" s="1"/>
  <c r="AW41" i="4"/>
  <c r="AS41" i="4"/>
  <c r="AO41" i="4" s="1"/>
  <c r="BB41" i="4" s="1"/>
  <c r="W41" i="4"/>
  <c r="Z41" i="4" s="1"/>
  <c r="S41" i="4"/>
  <c r="O41" i="4"/>
  <c r="K41" i="4" s="1"/>
  <c r="X41" i="4" s="1"/>
  <c r="BA40" i="4"/>
  <c r="BD40" i="4" s="1"/>
  <c r="AW40" i="4"/>
  <c r="AS40" i="4"/>
  <c r="AO40" i="4" s="1"/>
  <c r="BC40" i="4" s="1"/>
  <c r="W40" i="4"/>
  <c r="Z40" i="4" s="1"/>
  <c r="S40" i="4"/>
  <c r="O40" i="4"/>
  <c r="K40" i="4"/>
  <c r="Y40" i="4" s="1"/>
  <c r="BA39" i="4"/>
  <c r="BD39" i="4" s="1"/>
  <c r="AW39" i="4"/>
  <c r="AS39" i="4"/>
  <c r="AO39" i="4" s="1"/>
  <c r="BB39" i="4" s="1"/>
  <c r="Y39" i="4"/>
  <c r="W39" i="4"/>
  <c r="Z39" i="4" s="1"/>
  <c r="S39" i="4"/>
  <c r="O39" i="4"/>
  <c r="K39" i="4" s="1"/>
  <c r="X39" i="4" s="1"/>
  <c r="BA38" i="4"/>
  <c r="BD38" i="4" s="1"/>
  <c r="AW38" i="4"/>
  <c r="AS38" i="4"/>
  <c r="AO38" i="4"/>
  <c r="BC38" i="4" s="1"/>
  <c r="Z38" i="4"/>
  <c r="W38" i="4"/>
  <c r="S38" i="4"/>
  <c r="O38" i="4"/>
  <c r="K38" i="4"/>
  <c r="Y38" i="4" s="1"/>
  <c r="BA37" i="4"/>
  <c r="AW37" i="4"/>
  <c r="AS37" i="4"/>
  <c r="W37" i="4"/>
  <c r="Z37" i="4" s="1"/>
  <c r="S37" i="4"/>
  <c r="O37" i="4"/>
  <c r="K37" i="4" s="1"/>
  <c r="X37" i="4" s="1"/>
  <c r="W36" i="4"/>
  <c r="S36" i="4"/>
  <c r="O36" i="4"/>
  <c r="V141" i="3"/>
  <c r="I141" i="3"/>
  <c r="J141" i="3" s="1"/>
  <c r="K141" i="3" s="1"/>
  <c r="S141" i="3" s="1"/>
  <c r="U141" i="3" s="1"/>
  <c r="V140" i="3"/>
  <c r="I140" i="3"/>
  <c r="J140" i="3" s="1"/>
  <c r="K140" i="3" s="1"/>
  <c r="V139" i="3"/>
  <c r="I139" i="3"/>
  <c r="J139" i="3" s="1"/>
  <c r="K139" i="3" s="1"/>
  <c r="V138" i="3"/>
  <c r="I138" i="3"/>
  <c r="J138" i="3" s="1"/>
  <c r="K138" i="3" s="1"/>
  <c r="R138" i="3" s="1"/>
  <c r="T138" i="3" s="1"/>
  <c r="V137" i="3"/>
  <c r="I137" i="3"/>
  <c r="J137" i="3" s="1"/>
  <c r="K137" i="3" s="1"/>
  <c r="V136" i="3"/>
  <c r="I136" i="3"/>
  <c r="J136" i="3" s="1"/>
  <c r="K136" i="3" s="1"/>
  <c r="V135" i="3"/>
  <c r="I135" i="3"/>
  <c r="J135" i="3" s="1"/>
  <c r="K135" i="3" s="1"/>
  <c r="V134" i="3"/>
  <c r="I134" i="3"/>
  <c r="J134" i="3" s="1"/>
  <c r="K134" i="3" s="1"/>
  <c r="R134" i="3" s="1"/>
  <c r="T134" i="3" s="1"/>
  <c r="V133" i="3"/>
  <c r="I133" i="3"/>
  <c r="J133" i="3" s="1"/>
  <c r="K133" i="3" s="1"/>
  <c r="V132" i="3"/>
  <c r="I132" i="3"/>
  <c r="J132" i="3" s="1"/>
  <c r="K132" i="3" s="1"/>
  <c r="V131" i="3"/>
  <c r="I131" i="3"/>
  <c r="J131" i="3" s="1"/>
  <c r="K131" i="3" s="1"/>
  <c r="I130" i="3"/>
  <c r="J130" i="3" s="1"/>
  <c r="I129" i="3"/>
  <c r="J129" i="3" s="1"/>
  <c r="I128" i="3"/>
  <c r="J128" i="3" s="1"/>
  <c r="J127" i="3"/>
  <c r="I127" i="3"/>
  <c r="I126" i="3"/>
  <c r="J126" i="3" s="1"/>
  <c r="J125" i="3"/>
  <c r="I125" i="3"/>
  <c r="I124" i="3"/>
  <c r="J124" i="3" s="1"/>
  <c r="I123" i="3"/>
  <c r="J123" i="3" s="1"/>
  <c r="I122" i="3"/>
  <c r="J122" i="3" s="1"/>
  <c r="I121" i="3"/>
  <c r="J121" i="3" s="1"/>
  <c r="I120" i="3"/>
  <c r="J120" i="3" s="1"/>
  <c r="J119" i="3"/>
  <c r="I119" i="3"/>
  <c r="I118" i="3"/>
  <c r="J118" i="3" s="1"/>
  <c r="J117" i="3"/>
  <c r="I117" i="3"/>
  <c r="I116" i="3"/>
  <c r="J116" i="3" s="1"/>
  <c r="I115" i="3"/>
  <c r="J115" i="3" s="1"/>
  <c r="I114" i="3"/>
  <c r="J114" i="3" s="1"/>
  <c r="I113" i="3"/>
  <c r="J113" i="3" s="1"/>
  <c r="I112" i="3"/>
  <c r="J112" i="3" s="1"/>
  <c r="J111" i="3"/>
  <c r="I111" i="3"/>
  <c r="I110" i="3"/>
  <c r="J110" i="3" s="1"/>
  <c r="J109" i="3"/>
  <c r="I109" i="3"/>
  <c r="I108" i="3"/>
  <c r="J108" i="3" s="1"/>
  <c r="I107" i="3"/>
  <c r="J107" i="3" s="1"/>
  <c r="I106" i="3"/>
  <c r="J106" i="3" s="1"/>
  <c r="I105" i="3"/>
  <c r="J105" i="3" s="1"/>
  <c r="I104" i="3"/>
  <c r="J104" i="3" s="1"/>
  <c r="J103" i="3"/>
  <c r="I103" i="3"/>
  <c r="I102" i="3"/>
  <c r="J102" i="3" s="1"/>
  <c r="J101" i="3"/>
  <c r="I101" i="3"/>
  <c r="I100" i="3"/>
  <c r="J100" i="3" s="1"/>
  <c r="I99" i="3"/>
  <c r="J99" i="3" s="1"/>
  <c r="I98" i="3"/>
  <c r="J98" i="3" s="1"/>
  <c r="I97" i="3"/>
  <c r="J97" i="3" s="1"/>
  <c r="I96" i="3"/>
  <c r="J96" i="3" s="1"/>
  <c r="J95" i="3"/>
  <c r="I95" i="3"/>
  <c r="I94" i="3"/>
  <c r="J94" i="3" s="1"/>
  <c r="J93" i="3"/>
  <c r="I93" i="3"/>
  <c r="I92" i="3"/>
  <c r="J92" i="3" s="1"/>
  <c r="I91" i="3"/>
  <c r="J91" i="3" s="1"/>
  <c r="I90" i="3"/>
  <c r="J90" i="3" s="1"/>
  <c r="I89" i="3"/>
  <c r="J89" i="3" s="1"/>
  <c r="I88" i="3"/>
  <c r="J88" i="3" s="1"/>
  <c r="J87" i="3"/>
  <c r="I87" i="3"/>
  <c r="I86" i="3"/>
  <c r="J86" i="3" s="1"/>
  <c r="J85" i="3"/>
  <c r="I85" i="3"/>
  <c r="I84" i="3"/>
  <c r="J84" i="3" s="1"/>
  <c r="I83" i="3"/>
  <c r="J83" i="3" s="1"/>
  <c r="I82" i="3"/>
  <c r="J82" i="3" s="1"/>
  <c r="I81" i="3"/>
  <c r="J81" i="3" s="1"/>
  <c r="I80" i="3"/>
  <c r="J80" i="3" s="1"/>
  <c r="J79" i="3"/>
  <c r="I79" i="3"/>
  <c r="I78" i="3"/>
  <c r="J78" i="3" s="1"/>
  <c r="J77" i="3"/>
  <c r="I77" i="3"/>
  <c r="Y76" i="3"/>
  <c r="K76" i="3"/>
  <c r="I76" i="3"/>
  <c r="W72" i="3"/>
  <c r="I72" i="3"/>
  <c r="J72" i="3" s="1"/>
  <c r="K72" i="3" s="1"/>
  <c r="W71" i="3"/>
  <c r="I71" i="3"/>
  <c r="J71" i="3" s="1"/>
  <c r="K71" i="3" s="1"/>
  <c r="S71" i="3" s="1"/>
  <c r="U71" i="3" s="1"/>
  <c r="W70" i="3"/>
  <c r="J70" i="3"/>
  <c r="K70" i="3" s="1"/>
  <c r="I70" i="3"/>
  <c r="W69" i="3"/>
  <c r="I69" i="3"/>
  <c r="J69" i="3" s="1"/>
  <c r="K69" i="3" s="1"/>
  <c r="W68" i="3"/>
  <c r="I68" i="3"/>
  <c r="J68" i="3" s="1"/>
  <c r="K68" i="3" s="1"/>
  <c r="W67" i="3"/>
  <c r="I67" i="3"/>
  <c r="J67" i="3" s="1"/>
  <c r="K67" i="3" s="1"/>
  <c r="S67" i="3" s="1"/>
  <c r="U67" i="3" s="1"/>
  <c r="W66" i="3"/>
  <c r="J66" i="3"/>
  <c r="K66" i="3" s="1"/>
  <c r="I66" i="3"/>
  <c r="W65" i="3"/>
  <c r="I65" i="3"/>
  <c r="J65" i="3" s="1"/>
  <c r="K65" i="3" s="1"/>
  <c r="W64" i="3"/>
  <c r="I64" i="3"/>
  <c r="J64" i="3" s="1"/>
  <c r="K64" i="3" s="1"/>
  <c r="W63" i="3"/>
  <c r="I63" i="3"/>
  <c r="J63" i="3" s="1"/>
  <c r="K63" i="3" s="1"/>
  <c r="S63" i="3" s="1"/>
  <c r="U63" i="3" s="1"/>
  <c r="W62" i="3"/>
  <c r="J62" i="3"/>
  <c r="K62" i="3" s="1"/>
  <c r="I62" i="3"/>
  <c r="I61" i="3"/>
  <c r="J61" i="3" s="1"/>
  <c r="I60" i="3"/>
  <c r="J60" i="3" s="1"/>
  <c r="I59" i="3"/>
  <c r="J59" i="3" s="1"/>
  <c r="I58" i="3"/>
  <c r="J58" i="3" s="1"/>
  <c r="I57" i="3"/>
  <c r="J57" i="3" s="1"/>
  <c r="J56" i="3"/>
  <c r="I56" i="3"/>
  <c r="I55" i="3"/>
  <c r="J55" i="3" s="1"/>
  <c r="J54" i="3"/>
  <c r="I54" i="3"/>
  <c r="I53" i="3"/>
  <c r="J53" i="3" s="1"/>
  <c r="I52" i="3"/>
  <c r="J52" i="3" s="1"/>
  <c r="I51" i="3"/>
  <c r="J51" i="3" s="1"/>
  <c r="I50" i="3"/>
  <c r="J50" i="3" s="1"/>
  <c r="I49" i="3"/>
  <c r="J49" i="3" s="1"/>
  <c r="J48" i="3"/>
  <c r="I48" i="3"/>
  <c r="I47" i="3"/>
  <c r="J47" i="3" s="1"/>
  <c r="J46" i="3"/>
  <c r="I46" i="3"/>
  <c r="I45" i="3"/>
  <c r="J45" i="3" s="1"/>
  <c r="I44" i="3"/>
  <c r="J44" i="3" s="1"/>
  <c r="I43" i="3"/>
  <c r="J43" i="3" s="1"/>
  <c r="I42" i="3"/>
  <c r="J42" i="3" s="1"/>
  <c r="I41" i="3"/>
  <c r="J41" i="3" s="1"/>
  <c r="J40" i="3"/>
  <c r="I40" i="3"/>
  <c r="I39" i="3"/>
  <c r="J39" i="3" s="1"/>
  <c r="J38" i="3"/>
  <c r="I38" i="3"/>
  <c r="I37" i="3"/>
  <c r="J37" i="3" s="1"/>
  <c r="I36" i="3"/>
  <c r="J36" i="3" s="1"/>
  <c r="I35" i="3"/>
  <c r="J35" i="3" s="1"/>
  <c r="I34" i="3"/>
  <c r="J34" i="3" s="1"/>
  <c r="I33" i="3"/>
  <c r="J33" i="3" s="1"/>
  <c r="J32" i="3"/>
  <c r="I32" i="3"/>
  <c r="I31" i="3"/>
  <c r="J31" i="3" s="1"/>
  <c r="J30" i="3"/>
  <c r="I30" i="3"/>
  <c r="I29" i="3"/>
  <c r="J29" i="3" s="1"/>
  <c r="I28" i="3"/>
  <c r="J28" i="3" s="1"/>
  <c r="I27" i="3"/>
  <c r="J27" i="3" s="1"/>
  <c r="I26" i="3"/>
  <c r="J26" i="3" s="1"/>
  <c r="I25" i="3"/>
  <c r="J25" i="3" s="1"/>
  <c r="J24" i="3"/>
  <c r="I24" i="3"/>
  <c r="I23" i="3"/>
  <c r="J23" i="3" s="1"/>
  <c r="J22" i="3"/>
  <c r="I22" i="3"/>
  <c r="I21" i="3"/>
  <c r="J21" i="3" s="1"/>
  <c r="I20" i="3"/>
  <c r="J20" i="3" s="1"/>
  <c r="I19" i="3"/>
  <c r="J19" i="3" s="1"/>
  <c r="I18" i="3"/>
  <c r="J18" i="3" s="1"/>
  <c r="I17" i="3"/>
  <c r="J17" i="3" s="1"/>
  <c r="J16" i="3"/>
  <c r="I16" i="3"/>
  <c r="I15" i="3"/>
  <c r="J15" i="3" s="1"/>
  <c r="J14" i="3"/>
  <c r="I14" i="3"/>
  <c r="I13" i="3"/>
  <c r="J13" i="3" s="1"/>
  <c r="I12" i="3"/>
  <c r="J12" i="3" s="1"/>
  <c r="I11" i="3"/>
  <c r="J11" i="3" s="1"/>
  <c r="I10" i="3"/>
  <c r="J10" i="3" s="1"/>
  <c r="I9" i="3"/>
  <c r="J9" i="3" s="1"/>
  <c r="I8" i="3"/>
  <c r="J8" i="3" s="1"/>
  <c r="Z7" i="3"/>
  <c r="I7" i="3"/>
  <c r="O22" i="2"/>
  <c r="S4" i="2"/>
  <c r="AA84" i="1"/>
  <c r="V105" i="1" s="1"/>
  <c r="U84" i="1"/>
  <c r="T84" i="1"/>
  <c r="P84" i="1"/>
  <c r="O84" i="1"/>
  <c r="Q84" i="1" s="1"/>
  <c r="K84" i="1"/>
  <c r="J84" i="1"/>
  <c r="L84" i="1" s="1"/>
  <c r="U80" i="1"/>
  <c r="T80" i="1"/>
  <c r="V80" i="1" s="1"/>
  <c r="F13" i="2" s="1"/>
  <c r="P80" i="1"/>
  <c r="O80" i="1"/>
  <c r="Q80" i="1" s="1"/>
  <c r="K80" i="1"/>
  <c r="J80" i="1"/>
  <c r="L80" i="1" s="1"/>
  <c r="AA76" i="1"/>
  <c r="V101" i="1" s="1"/>
  <c r="U76" i="1"/>
  <c r="T76" i="1"/>
  <c r="P76" i="1"/>
  <c r="O76" i="1"/>
  <c r="Q76" i="1" s="1"/>
  <c r="K76" i="1"/>
  <c r="J76" i="1"/>
  <c r="L76" i="1" s="1"/>
  <c r="U72" i="1"/>
  <c r="T72" i="1"/>
  <c r="V72" i="1" s="1"/>
  <c r="F9" i="2" s="1"/>
  <c r="P72" i="1"/>
  <c r="O72" i="1"/>
  <c r="Q72" i="1" s="1"/>
  <c r="K72" i="1"/>
  <c r="J72" i="1"/>
  <c r="L72" i="1" s="1"/>
  <c r="AA68" i="1"/>
  <c r="V97" i="1" s="1"/>
  <c r="U68" i="1"/>
  <c r="T68" i="1"/>
  <c r="P68" i="1"/>
  <c r="O68" i="1"/>
  <c r="Q68" i="1" s="1"/>
  <c r="K68" i="1"/>
  <c r="J68" i="1"/>
  <c r="L68" i="1" s="1"/>
  <c r="U64" i="1"/>
  <c r="T64" i="1"/>
  <c r="V64" i="1" s="1"/>
  <c r="X95" i="1" s="1"/>
  <c r="P64" i="1"/>
  <c r="J64" i="1"/>
  <c r="L64" i="1" s="1"/>
  <c r="L56" i="1"/>
  <c r="H56" i="1"/>
  <c r="L55" i="1"/>
  <c r="H55" i="1"/>
  <c r="L54" i="1"/>
  <c r="H54" i="1"/>
  <c r="L53" i="1"/>
  <c r="N53" i="1" s="1"/>
  <c r="H53" i="1"/>
  <c r="L52" i="1"/>
  <c r="N51" i="1" s="1"/>
  <c r="H52" i="1"/>
  <c r="L51" i="1"/>
  <c r="H51" i="1"/>
  <c r="L50" i="1"/>
  <c r="N49" i="1" s="1"/>
  <c r="H50" i="1"/>
  <c r="L49" i="1"/>
  <c r="H49" i="1"/>
  <c r="L48" i="1"/>
  <c r="H48" i="1"/>
  <c r="L47" i="1"/>
  <c r="N47" i="1" s="1"/>
  <c r="H47" i="1"/>
  <c r="M47" i="1" s="1"/>
  <c r="L46" i="1"/>
  <c r="N45" i="1" s="1"/>
  <c r="H46" i="1"/>
  <c r="L45" i="1"/>
  <c r="H45" i="1"/>
  <c r="M45" i="1" s="1"/>
  <c r="L44" i="1"/>
  <c r="H44" i="1"/>
  <c r="L43" i="1"/>
  <c r="N43" i="1" s="1"/>
  <c r="H43" i="1"/>
  <c r="M43" i="1" s="1"/>
  <c r="L42" i="1"/>
  <c r="H42" i="1"/>
  <c r="L41" i="1"/>
  <c r="N41" i="1" s="1"/>
  <c r="H41" i="1"/>
  <c r="M41" i="1" s="1"/>
  <c r="L40" i="1"/>
  <c r="H40" i="1"/>
  <c r="L39" i="1"/>
  <c r="N39" i="1" s="1"/>
  <c r="H39" i="1"/>
  <c r="M39" i="1" s="1"/>
  <c r="L38" i="1"/>
  <c r="H38" i="1"/>
  <c r="L37" i="1"/>
  <c r="N37" i="1" s="1"/>
  <c r="H37" i="1"/>
  <c r="M37" i="1" s="1"/>
  <c r="L36" i="1"/>
  <c r="H36" i="1"/>
  <c r="L35" i="1"/>
  <c r="H35" i="1"/>
  <c r="M35" i="1" s="1"/>
  <c r="L34" i="1"/>
  <c r="H34" i="1"/>
  <c r="L33" i="1"/>
  <c r="H33" i="1"/>
  <c r="M33" i="1" s="1"/>
  <c r="D28" i="1"/>
  <c r="L27" i="1"/>
  <c r="H27" i="1"/>
  <c r="L26" i="1"/>
  <c r="N26" i="1" s="1"/>
  <c r="H26" i="1"/>
  <c r="L25" i="1"/>
  <c r="H25" i="1"/>
  <c r="L24" i="1"/>
  <c r="N24" i="1" s="1"/>
  <c r="H24" i="1"/>
  <c r="L23" i="1"/>
  <c r="H23" i="1"/>
  <c r="L22" i="1"/>
  <c r="N22" i="1" s="1"/>
  <c r="H22" i="1"/>
  <c r="L21" i="1"/>
  <c r="H21" i="1"/>
  <c r="L20" i="1"/>
  <c r="N20" i="1" s="1"/>
  <c r="H20" i="1"/>
  <c r="M20" i="1" s="1"/>
  <c r="L19" i="1"/>
  <c r="H19" i="1"/>
  <c r="L18" i="1"/>
  <c r="N18" i="1" s="1"/>
  <c r="H18" i="1"/>
  <c r="L17" i="1"/>
  <c r="H17" i="1"/>
  <c r="L16" i="1"/>
  <c r="H16" i="1"/>
  <c r="L15" i="1"/>
  <c r="H15" i="1"/>
  <c r="L14" i="1"/>
  <c r="H14" i="1"/>
  <c r="L13" i="1"/>
  <c r="H13" i="1"/>
  <c r="L12" i="1"/>
  <c r="N12" i="1" s="1"/>
  <c r="H12" i="1"/>
  <c r="L11" i="1"/>
  <c r="H11" i="1"/>
  <c r="L10" i="1"/>
  <c r="H10" i="1"/>
  <c r="L9" i="1"/>
  <c r="H9" i="1"/>
  <c r="L8" i="1"/>
  <c r="H8" i="1"/>
  <c r="L7" i="1"/>
  <c r="H7" i="1"/>
  <c r="L6" i="1"/>
  <c r="H6" i="1"/>
  <c r="L5" i="1"/>
  <c r="H5" i="1"/>
  <c r="K7" i="3" s="1"/>
  <c r="L4" i="1"/>
  <c r="H4" i="1"/>
  <c r="S139" i="3" l="1"/>
  <c r="U139" i="3" s="1"/>
  <c r="R139" i="3"/>
  <c r="T139" i="3" s="1"/>
  <c r="X132" i="4"/>
  <c r="Y132" i="4"/>
  <c r="T72" i="3"/>
  <c r="V72" i="3" s="1"/>
  <c r="S72" i="3"/>
  <c r="U72" i="3" s="1"/>
  <c r="Z72" i="3" s="1"/>
  <c r="S131" i="3"/>
  <c r="U131" i="3" s="1"/>
  <c r="R131" i="3"/>
  <c r="T131" i="3" s="1"/>
  <c r="Y131" i="3" s="1"/>
  <c r="BB67" i="4"/>
  <c r="BC67" i="4"/>
  <c r="X108" i="4"/>
  <c r="Y108" i="4"/>
  <c r="X124" i="4"/>
  <c r="Y124" i="4"/>
  <c r="X140" i="4"/>
  <c r="Y140" i="4"/>
  <c r="T64" i="3"/>
  <c r="V64" i="3" s="1"/>
  <c r="S64" i="3"/>
  <c r="U64" i="3" s="1"/>
  <c r="Z64" i="3" s="1"/>
  <c r="X148" i="4"/>
  <c r="Y148" i="4"/>
  <c r="X116" i="4"/>
  <c r="AC116" i="4" s="1"/>
  <c r="Y116" i="4"/>
  <c r="S135" i="3"/>
  <c r="U135" i="3" s="1"/>
  <c r="R135" i="3"/>
  <c r="T135" i="3" s="1"/>
  <c r="Y135" i="3" s="1"/>
  <c r="X112" i="4"/>
  <c r="Y112" i="4"/>
  <c r="X144" i="4"/>
  <c r="Y144" i="4"/>
  <c r="T68" i="3"/>
  <c r="V68" i="3" s="1"/>
  <c r="S68" i="3"/>
  <c r="U68" i="3" s="1"/>
  <c r="Z68" i="3" s="1"/>
  <c r="BB64" i="4"/>
  <c r="BC64" i="4"/>
  <c r="BC87" i="4"/>
  <c r="N35" i="1"/>
  <c r="AO46" i="4"/>
  <c r="AO52" i="4"/>
  <c r="M53" i="1"/>
  <c r="BC85" i="4"/>
  <c r="AC56" i="4"/>
  <c r="AO57" i="4"/>
  <c r="M49" i="1"/>
  <c r="O49" i="1" s="1"/>
  <c r="P51" i="1" s="1"/>
  <c r="M55" i="1"/>
  <c r="O53" i="1" s="1"/>
  <c r="M22" i="1"/>
  <c r="N55" i="1"/>
  <c r="AO48" i="4"/>
  <c r="Z93" i="4"/>
  <c r="Y136" i="4"/>
  <c r="AC136" i="4" s="1"/>
  <c r="AC37" i="4"/>
  <c r="Y128" i="4"/>
  <c r="M51" i="1"/>
  <c r="M12" i="1"/>
  <c r="M18" i="1"/>
  <c r="N33" i="1"/>
  <c r="O33" i="1" s="1"/>
  <c r="O41" i="1"/>
  <c r="P41" i="1" s="1"/>
  <c r="Y37" i="4"/>
  <c r="AC39" i="4"/>
  <c r="BC91" i="4"/>
  <c r="Y104" i="4"/>
  <c r="AC104" i="4" s="1"/>
  <c r="Y152" i="4"/>
  <c r="AC152" i="4" s="1"/>
  <c r="Z68" i="1"/>
  <c r="AA72" i="1"/>
  <c r="V99" i="1" s="1"/>
  <c r="Z84" i="1"/>
  <c r="Z72" i="1"/>
  <c r="Z76" i="1"/>
  <c r="AB76" i="1" s="1"/>
  <c r="W101" i="1" s="1"/>
  <c r="M14" i="1"/>
  <c r="O12" i="1" s="1"/>
  <c r="C8" i="2" s="1"/>
  <c r="M26" i="1"/>
  <c r="M24" i="1"/>
  <c r="N16" i="1"/>
  <c r="M16" i="1"/>
  <c r="O16" i="1" s="1"/>
  <c r="C10" i="2" s="1"/>
  <c r="N14" i="1"/>
  <c r="N8" i="1"/>
  <c r="N10" i="1"/>
  <c r="M10" i="1"/>
  <c r="M8" i="1"/>
  <c r="N6" i="1"/>
  <c r="N4" i="1"/>
  <c r="M6" i="1"/>
  <c r="M4" i="1"/>
  <c r="P43" i="1"/>
  <c r="P49" i="1"/>
  <c r="Q51" i="1"/>
  <c r="O20" i="1"/>
  <c r="C12" i="2" s="1"/>
  <c r="O24" i="1"/>
  <c r="C14" i="2" s="1"/>
  <c r="K129" i="3"/>
  <c r="K127" i="3"/>
  <c r="K125" i="3"/>
  <c r="K123" i="3"/>
  <c r="K121" i="3"/>
  <c r="K119" i="3"/>
  <c r="K117" i="3"/>
  <c r="K115" i="3"/>
  <c r="K113" i="3"/>
  <c r="K111" i="3"/>
  <c r="K109" i="3"/>
  <c r="K107" i="3"/>
  <c r="K105" i="3"/>
  <c r="K103" i="3"/>
  <c r="K101" i="3"/>
  <c r="K99" i="3"/>
  <c r="K97" i="3"/>
  <c r="K95" i="3"/>
  <c r="K93" i="3"/>
  <c r="K91" i="3"/>
  <c r="K89" i="3"/>
  <c r="K87" i="3"/>
  <c r="K85" i="3"/>
  <c r="K83" i="3"/>
  <c r="K81" i="3"/>
  <c r="K79" i="3"/>
  <c r="K77" i="3"/>
  <c r="K60" i="3"/>
  <c r="K58" i="3"/>
  <c r="K56" i="3"/>
  <c r="K54" i="3"/>
  <c r="K52" i="3"/>
  <c r="K50" i="3"/>
  <c r="K48" i="3"/>
  <c r="K46" i="3"/>
  <c r="K44" i="3"/>
  <c r="K42" i="3"/>
  <c r="K40" i="3"/>
  <c r="K38" i="3"/>
  <c r="K36" i="3"/>
  <c r="K34" i="3"/>
  <c r="K32" i="3"/>
  <c r="K30" i="3"/>
  <c r="K28" i="3"/>
  <c r="K26" i="3"/>
  <c r="K24" i="3"/>
  <c r="K22" i="3"/>
  <c r="K20" i="3"/>
  <c r="K18" i="3"/>
  <c r="K16" i="3"/>
  <c r="K14" i="3"/>
  <c r="K12" i="3"/>
  <c r="K10" i="3"/>
  <c r="K61" i="3"/>
  <c r="K59" i="3"/>
  <c r="K57" i="3"/>
  <c r="K55" i="3"/>
  <c r="K53" i="3"/>
  <c r="K51" i="3"/>
  <c r="K49" i="3"/>
  <c r="K47" i="3"/>
  <c r="K45" i="3"/>
  <c r="K43" i="3"/>
  <c r="K41" i="3"/>
  <c r="K39" i="3"/>
  <c r="K37" i="3"/>
  <c r="K35" i="3"/>
  <c r="K33" i="3"/>
  <c r="K31" i="3"/>
  <c r="K29" i="3"/>
  <c r="K27" i="3"/>
  <c r="K25" i="3"/>
  <c r="K23" i="3"/>
  <c r="K21" i="3"/>
  <c r="K19" i="3"/>
  <c r="K17" i="3"/>
  <c r="K15" i="3"/>
  <c r="K13" i="3"/>
  <c r="K11" i="3"/>
  <c r="K9" i="3"/>
  <c r="K8" i="3"/>
  <c r="O45" i="1"/>
  <c r="W64" i="1"/>
  <c r="U97" i="1"/>
  <c r="AB68" i="1"/>
  <c r="W97" i="1" s="1"/>
  <c r="W72" i="1"/>
  <c r="W80" i="1"/>
  <c r="U105" i="1"/>
  <c r="AB84" i="1"/>
  <c r="W105" i="1" s="1"/>
  <c r="X99" i="1"/>
  <c r="X103" i="1"/>
  <c r="O37" i="1"/>
  <c r="Z64" i="1"/>
  <c r="V68" i="1"/>
  <c r="V76" i="1"/>
  <c r="Z80" i="1"/>
  <c r="V84" i="1"/>
  <c r="X105" i="1" s="1"/>
  <c r="F17" i="2"/>
  <c r="S65" i="3"/>
  <c r="U65" i="3" s="1"/>
  <c r="T65" i="3"/>
  <c r="V65" i="3" s="1"/>
  <c r="Z67" i="3"/>
  <c r="S69" i="3"/>
  <c r="U69" i="3" s="1"/>
  <c r="T69" i="3"/>
  <c r="V69" i="3" s="1"/>
  <c r="K80" i="3"/>
  <c r="K84" i="3"/>
  <c r="K88" i="3"/>
  <c r="K92" i="3"/>
  <c r="K96" i="3"/>
  <c r="K100" i="3"/>
  <c r="K104" i="3"/>
  <c r="K108" i="3"/>
  <c r="K112" i="3"/>
  <c r="K116" i="3"/>
  <c r="K120" i="3"/>
  <c r="K124" i="3"/>
  <c r="K128" i="3"/>
  <c r="R132" i="3"/>
  <c r="T132" i="3" s="1"/>
  <c r="S132" i="3"/>
  <c r="U132" i="3" s="1"/>
  <c r="R136" i="3"/>
  <c r="T136" i="3" s="1"/>
  <c r="Y136" i="3" s="1"/>
  <c r="S136" i="3"/>
  <c r="U136" i="3" s="1"/>
  <c r="R140" i="3"/>
  <c r="T140" i="3" s="1"/>
  <c r="S140" i="3"/>
  <c r="U140" i="3" s="1"/>
  <c r="T62" i="3"/>
  <c r="V62" i="3" s="1"/>
  <c r="S62" i="3"/>
  <c r="U62" i="3" s="1"/>
  <c r="T63" i="3"/>
  <c r="V63" i="3" s="1"/>
  <c r="Z63" i="3" s="1"/>
  <c r="T66" i="3"/>
  <c r="V66" i="3" s="1"/>
  <c r="S66" i="3"/>
  <c r="U66" i="3" s="1"/>
  <c r="Z66" i="3" s="1"/>
  <c r="T67" i="3"/>
  <c r="V67" i="3" s="1"/>
  <c r="T70" i="3"/>
  <c r="V70" i="3" s="1"/>
  <c r="S70" i="3"/>
  <c r="U70" i="3" s="1"/>
  <c r="T71" i="3"/>
  <c r="V71" i="3" s="1"/>
  <c r="Z71" i="3" s="1"/>
  <c r="K78" i="3"/>
  <c r="K82" i="3"/>
  <c r="K86" i="3"/>
  <c r="K90" i="3"/>
  <c r="K94" i="3"/>
  <c r="K98" i="3"/>
  <c r="K102" i="3"/>
  <c r="K106" i="3"/>
  <c r="K110" i="3"/>
  <c r="K114" i="3"/>
  <c r="K118" i="3"/>
  <c r="K122" i="3"/>
  <c r="K126" i="3"/>
  <c r="K130" i="3"/>
  <c r="S133" i="3"/>
  <c r="U133" i="3" s="1"/>
  <c r="R133" i="3"/>
  <c r="T133" i="3" s="1"/>
  <c r="S134" i="3"/>
  <c r="U134" i="3" s="1"/>
  <c r="Y134" i="3" s="1"/>
  <c r="S137" i="3"/>
  <c r="U137" i="3" s="1"/>
  <c r="R137" i="3"/>
  <c r="T137" i="3" s="1"/>
  <c r="S138" i="3"/>
  <c r="U138" i="3" s="1"/>
  <c r="Y138" i="3" s="1"/>
  <c r="R141" i="3"/>
  <c r="T141" i="3" s="1"/>
  <c r="Y141" i="3" s="1"/>
  <c r="X38" i="4"/>
  <c r="AC38" i="4" s="1"/>
  <c r="BB38" i="4"/>
  <c r="BC39" i="4"/>
  <c r="Y41" i="4"/>
  <c r="AC41" i="4" s="1"/>
  <c r="X42" i="4"/>
  <c r="AC42" i="4" s="1"/>
  <c r="BC42" i="4"/>
  <c r="BB42" i="4"/>
  <c r="BB43" i="4"/>
  <c r="BC43" i="4"/>
  <c r="BB45" i="4"/>
  <c r="BC45" i="4"/>
  <c r="X40" i="4"/>
  <c r="AC40" i="4" s="1"/>
  <c r="BB40" i="4"/>
  <c r="X43" i="4"/>
  <c r="Y43" i="4"/>
  <c r="X45" i="4"/>
  <c r="Y45" i="4"/>
  <c r="X47" i="4"/>
  <c r="Y47" i="4"/>
  <c r="X49" i="4"/>
  <c r="Y49" i="4"/>
  <c r="X51" i="4"/>
  <c r="Y51" i="4"/>
  <c r="X53" i="4"/>
  <c r="Y53" i="4"/>
  <c r="X44" i="4"/>
  <c r="AC44" i="4" s="1"/>
  <c r="BB44" i="4"/>
  <c r="X46" i="4"/>
  <c r="AC46" i="4" s="1"/>
  <c r="X48" i="4"/>
  <c r="AC48" i="4" s="1"/>
  <c r="X50" i="4"/>
  <c r="AC50" i="4" s="1"/>
  <c r="X52" i="4"/>
  <c r="AC52" i="4" s="1"/>
  <c r="X57" i="4"/>
  <c r="AC57" i="4" s="1"/>
  <c r="K100" i="4"/>
  <c r="K99" i="4"/>
  <c r="K98" i="4"/>
  <c r="K97" i="4"/>
  <c r="K96" i="4"/>
  <c r="K95" i="4"/>
  <c r="K94" i="4"/>
  <c r="K93" i="4"/>
  <c r="AO58" i="4"/>
  <c r="X58" i="4"/>
  <c r="AO56" i="4"/>
  <c r="AO54" i="4"/>
  <c r="Z154" i="4"/>
  <c r="Z152" i="4"/>
  <c r="Z150" i="4"/>
  <c r="Z148" i="4"/>
  <c r="Z146" i="4"/>
  <c r="Z144" i="4"/>
  <c r="Z142" i="4"/>
  <c r="Z140" i="4"/>
  <c r="Z138" i="4"/>
  <c r="Z136" i="4"/>
  <c r="Z134" i="4"/>
  <c r="Z132" i="4"/>
  <c r="Z130" i="4"/>
  <c r="Z128" i="4"/>
  <c r="Z126" i="4"/>
  <c r="Z124" i="4"/>
  <c r="Z122" i="4"/>
  <c r="Z120" i="4"/>
  <c r="Z118" i="4"/>
  <c r="Z116" i="4"/>
  <c r="Z114" i="4"/>
  <c r="Z112" i="4"/>
  <c r="Z110" i="4"/>
  <c r="Z108" i="4"/>
  <c r="Z106" i="4"/>
  <c r="Z104" i="4"/>
  <c r="BD101" i="4"/>
  <c r="Z100" i="4"/>
  <c r="Z99" i="4"/>
  <c r="Z98" i="4"/>
  <c r="Z97" i="4"/>
  <c r="Z96" i="4"/>
  <c r="Z95" i="4"/>
  <c r="Z94" i="4"/>
  <c r="BD91" i="4"/>
  <c r="BD89" i="4"/>
  <c r="BD87" i="4"/>
  <c r="BD85" i="4"/>
  <c r="BD83" i="4"/>
  <c r="Z82" i="4"/>
  <c r="Z81" i="4"/>
  <c r="Z80" i="4"/>
  <c r="Z79" i="4"/>
  <c r="Z78" i="4"/>
  <c r="Z77" i="4"/>
  <c r="Z76" i="4"/>
  <c r="Z75" i="4"/>
  <c r="Z74" i="4"/>
  <c r="Z73" i="4"/>
  <c r="Z72" i="4"/>
  <c r="Z71" i="4"/>
  <c r="Z70" i="4"/>
  <c r="Z153" i="4"/>
  <c r="Z149" i="4"/>
  <c r="Z145" i="4"/>
  <c r="Z141" i="4"/>
  <c r="Z137" i="4"/>
  <c r="Z133" i="4"/>
  <c r="Z129" i="4"/>
  <c r="Z125" i="4"/>
  <c r="Z121" i="4"/>
  <c r="Z117" i="4"/>
  <c r="Z113" i="4"/>
  <c r="Z109" i="4"/>
  <c r="Z105" i="4"/>
  <c r="BD99" i="4"/>
  <c r="BD97" i="4"/>
  <c r="BD95" i="4"/>
  <c r="BD93" i="4"/>
  <c r="BD90" i="4"/>
  <c r="BD88" i="4"/>
  <c r="BD86" i="4"/>
  <c r="BD84" i="4"/>
  <c r="BD82" i="4"/>
  <c r="BD80" i="4"/>
  <c r="BD78" i="4"/>
  <c r="BD76" i="4"/>
  <c r="BD74" i="4"/>
  <c r="BD72" i="4"/>
  <c r="BD70" i="4"/>
  <c r="BD69" i="4"/>
  <c r="BD68" i="4"/>
  <c r="BD67" i="4"/>
  <c r="BD66" i="4"/>
  <c r="BD65" i="4"/>
  <c r="BD64" i="4"/>
  <c r="BD63" i="4"/>
  <c r="BD62" i="4"/>
  <c r="Z61" i="4"/>
  <c r="Z60" i="4"/>
  <c r="BD58" i="4"/>
  <c r="BD56" i="4"/>
  <c r="BD54" i="4"/>
  <c r="Z59" i="4"/>
  <c r="BD59" i="4"/>
  <c r="Z62" i="4"/>
  <c r="Z63" i="4"/>
  <c r="Z64" i="4"/>
  <c r="Z65" i="4"/>
  <c r="Z66" i="4"/>
  <c r="Z67" i="4"/>
  <c r="Z68" i="4"/>
  <c r="Z69" i="4"/>
  <c r="BB70" i="4"/>
  <c r="BB72" i="4"/>
  <c r="BB74" i="4"/>
  <c r="BB76" i="4"/>
  <c r="BB78" i="4"/>
  <c r="BB80" i="4"/>
  <c r="BB82" i="4"/>
  <c r="BB86" i="4"/>
  <c r="BB90" i="4"/>
  <c r="BD92" i="4"/>
  <c r="BD94" i="4"/>
  <c r="BD96" i="4"/>
  <c r="BD98" i="4"/>
  <c r="BD100" i="4"/>
  <c r="BB101" i="4"/>
  <c r="BC101" i="4"/>
  <c r="X106" i="4"/>
  <c r="Y106" i="4"/>
  <c r="Z107" i="4"/>
  <c r="X110" i="4"/>
  <c r="Y110" i="4"/>
  <c r="Z111" i="4"/>
  <c r="X114" i="4"/>
  <c r="Y114" i="4"/>
  <c r="Z115" i="4"/>
  <c r="X118" i="4"/>
  <c r="Y118" i="4"/>
  <c r="Z119" i="4"/>
  <c r="X122" i="4"/>
  <c r="Y122" i="4"/>
  <c r="Z123" i="4"/>
  <c r="X126" i="4"/>
  <c r="Y126" i="4"/>
  <c r="Z127" i="4"/>
  <c r="X130" i="4"/>
  <c r="Y130" i="4"/>
  <c r="Z131" i="4"/>
  <c r="X134" i="4"/>
  <c r="Y134" i="4"/>
  <c r="Z135" i="4"/>
  <c r="X138" i="4"/>
  <c r="Y138" i="4"/>
  <c r="Z139" i="4"/>
  <c r="X142" i="4"/>
  <c r="Y142" i="4"/>
  <c r="Z143" i="4"/>
  <c r="X146" i="4"/>
  <c r="Y146" i="4"/>
  <c r="Z147" i="4"/>
  <c r="X150" i="4"/>
  <c r="Y150" i="4"/>
  <c r="Z151" i="4"/>
  <c r="X154" i="4"/>
  <c r="Y154" i="4"/>
  <c r="Z155" i="4"/>
  <c r="AO47" i="4"/>
  <c r="BD47" i="4"/>
  <c r="AO49" i="4"/>
  <c r="BD49" i="4"/>
  <c r="AO51" i="4"/>
  <c r="BD51" i="4"/>
  <c r="AO53" i="4"/>
  <c r="BD53" i="4"/>
  <c r="Y54" i="4"/>
  <c r="AC54" i="4" s="1"/>
  <c r="X55" i="4"/>
  <c r="AC55" i="4" s="1"/>
  <c r="AO55" i="4"/>
  <c r="BD57" i="4"/>
  <c r="Y58" i="4"/>
  <c r="AO59" i="4"/>
  <c r="BD71" i="4"/>
  <c r="BD73" i="4"/>
  <c r="BD75" i="4"/>
  <c r="BD77" i="4"/>
  <c r="BD79" i="4"/>
  <c r="BD81" i="4"/>
  <c r="BB84" i="4"/>
  <c r="BB88" i="4"/>
  <c r="BB93" i="4"/>
  <c r="BB95" i="4"/>
  <c r="BB97" i="4"/>
  <c r="BB99" i="4"/>
  <c r="X105" i="4"/>
  <c r="AC105" i="4" s="1"/>
  <c r="AC108" i="4"/>
  <c r="X109" i="4"/>
  <c r="AC109" i="4" s="1"/>
  <c r="AC112" i="4"/>
  <c r="X113" i="4"/>
  <c r="AC113" i="4" s="1"/>
  <c r="X117" i="4"/>
  <c r="AC117" i="4" s="1"/>
  <c r="AC120" i="4"/>
  <c r="X121" i="4"/>
  <c r="AC121" i="4" s="1"/>
  <c r="AC124" i="4"/>
  <c r="X125" i="4"/>
  <c r="AC125" i="4" s="1"/>
  <c r="AC128" i="4"/>
  <c r="X129" i="4"/>
  <c r="AC129" i="4" s="1"/>
  <c r="AC132" i="4"/>
  <c r="X133" i="4"/>
  <c r="AC133" i="4" s="1"/>
  <c r="X137" i="4"/>
  <c r="AC137" i="4" s="1"/>
  <c r="AC140" i="4"/>
  <c r="X141" i="4"/>
  <c r="AC141" i="4" s="1"/>
  <c r="AC144" i="4"/>
  <c r="X145" i="4"/>
  <c r="AC145" i="4" s="1"/>
  <c r="AC148" i="4"/>
  <c r="X149" i="4"/>
  <c r="AC149" i="4" s="1"/>
  <c r="X153" i="4"/>
  <c r="AC153" i="4" s="1"/>
  <c r="BB71" i="4"/>
  <c r="BB73" i="4"/>
  <c r="BB75" i="4"/>
  <c r="BB77" i="4"/>
  <c r="BB79" i="4"/>
  <c r="BB81" i="4"/>
  <c r="BB92" i="4"/>
  <c r="BB94" i="4"/>
  <c r="BB96" i="4"/>
  <c r="BB98" i="4"/>
  <c r="BB100" i="4"/>
  <c r="X103" i="4"/>
  <c r="AC103" i="4" s="1"/>
  <c r="X107" i="4"/>
  <c r="AC107" i="4" s="1"/>
  <c r="X111" i="4"/>
  <c r="AC111" i="4" s="1"/>
  <c r="X115" i="4"/>
  <c r="AC115" i="4" s="1"/>
  <c r="X119" i="4"/>
  <c r="AC119" i="4" s="1"/>
  <c r="X123" i="4"/>
  <c r="AC123" i="4" s="1"/>
  <c r="X127" i="4"/>
  <c r="AC127" i="4" s="1"/>
  <c r="X131" i="4"/>
  <c r="AC131" i="4" s="1"/>
  <c r="X135" i="4"/>
  <c r="AC135" i="4" s="1"/>
  <c r="X139" i="4"/>
  <c r="AC139" i="4" s="1"/>
  <c r="X143" i="4"/>
  <c r="AC143" i="4" s="1"/>
  <c r="X147" i="4"/>
  <c r="AC147" i="4" s="1"/>
  <c r="X151" i="4"/>
  <c r="AC151" i="4" s="1"/>
  <c r="X155" i="4"/>
  <c r="AC155" i="4" s="1"/>
  <c r="Q33" i="1" l="1"/>
  <c r="P35" i="1"/>
  <c r="P33" i="1"/>
  <c r="Q35" i="1"/>
  <c r="AC114" i="4"/>
  <c r="AC130" i="4"/>
  <c r="Q49" i="1"/>
  <c r="AC154" i="4"/>
  <c r="AC106" i="4"/>
  <c r="Y133" i="3"/>
  <c r="Z65" i="3"/>
  <c r="Q41" i="1"/>
  <c r="AC146" i="4"/>
  <c r="AC138" i="4"/>
  <c r="AC122" i="4"/>
  <c r="U101" i="1"/>
  <c r="Q43" i="1"/>
  <c r="Y139" i="3"/>
  <c r="AA80" i="1"/>
  <c r="V103" i="1" s="1"/>
  <c r="AA64" i="1"/>
  <c r="V95" i="1" s="1"/>
  <c r="V109" i="1" s="1"/>
  <c r="V114" i="1" s="1"/>
  <c r="O4" i="1"/>
  <c r="C16" i="2" s="1"/>
  <c r="P26" i="1"/>
  <c r="P22" i="1"/>
  <c r="P20" i="1"/>
  <c r="P14" i="1"/>
  <c r="O8" i="1"/>
  <c r="C6" i="2" s="1"/>
  <c r="P18" i="1"/>
  <c r="P16" i="1"/>
  <c r="Q14" i="1"/>
  <c r="P12" i="1"/>
  <c r="X82" i="4"/>
  <c r="X81" i="4"/>
  <c r="X80" i="4"/>
  <c r="X79" i="4"/>
  <c r="X78" i="4"/>
  <c r="X77" i="4"/>
  <c r="X76" i="4"/>
  <c r="X75" i="4"/>
  <c r="X74" i="4"/>
  <c r="X73" i="4"/>
  <c r="X72" i="4"/>
  <c r="X71" i="4"/>
  <c r="X70" i="4"/>
  <c r="X61" i="4"/>
  <c r="X60" i="4"/>
  <c r="BB58" i="4"/>
  <c r="BB56" i="4"/>
  <c r="BB54" i="4"/>
  <c r="X69" i="4"/>
  <c r="X68" i="4"/>
  <c r="X67" i="4"/>
  <c r="X66" i="4"/>
  <c r="X65" i="4"/>
  <c r="X64" i="4"/>
  <c r="X63" i="4"/>
  <c r="X62" i="4"/>
  <c r="BB59" i="4"/>
  <c r="X59" i="4"/>
  <c r="BB55" i="4"/>
  <c r="BB53" i="4"/>
  <c r="BB51" i="4"/>
  <c r="BB49" i="4"/>
  <c r="BB47" i="4"/>
  <c r="AC58" i="4"/>
  <c r="BB57" i="4"/>
  <c r="BB52" i="4"/>
  <c r="BB50" i="4"/>
  <c r="BB48" i="4"/>
  <c r="BB46" i="4"/>
  <c r="X93" i="4"/>
  <c r="Y93" i="4"/>
  <c r="X95" i="4"/>
  <c r="Y95" i="4"/>
  <c r="X97" i="4"/>
  <c r="Y97" i="4"/>
  <c r="X99" i="4"/>
  <c r="Y99" i="4"/>
  <c r="Y81" i="4"/>
  <c r="Y79" i="4"/>
  <c r="Y77" i="4"/>
  <c r="Y75" i="4"/>
  <c r="Y73" i="4"/>
  <c r="Y71" i="4"/>
  <c r="Y69" i="4"/>
  <c r="Y68" i="4"/>
  <c r="Y67" i="4"/>
  <c r="Y66" i="4"/>
  <c r="Y65" i="4"/>
  <c r="Y64" i="4"/>
  <c r="Y63" i="4"/>
  <c r="Y62" i="4"/>
  <c r="BC59" i="4"/>
  <c r="Y59" i="4"/>
  <c r="BC57" i="4"/>
  <c r="BC55" i="4"/>
  <c r="Y82" i="4"/>
  <c r="Y80" i="4"/>
  <c r="Y78" i="4"/>
  <c r="Y76" i="4"/>
  <c r="Y74" i="4"/>
  <c r="Y72" i="4"/>
  <c r="Y70" i="4"/>
  <c r="Y61" i="4"/>
  <c r="BC56" i="4"/>
  <c r="BC52" i="4"/>
  <c r="BC50" i="4"/>
  <c r="BC48" i="4"/>
  <c r="BC46" i="4"/>
  <c r="Y60" i="4"/>
  <c r="BC58" i="4"/>
  <c r="BC54" i="4"/>
  <c r="BC53" i="4"/>
  <c r="BC51" i="4"/>
  <c r="BC49" i="4"/>
  <c r="BC47" i="4"/>
  <c r="AC150" i="4"/>
  <c r="AC142" i="4"/>
  <c r="AC134" i="4"/>
  <c r="AC126" i="4"/>
  <c r="AC118" i="4"/>
  <c r="AC110" i="4"/>
  <c r="X94" i="4"/>
  <c r="Y94" i="4"/>
  <c r="X96" i="4"/>
  <c r="Y96" i="4"/>
  <c r="X98" i="4"/>
  <c r="Y98" i="4"/>
  <c r="X100" i="4"/>
  <c r="Y100" i="4"/>
  <c r="AC53" i="4"/>
  <c r="AC51" i="4"/>
  <c r="AC49" i="4"/>
  <c r="AC47" i="4"/>
  <c r="AC45" i="4"/>
  <c r="AC43" i="4"/>
  <c r="Y137" i="3"/>
  <c r="R126" i="3"/>
  <c r="T126" i="3" s="1"/>
  <c r="S126" i="3"/>
  <c r="U126" i="3" s="1"/>
  <c r="R118" i="3"/>
  <c r="T118" i="3" s="1"/>
  <c r="S118" i="3"/>
  <c r="U118" i="3" s="1"/>
  <c r="R110" i="3"/>
  <c r="T110" i="3" s="1"/>
  <c r="S110" i="3"/>
  <c r="U110" i="3" s="1"/>
  <c r="R102" i="3"/>
  <c r="T102" i="3" s="1"/>
  <c r="S102" i="3"/>
  <c r="U102" i="3" s="1"/>
  <c r="R94" i="3"/>
  <c r="T94" i="3" s="1"/>
  <c r="S94" i="3"/>
  <c r="U94" i="3" s="1"/>
  <c r="R86" i="3"/>
  <c r="T86" i="3" s="1"/>
  <c r="S86" i="3"/>
  <c r="U86" i="3" s="1"/>
  <c r="R78" i="3"/>
  <c r="T78" i="3" s="1"/>
  <c r="S78" i="3"/>
  <c r="U78" i="3" s="1"/>
  <c r="Z70" i="3"/>
  <c r="Z62" i="3"/>
  <c r="Y140" i="3"/>
  <c r="Y132" i="3"/>
  <c r="R124" i="3"/>
  <c r="T124" i="3" s="1"/>
  <c r="S124" i="3"/>
  <c r="U124" i="3" s="1"/>
  <c r="R116" i="3"/>
  <c r="T116" i="3" s="1"/>
  <c r="S116" i="3"/>
  <c r="U116" i="3" s="1"/>
  <c r="R108" i="3"/>
  <c r="T108" i="3" s="1"/>
  <c r="S108" i="3"/>
  <c r="U108" i="3" s="1"/>
  <c r="R100" i="3"/>
  <c r="T100" i="3" s="1"/>
  <c r="S100" i="3"/>
  <c r="U100" i="3" s="1"/>
  <c r="R92" i="3"/>
  <c r="T92" i="3" s="1"/>
  <c r="S92" i="3"/>
  <c r="U92" i="3" s="1"/>
  <c r="R84" i="3"/>
  <c r="T84" i="3" s="1"/>
  <c r="S84" i="3"/>
  <c r="U84" i="3" s="1"/>
  <c r="Z69" i="3"/>
  <c r="U103" i="1"/>
  <c r="U99" i="1"/>
  <c r="AB72" i="1"/>
  <c r="W99" i="1" s="1"/>
  <c r="U95" i="1"/>
  <c r="U109" i="1" s="1"/>
  <c r="V113" i="1" s="1"/>
  <c r="Q39" i="1"/>
  <c r="Q37" i="1"/>
  <c r="P39" i="1"/>
  <c r="P37" i="1"/>
  <c r="Q47" i="1"/>
  <c r="Q45" i="1"/>
  <c r="P47" i="1"/>
  <c r="P45" i="1"/>
  <c r="S9" i="3"/>
  <c r="U9" i="3" s="1"/>
  <c r="T9" i="3"/>
  <c r="V9" i="3" s="1"/>
  <c r="S13" i="3"/>
  <c r="U13" i="3" s="1"/>
  <c r="T13" i="3"/>
  <c r="V13" i="3" s="1"/>
  <c r="S17" i="3"/>
  <c r="U17" i="3" s="1"/>
  <c r="T17" i="3"/>
  <c r="V17" i="3" s="1"/>
  <c r="S21" i="3"/>
  <c r="U21" i="3" s="1"/>
  <c r="T21" i="3"/>
  <c r="V21" i="3" s="1"/>
  <c r="S25" i="3"/>
  <c r="U25" i="3" s="1"/>
  <c r="T25" i="3"/>
  <c r="V25" i="3" s="1"/>
  <c r="S29" i="3"/>
  <c r="U29" i="3" s="1"/>
  <c r="T29" i="3"/>
  <c r="V29" i="3" s="1"/>
  <c r="S33" i="3"/>
  <c r="U33" i="3" s="1"/>
  <c r="T33" i="3"/>
  <c r="V33" i="3" s="1"/>
  <c r="S37" i="3"/>
  <c r="U37" i="3" s="1"/>
  <c r="T37" i="3"/>
  <c r="V37" i="3" s="1"/>
  <c r="S41" i="3"/>
  <c r="U41" i="3" s="1"/>
  <c r="T41" i="3"/>
  <c r="V41" i="3" s="1"/>
  <c r="S45" i="3"/>
  <c r="U45" i="3" s="1"/>
  <c r="T45" i="3"/>
  <c r="V45" i="3" s="1"/>
  <c r="S49" i="3"/>
  <c r="U49" i="3" s="1"/>
  <c r="T49" i="3"/>
  <c r="V49" i="3" s="1"/>
  <c r="S53" i="3"/>
  <c r="U53" i="3" s="1"/>
  <c r="T53" i="3"/>
  <c r="V53" i="3" s="1"/>
  <c r="S57" i="3"/>
  <c r="U57" i="3" s="1"/>
  <c r="T57" i="3"/>
  <c r="V57" i="3" s="1"/>
  <c r="S61" i="3"/>
  <c r="U61" i="3" s="1"/>
  <c r="T61" i="3"/>
  <c r="V61" i="3" s="1"/>
  <c r="T12" i="3"/>
  <c r="V12" i="3" s="1"/>
  <c r="S12" i="3"/>
  <c r="U12" i="3" s="1"/>
  <c r="T16" i="3"/>
  <c r="V16" i="3" s="1"/>
  <c r="S16" i="3"/>
  <c r="U16" i="3" s="1"/>
  <c r="T20" i="3"/>
  <c r="V20" i="3" s="1"/>
  <c r="S20" i="3"/>
  <c r="U20" i="3" s="1"/>
  <c r="T24" i="3"/>
  <c r="V24" i="3" s="1"/>
  <c r="S24" i="3"/>
  <c r="U24" i="3" s="1"/>
  <c r="T28" i="3"/>
  <c r="V28" i="3" s="1"/>
  <c r="S28" i="3"/>
  <c r="U28" i="3" s="1"/>
  <c r="T32" i="3"/>
  <c r="V32" i="3" s="1"/>
  <c r="S32" i="3"/>
  <c r="U32" i="3" s="1"/>
  <c r="T36" i="3"/>
  <c r="V36" i="3" s="1"/>
  <c r="S36" i="3"/>
  <c r="U36" i="3" s="1"/>
  <c r="T40" i="3"/>
  <c r="V40" i="3" s="1"/>
  <c r="S40" i="3"/>
  <c r="U40" i="3" s="1"/>
  <c r="T44" i="3"/>
  <c r="V44" i="3" s="1"/>
  <c r="S44" i="3"/>
  <c r="U44" i="3" s="1"/>
  <c r="T48" i="3"/>
  <c r="V48" i="3" s="1"/>
  <c r="S48" i="3"/>
  <c r="U48" i="3" s="1"/>
  <c r="T52" i="3"/>
  <c r="V52" i="3" s="1"/>
  <c r="S52" i="3"/>
  <c r="U52" i="3" s="1"/>
  <c r="T56" i="3"/>
  <c r="V56" i="3" s="1"/>
  <c r="S56" i="3"/>
  <c r="U56" i="3" s="1"/>
  <c r="T60" i="3"/>
  <c r="V60" i="3" s="1"/>
  <c r="S60" i="3"/>
  <c r="U60" i="3" s="1"/>
  <c r="S79" i="3"/>
  <c r="U79" i="3" s="1"/>
  <c r="R79" i="3"/>
  <c r="T79" i="3" s="1"/>
  <c r="S83" i="3"/>
  <c r="U83" i="3" s="1"/>
  <c r="R83" i="3"/>
  <c r="T83" i="3" s="1"/>
  <c r="S87" i="3"/>
  <c r="U87" i="3" s="1"/>
  <c r="R87" i="3"/>
  <c r="T87" i="3" s="1"/>
  <c r="S91" i="3"/>
  <c r="U91" i="3" s="1"/>
  <c r="R91" i="3"/>
  <c r="T91" i="3" s="1"/>
  <c r="S95" i="3"/>
  <c r="U95" i="3" s="1"/>
  <c r="R95" i="3"/>
  <c r="T95" i="3" s="1"/>
  <c r="S99" i="3"/>
  <c r="U99" i="3" s="1"/>
  <c r="R99" i="3"/>
  <c r="T99" i="3" s="1"/>
  <c r="S103" i="3"/>
  <c r="U103" i="3" s="1"/>
  <c r="R103" i="3"/>
  <c r="T103" i="3" s="1"/>
  <c r="S107" i="3"/>
  <c r="U107" i="3" s="1"/>
  <c r="R107" i="3"/>
  <c r="T107" i="3" s="1"/>
  <c r="S111" i="3"/>
  <c r="U111" i="3" s="1"/>
  <c r="R111" i="3"/>
  <c r="T111" i="3" s="1"/>
  <c r="S115" i="3"/>
  <c r="U115" i="3" s="1"/>
  <c r="R115" i="3"/>
  <c r="T115" i="3" s="1"/>
  <c r="S119" i="3"/>
  <c r="U119" i="3" s="1"/>
  <c r="R119" i="3"/>
  <c r="T119" i="3" s="1"/>
  <c r="S123" i="3"/>
  <c r="U123" i="3" s="1"/>
  <c r="R123" i="3"/>
  <c r="T123" i="3" s="1"/>
  <c r="S127" i="3"/>
  <c r="U127" i="3" s="1"/>
  <c r="R127" i="3"/>
  <c r="T127" i="3" s="1"/>
  <c r="W84" i="1"/>
  <c r="Q12" i="1"/>
  <c r="Q26" i="1"/>
  <c r="Q22" i="1"/>
  <c r="Q18" i="1"/>
  <c r="R130" i="3"/>
  <c r="T130" i="3" s="1"/>
  <c r="S130" i="3"/>
  <c r="U130" i="3" s="1"/>
  <c r="R122" i="3"/>
  <c r="T122" i="3" s="1"/>
  <c r="S122" i="3"/>
  <c r="U122" i="3" s="1"/>
  <c r="R114" i="3"/>
  <c r="T114" i="3" s="1"/>
  <c r="S114" i="3"/>
  <c r="U114" i="3" s="1"/>
  <c r="R106" i="3"/>
  <c r="T106" i="3" s="1"/>
  <c r="S106" i="3"/>
  <c r="U106" i="3" s="1"/>
  <c r="R98" i="3"/>
  <c r="T98" i="3" s="1"/>
  <c r="S98" i="3"/>
  <c r="U98" i="3" s="1"/>
  <c r="R90" i="3"/>
  <c r="T90" i="3" s="1"/>
  <c r="S90" i="3"/>
  <c r="U90" i="3" s="1"/>
  <c r="R82" i="3"/>
  <c r="T82" i="3" s="1"/>
  <c r="S82" i="3"/>
  <c r="U82" i="3" s="1"/>
  <c r="R128" i="3"/>
  <c r="T128" i="3" s="1"/>
  <c r="S128" i="3"/>
  <c r="U128" i="3" s="1"/>
  <c r="R120" i="3"/>
  <c r="T120" i="3" s="1"/>
  <c r="S120" i="3"/>
  <c r="U120" i="3" s="1"/>
  <c r="R112" i="3"/>
  <c r="T112" i="3" s="1"/>
  <c r="S112" i="3"/>
  <c r="U112" i="3" s="1"/>
  <c r="R104" i="3"/>
  <c r="T104" i="3" s="1"/>
  <c r="S104" i="3"/>
  <c r="U104" i="3" s="1"/>
  <c r="R96" i="3"/>
  <c r="T96" i="3" s="1"/>
  <c r="S96" i="3"/>
  <c r="U96" i="3" s="1"/>
  <c r="R88" i="3"/>
  <c r="T88" i="3" s="1"/>
  <c r="S88" i="3"/>
  <c r="U88" i="3" s="1"/>
  <c r="R80" i="3"/>
  <c r="T80" i="3" s="1"/>
  <c r="S80" i="3"/>
  <c r="U80" i="3" s="1"/>
  <c r="K17" i="2"/>
  <c r="H17" i="2"/>
  <c r="F11" i="2"/>
  <c r="X101" i="1"/>
  <c r="F7" i="2"/>
  <c r="X97" i="1"/>
  <c r="X109" i="1" s="1"/>
  <c r="V117" i="1" s="1"/>
  <c r="Z117" i="1" s="1"/>
  <c r="Q55" i="1"/>
  <c r="Q53" i="1"/>
  <c r="P55" i="1"/>
  <c r="P53" i="1"/>
  <c r="S8" i="3"/>
  <c r="U8" i="3" s="1"/>
  <c r="T8" i="3"/>
  <c r="V8" i="3" s="1"/>
  <c r="S11" i="3"/>
  <c r="U11" i="3" s="1"/>
  <c r="T11" i="3"/>
  <c r="V11" i="3" s="1"/>
  <c r="S15" i="3"/>
  <c r="U15" i="3" s="1"/>
  <c r="T15" i="3"/>
  <c r="V15" i="3" s="1"/>
  <c r="S19" i="3"/>
  <c r="U19" i="3" s="1"/>
  <c r="T19" i="3"/>
  <c r="V19" i="3" s="1"/>
  <c r="S23" i="3"/>
  <c r="U23" i="3" s="1"/>
  <c r="T23" i="3"/>
  <c r="V23" i="3" s="1"/>
  <c r="S27" i="3"/>
  <c r="U27" i="3" s="1"/>
  <c r="T27" i="3"/>
  <c r="V27" i="3" s="1"/>
  <c r="S31" i="3"/>
  <c r="U31" i="3" s="1"/>
  <c r="T31" i="3"/>
  <c r="V31" i="3" s="1"/>
  <c r="S35" i="3"/>
  <c r="U35" i="3" s="1"/>
  <c r="T35" i="3"/>
  <c r="V35" i="3" s="1"/>
  <c r="S39" i="3"/>
  <c r="U39" i="3" s="1"/>
  <c r="T39" i="3"/>
  <c r="V39" i="3" s="1"/>
  <c r="S43" i="3"/>
  <c r="U43" i="3" s="1"/>
  <c r="T43" i="3"/>
  <c r="V43" i="3" s="1"/>
  <c r="S47" i="3"/>
  <c r="U47" i="3" s="1"/>
  <c r="T47" i="3"/>
  <c r="V47" i="3" s="1"/>
  <c r="S51" i="3"/>
  <c r="U51" i="3" s="1"/>
  <c r="T51" i="3"/>
  <c r="V51" i="3" s="1"/>
  <c r="S55" i="3"/>
  <c r="U55" i="3" s="1"/>
  <c r="T55" i="3"/>
  <c r="V55" i="3" s="1"/>
  <c r="S59" i="3"/>
  <c r="U59" i="3" s="1"/>
  <c r="T59" i="3"/>
  <c r="V59" i="3" s="1"/>
  <c r="T10" i="3"/>
  <c r="V10" i="3" s="1"/>
  <c r="S10" i="3"/>
  <c r="U10" i="3" s="1"/>
  <c r="T14" i="3"/>
  <c r="V14" i="3" s="1"/>
  <c r="S14" i="3"/>
  <c r="U14" i="3" s="1"/>
  <c r="T18" i="3"/>
  <c r="V18" i="3" s="1"/>
  <c r="S18" i="3"/>
  <c r="U18" i="3" s="1"/>
  <c r="T22" i="3"/>
  <c r="V22" i="3" s="1"/>
  <c r="S22" i="3"/>
  <c r="U22" i="3" s="1"/>
  <c r="T26" i="3"/>
  <c r="V26" i="3" s="1"/>
  <c r="S26" i="3"/>
  <c r="U26" i="3" s="1"/>
  <c r="T30" i="3"/>
  <c r="V30" i="3" s="1"/>
  <c r="S30" i="3"/>
  <c r="U30" i="3" s="1"/>
  <c r="T34" i="3"/>
  <c r="V34" i="3" s="1"/>
  <c r="S34" i="3"/>
  <c r="U34" i="3" s="1"/>
  <c r="T38" i="3"/>
  <c r="V38" i="3" s="1"/>
  <c r="S38" i="3"/>
  <c r="U38" i="3" s="1"/>
  <c r="T42" i="3"/>
  <c r="V42" i="3" s="1"/>
  <c r="S42" i="3"/>
  <c r="U42" i="3" s="1"/>
  <c r="T46" i="3"/>
  <c r="V46" i="3" s="1"/>
  <c r="S46" i="3"/>
  <c r="U46" i="3" s="1"/>
  <c r="T50" i="3"/>
  <c r="V50" i="3" s="1"/>
  <c r="S50" i="3"/>
  <c r="U50" i="3" s="1"/>
  <c r="T54" i="3"/>
  <c r="V54" i="3" s="1"/>
  <c r="S54" i="3"/>
  <c r="U54" i="3" s="1"/>
  <c r="T58" i="3"/>
  <c r="V58" i="3" s="1"/>
  <c r="S58" i="3"/>
  <c r="U58" i="3" s="1"/>
  <c r="S77" i="3"/>
  <c r="U77" i="3" s="1"/>
  <c r="R77" i="3"/>
  <c r="T77" i="3" s="1"/>
  <c r="S81" i="3"/>
  <c r="U81" i="3" s="1"/>
  <c r="R81" i="3"/>
  <c r="T81" i="3" s="1"/>
  <c r="S85" i="3"/>
  <c r="U85" i="3" s="1"/>
  <c r="R85" i="3"/>
  <c r="T85" i="3" s="1"/>
  <c r="S89" i="3"/>
  <c r="U89" i="3" s="1"/>
  <c r="R89" i="3"/>
  <c r="T89" i="3" s="1"/>
  <c r="S93" i="3"/>
  <c r="U93" i="3" s="1"/>
  <c r="R93" i="3"/>
  <c r="T93" i="3" s="1"/>
  <c r="S97" i="3"/>
  <c r="U97" i="3" s="1"/>
  <c r="R97" i="3"/>
  <c r="T97" i="3" s="1"/>
  <c r="S101" i="3"/>
  <c r="U101" i="3" s="1"/>
  <c r="R101" i="3"/>
  <c r="T101" i="3" s="1"/>
  <c r="S105" i="3"/>
  <c r="U105" i="3" s="1"/>
  <c r="R105" i="3"/>
  <c r="T105" i="3" s="1"/>
  <c r="S109" i="3"/>
  <c r="U109" i="3" s="1"/>
  <c r="R109" i="3"/>
  <c r="T109" i="3" s="1"/>
  <c r="S113" i="3"/>
  <c r="U113" i="3" s="1"/>
  <c r="R113" i="3"/>
  <c r="T113" i="3" s="1"/>
  <c r="S117" i="3"/>
  <c r="U117" i="3" s="1"/>
  <c r="R117" i="3"/>
  <c r="T117" i="3" s="1"/>
  <c r="S121" i="3"/>
  <c r="U121" i="3" s="1"/>
  <c r="R121" i="3"/>
  <c r="T121" i="3" s="1"/>
  <c r="S125" i="3"/>
  <c r="U125" i="3" s="1"/>
  <c r="R125" i="3"/>
  <c r="T125" i="3" s="1"/>
  <c r="S129" i="3"/>
  <c r="U129" i="3" s="1"/>
  <c r="R129" i="3"/>
  <c r="T129" i="3" s="1"/>
  <c r="W68" i="1"/>
  <c r="P24" i="1"/>
  <c r="W76" i="1"/>
  <c r="Q24" i="1"/>
  <c r="Q20" i="1"/>
  <c r="Q16" i="1"/>
  <c r="P6" i="1" l="1"/>
  <c r="AB80" i="1"/>
  <c r="W103" i="1" s="1"/>
  <c r="V115" i="1"/>
  <c r="AB64" i="1"/>
  <c r="W95" i="1" s="1"/>
  <c r="Q6" i="1"/>
  <c r="Q4" i="1"/>
  <c r="P4" i="1"/>
  <c r="C20" i="2"/>
  <c r="C21" i="2" s="1"/>
  <c r="C22" i="2" s="1"/>
  <c r="Y129" i="3"/>
  <c r="Y125" i="3"/>
  <c r="Y121" i="3"/>
  <c r="Y117" i="3"/>
  <c r="Y113" i="3"/>
  <c r="Y109" i="3"/>
  <c r="Y105" i="3"/>
  <c r="Y101" i="3"/>
  <c r="Y97" i="3"/>
  <c r="Y93" i="3"/>
  <c r="Y89" i="3"/>
  <c r="Y85" i="3"/>
  <c r="Y81" i="3"/>
  <c r="Y77" i="3"/>
  <c r="Z58" i="3"/>
  <c r="Z54" i="3"/>
  <c r="Z50" i="3"/>
  <c r="Z46" i="3"/>
  <c r="Z42" i="3"/>
  <c r="Z38" i="3"/>
  <c r="Z34" i="3"/>
  <c r="Z30" i="3"/>
  <c r="Z26" i="3"/>
  <c r="Z22" i="3"/>
  <c r="Z18" i="3"/>
  <c r="Z14" i="3"/>
  <c r="Z10" i="3"/>
  <c r="Y127" i="3"/>
  <c r="Y123" i="3"/>
  <c r="Y119" i="3"/>
  <c r="Y115" i="3"/>
  <c r="Y111" i="3"/>
  <c r="Y107" i="3"/>
  <c r="Y103" i="3"/>
  <c r="Y99" i="3"/>
  <c r="Y95" i="3"/>
  <c r="Y91" i="3"/>
  <c r="Y87" i="3"/>
  <c r="Y83" i="3"/>
  <c r="Y79" i="3"/>
  <c r="Z60" i="3"/>
  <c r="Z56" i="3"/>
  <c r="Z52" i="3"/>
  <c r="Z48" i="3"/>
  <c r="Z44" i="3"/>
  <c r="Z40" i="3"/>
  <c r="Z36" i="3"/>
  <c r="Z32" i="3"/>
  <c r="Z28" i="3"/>
  <c r="Z24" i="3"/>
  <c r="Z20" i="3"/>
  <c r="Z16" i="3"/>
  <c r="Z12" i="3"/>
  <c r="Y84" i="3"/>
  <c r="Y92" i="3"/>
  <c r="Y100" i="3"/>
  <c r="Y108" i="3"/>
  <c r="Y116" i="3"/>
  <c r="Y124" i="3"/>
  <c r="Y78" i="3"/>
  <c r="Y86" i="3"/>
  <c r="Y94" i="3"/>
  <c r="Y102" i="3"/>
  <c r="Y110" i="3"/>
  <c r="Y118" i="3"/>
  <c r="Y126" i="3"/>
  <c r="Q10" i="1"/>
  <c r="P8" i="1"/>
  <c r="Q8" i="1"/>
  <c r="P10" i="1"/>
  <c r="Z59" i="3"/>
  <c r="Z55" i="3"/>
  <c r="Z51" i="3"/>
  <c r="Z47" i="3"/>
  <c r="Z43" i="3"/>
  <c r="Z39" i="3"/>
  <c r="Z35" i="3"/>
  <c r="Z31" i="3"/>
  <c r="Z27" i="3"/>
  <c r="Z23" i="3"/>
  <c r="Z19" i="3"/>
  <c r="Z15" i="3"/>
  <c r="Z11" i="3"/>
  <c r="Z8" i="3"/>
  <c r="F20" i="2"/>
  <c r="Y80" i="3"/>
  <c r="Y88" i="3"/>
  <c r="Y96" i="3"/>
  <c r="Y104" i="3"/>
  <c r="Y112" i="3"/>
  <c r="Y120" i="3"/>
  <c r="Y128" i="3"/>
  <c r="Y82" i="3"/>
  <c r="Y90" i="3"/>
  <c r="Y98" i="3"/>
  <c r="Y106" i="3"/>
  <c r="Y114" i="3"/>
  <c r="Y122" i="3"/>
  <c r="Y130" i="3"/>
  <c r="Z61" i="3"/>
  <c r="Z57" i="3"/>
  <c r="Z53" i="3"/>
  <c r="Z49" i="3"/>
  <c r="Z45" i="3"/>
  <c r="Z41" i="3"/>
  <c r="Z37" i="3"/>
  <c r="Z33" i="3"/>
  <c r="Z29" i="3"/>
  <c r="Z25" i="3"/>
  <c r="Z21" i="3"/>
  <c r="Z17" i="3"/>
  <c r="Z13" i="3"/>
  <c r="Z9" i="3"/>
  <c r="W109" i="1"/>
  <c r="AC100" i="4"/>
  <c r="AC98" i="4"/>
  <c r="AC96" i="4"/>
  <c r="AC94" i="4"/>
  <c r="AC99" i="4"/>
  <c r="AC97" i="4"/>
  <c r="AC95" i="4"/>
  <c r="AC93" i="4"/>
  <c r="AC59" i="4"/>
  <c r="AC62" i="4"/>
  <c r="AC64" i="4"/>
  <c r="AC66" i="4"/>
  <c r="AC68" i="4"/>
  <c r="AC61" i="4"/>
  <c r="AC71" i="4"/>
  <c r="AC73" i="4"/>
  <c r="AC75" i="4"/>
  <c r="AC77" i="4"/>
  <c r="AC79" i="4"/>
  <c r="AC81" i="4"/>
  <c r="AC63" i="4"/>
  <c r="AC65" i="4"/>
  <c r="AC67" i="4"/>
  <c r="AC69" i="4"/>
  <c r="AC60" i="4"/>
  <c r="AC70" i="4"/>
  <c r="AC72" i="4"/>
  <c r="AC74" i="4"/>
  <c r="AC76" i="4"/>
  <c r="AC78" i="4"/>
  <c r="AC80" i="4"/>
  <c r="AC82" i="4"/>
  <c r="S3" i="2" l="1"/>
  <c r="S8" i="2" s="1"/>
  <c r="S9" i="2" s="1"/>
  <c r="D14" i="2"/>
  <c r="E14" i="2" s="1"/>
  <c r="D10" i="2"/>
  <c r="E10" i="2" s="1"/>
  <c r="D16" i="2"/>
  <c r="E16" i="2" s="1"/>
  <c r="D12" i="2"/>
  <c r="E12" i="2" s="1"/>
  <c r="D8" i="2"/>
  <c r="E8" i="2" s="1"/>
  <c r="D6" i="2"/>
  <c r="Y105" i="1"/>
  <c r="Y103" i="1"/>
  <c r="Y101" i="1"/>
  <c r="Y99" i="1"/>
  <c r="Y97" i="1"/>
  <c r="Y95" i="1"/>
  <c r="Z97" i="1" s="1"/>
  <c r="Z99" i="1" s="1"/>
  <c r="Z101" i="1" s="1"/>
  <c r="Z103" i="1" s="1"/>
  <c r="Z105" i="1" s="1"/>
  <c r="Z107" i="1" s="1"/>
  <c r="V116" i="1"/>
  <c r="Z114" i="1" s="1"/>
  <c r="Z115" i="1" s="1"/>
  <c r="W20" i="2" l="1"/>
  <c r="W21" i="2" s="1"/>
  <c r="Y109" i="1"/>
  <c r="V118" i="1" s="1"/>
  <c r="D20" i="2"/>
  <c r="E6" i="2"/>
  <c r="G7" i="2" s="1"/>
  <c r="G9" i="2" s="1"/>
  <c r="G11" i="2" s="1"/>
  <c r="G13" i="2" s="1"/>
  <c r="G15" i="2" s="1"/>
  <c r="E20" i="2" l="1"/>
  <c r="W7" i="3"/>
  <c r="V130" i="3" l="1"/>
  <c r="V128" i="3"/>
  <c r="V126" i="3"/>
  <c r="V124" i="3"/>
  <c r="V122" i="3"/>
  <c r="V120" i="3"/>
  <c r="V118" i="3"/>
  <c r="V116" i="3"/>
  <c r="V114" i="3"/>
  <c r="V112" i="3"/>
  <c r="V110" i="3"/>
  <c r="V108" i="3"/>
  <c r="V106" i="3"/>
  <c r="V104" i="3"/>
  <c r="V102" i="3"/>
  <c r="V100" i="3"/>
  <c r="V98" i="3"/>
  <c r="V96" i="3"/>
  <c r="V94" i="3"/>
  <c r="V92" i="3"/>
  <c r="V90" i="3"/>
  <c r="V88" i="3"/>
  <c r="V86" i="3"/>
  <c r="V84" i="3"/>
  <c r="V82" i="3"/>
  <c r="V80" i="3"/>
  <c r="V78" i="3"/>
  <c r="W61" i="3"/>
  <c r="W59" i="3"/>
  <c r="W57" i="3"/>
  <c r="W55" i="3"/>
  <c r="W53" i="3"/>
  <c r="W51" i="3"/>
  <c r="W49" i="3"/>
  <c r="W47" i="3"/>
  <c r="W45" i="3"/>
  <c r="W43" i="3"/>
  <c r="W41" i="3"/>
  <c r="W39" i="3"/>
  <c r="W37" i="3"/>
  <c r="W35" i="3"/>
  <c r="W33" i="3"/>
  <c r="W31" i="3"/>
  <c r="W29" i="3"/>
  <c r="W27" i="3"/>
  <c r="W25" i="3"/>
  <c r="W23" i="3"/>
  <c r="W21" i="3"/>
  <c r="W19" i="3"/>
  <c r="W17" i="3"/>
  <c r="W15" i="3"/>
  <c r="W13" i="3"/>
  <c r="W11" i="3"/>
  <c r="W9" i="3"/>
  <c r="W60" i="3"/>
  <c r="W58" i="3"/>
  <c r="W56" i="3"/>
  <c r="W54" i="3"/>
  <c r="W52" i="3"/>
  <c r="W50" i="3"/>
  <c r="W48" i="3"/>
  <c r="W46" i="3"/>
  <c r="W44" i="3"/>
  <c r="W42" i="3"/>
  <c r="W40" i="3"/>
  <c r="W38" i="3"/>
  <c r="W36" i="3"/>
  <c r="W34" i="3"/>
  <c r="W32" i="3"/>
  <c r="W30" i="3"/>
  <c r="W28" i="3"/>
  <c r="W26" i="3"/>
  <c r="W24" i="3"/>
  <c r="W22" i="3"/>
  <c r="W20" i="3"/>
  <c r="W18" i="3"/>
  <c r="W16" i="3"/>
  <c r="W14" i="3"/>
  <c r="W12" i="3"/>
  <c r="W10" i="3"/>
  <c r="V129" i="3"/>
  <c r="V125" i="3"/>
  <c r="V121" i="3"/>
  <c r="V117" i="3"/>
  <c r="V113" i="3"/>
  <c r="V109" i="3"/>
  <c r="V105" i="3"/>
  <c r="V101" i="3"/>
  <c r="V97" i="3"/>
  <c r="V93" i="3"/>
  <c r="V89" i="3"/>
  <c r="V85" i="3"/>
  <c r="V81" i="3"/>
  <c r="V77" i="3"/>
  <c r="V127" i="3"/>
  <c r="V123" i="3"/>
  <c r="V119" i="3"/>
  <c r="V115" i="3"/>
  <c r="V111" i="3"/>
  <c r="V107" i="3"/>
  <c r="V103" i="3"/>
  <c r="V99" i="3"/>
  <c r="V95" i="3"/>
  <c r="V91" i="3"/>
  <c r="V87" i="3"/>
  <c r="V83" i="3"/>
  <c r="V79" i="3"/>
  <c r="H7" i="2"/>
  <c r="K7" i="2"/>
  <c r="I58" i="5" l="1"/>
  <c r="I8" i="5"/>
  <c r="H9" i="2"/>
  <c r="K9" i="2"/>
  <c r="I19" i="5" l="1"/>
  <c r="H11" i="2"/>
  <c r="K11" i="2"/>
  <c r="I104" i="5"/>
  <c r="I102" i="5"/>
  <c r="I100" i="5"/>
  <c r="I98" i="5"/>
  <c r="I96" i="5"/>
  <c r="I94" i="5"/>
  <c r="I92" i="5"/>
  <c r="I90" i="5"/>
  <c r="I88" i="5"/>
  <c r="I86" i="5"/>
  <c r="I84" i="5"/>
  <c r="I82" i="5"/>
  <c r="I80" i="5"/>
  <c r="I78" i="5"/>
  <c r="I76" i="5"/>
  <c r="I74" i="5"/>
  <c r="I72" i="5"/>
  <c r="I70" i="5"/>
  <c r="I68" i="5"/>
  <c r="I66" i="5"/>
  <c r="I64" i="5"/>
  <c r="I62" i="5"/>
  <c r="I60" i="5"/>
  <c r="I105" i="5"/>
  <c r="I103" i="5"/>
  <c r="I101" i="5"/>
  <c r="I99" i="5"/>
  <c r="I97" i="5"/>
  <c r="I95" i="5"/>
  <c r="I93" i="5"/>
  <c r="I91" i="5"/>
  <c r="I89" i="5"/>
  <c r="I87" i="5"/>
  <c r="I85" i="5"/>
  <c r="I83" i="5"/>
  <c r="I81" i="5"/>
  <c r="I79" i="5"/>
  <c r="I77" i="5"/>
  <c r="I75" i="5"/>
  <c r="I73" i="5"/>
  <c r="I71" i="5"/>
  <c r="I69" i="5"/>
  <c r="I67" i="5"/>
  <c r="I65" i="5"/>
  <c r="I63" i="5"/>
  <c r="I61" i="5"/>
  <c r="I59" i="5"/>
  <c r="I13" i="5"/>
  <c r="I12" i="5"/>
  <c r="I11" i="5"/>
  <c r="I10" i="5"/>
  <c r="I9" i="5"/>
  <c r="V10" i="5" l="1"/>
  <c r="W10" i="5"/>
  <c r="V12" i="5"/>
  <c r="W12" i="5"/>
  <c r="W61" i="5"/>
  <c r="V61" i="5"/>
  <c r="W65" i="5"/>
  <c r="V65" i="5"/>
  <c r="W69" i="5"/>
  <c r="V69" i="5"/>
  <c r="W73" i="5"/>
  <c r="V73" i="5"/>
  <c r="W77" i="5"/>
  <c r="V77" i="5"/>
  <c r="W81" i="5"/>
  <c r="V81" i="5"/>
  <c r="W85" i="5"/>
  <c r="V85" i="5"/>
  <c r="W89" i="5"/>
  <c r="V89" i="5"/>
  <c r="W93" i="5"/>
  <c r="V93" i="5"/>
  <c r="W97" i="5"/>
  <c r="V97" i="5"/>
  <c r="W101" i="5"/>
  <c r="V101" i="5"/>
  <c r="W105" i="5"/>
  <c r="V105" i="5"/>
  <c r="V62" i="5"/>
  <c r="W62" i="5"/>
  <c r="V66" i="5"/>
  <c r="W66" i="5"/>
  <c r="V70" i="5"/>
  <c r="W70" i="5"/>
  <c r="V74" i="5"/>
  <c r="W74" i="5"/>
  <c r="V78" i="5"/>
  <c r="W78" i="5"/>
  <c r="V82" i="5"/>
  <c r="W82" i="5"/>
  <c r="V86" i="5"/>
  <c r="W86" i="5"/>
  <c r="V90" i="5"/>
  <c r="W90" i="5"/>
  <c r="V94" i="5"/>
  <c r="W94" i="5"/>
  <c r="V98" i="5"/>
  <c r="W98" i="5"/>
  <c r="V102" i="5"/>
  <c r="W102" i="5"/>
  <c r="H7" i="6"/>
  <c r="H13" i="2"/>
  <c r="K13" i="2"/>
  <c r="V9" i="5"/>
  <c r="W9" i="5"/>
  <c r="V11" i="5"/>
  <c r="W11" i="5"/>
  <c r="V13" i="5"/>
  <c r="W13" i="5"/>
  <c r="W59" i="5"/>
  <c r="V59" i="5"/>
  <c r="W63" i="5"/>
  <c r="V63" i="5"/>
  <c r="W67" i="5"/>
  <c r="V67" i="5"/>
  <c r="W71" i="5"/>
  <c r="V71" i="5"/>
  <c r="W75" i="5"/>
  <c r="V75" i="5"/>
  <c r="W79" i="5"/>
  <c r="V79" i="5"/>
  <c r="W83" i="5"/>
  <c r="V83" i="5"/>
  <c r="W87" i="5"/>
  <c r="V87" i="5"/>
  <c r="W91" i="5"/>
  <c r="V91" i="5"/>
  <c r="W95" i="5"/>
  <c r="V95" i="5"/>
  <c r="W99" i="5"/>
  <c r="V99" i="5"/>
  <c r="W103" i="5"/>
  <c r="V103" i="5"/>
  <c r="V60" i="5"/>
  <c r="W60" i="5"/>
  <c r="V64" i="5"/>
  <c r="W64" i="5"/>
  <c r="V68" i="5"/>
  <c r="W68" i="5"/>
  <c r="V72" i="5"/>
  <c r="W72" i="5"/>
  <c r="V76" i="5"/>
  <c r="W76" i="5"/>
  <c r="V80" i="5"/>
  <c r="W80" i="5"/>
  <c r="V84" i="5"/>
  <c r="W84" i="5"/>
  <c r="V88" i="5"/>
  <c r="W88" i="5"/>
  <c r="V92" i="5"/>
  <c r="W92" i="5"/>
  <c r="V96" i="5"/>
  <c r="W96" i="5"/>
  <c r="V100" i="5"/>
  <c r="W100" i="5"/>
  <c r="V104" i="5"/>
  <c r="W104" i="5"/>
  <c r="I52" i="5"/>
  <c r="I50" i="5"/>
  <c r="I51" i="5"/>
  <c r="I48" i="5"/>
  <c r="I46" i="5"/>
  <c r="I44" i="5"/>
  <c r="I42" i="5"/>
  <c r="I40" i="5"/>
  <c r="I38" i="5"/>
  <c r="I36" i="5"/>
  <c r="I34" i="5"/>
  <c r="I32" i="5"/>
  <c r="I30" i="5"/>
  <c r="I28" i="5"/>
  <c r="I26" i="5"/>
  <c r="I24" i="5"/>
  <c r="I49" i="5"/>
  <c r="I47" i="5"/>
  <c r="I45" i="5"/>
  <c r="I43" i="5"/>
  <c r="I41" i="5"/>
  <c r="I39" i="5"/>
  <c r="I37" i="5"/>
  <c r="I35" i="5"/>
  <c r="I33" i="5"/>
  <c r="I31" i="5"/>
  <c r="I29" i="5"/>
  <c r="I27" i="5"/>
  <c r="I25" i="5"/>
  <c r="I23" i="5"/>
  <c r="I22" i="5"/>
  <c r="I21" i="5"/>
  <c r="I20" i="5"/>
  <c r="W20" i="5" l="1"/>
  <c r="V20" i="5"/>
  <c r="W22" i="5"/>
  <c r="V22" i="5"/>
  <c r="W25" i="5"/>
  <c r="V25" i="5"/>
  <c r="W29" i="5"/>
  <c r="V29" i="5"/>
  <c r="W33" i="5"/>
  <c r="V33" i="5"/>
  <c r="W37" i="5"/>
  <c r="V37" i="5"/>
  <c r="W41" i="5"/>
  <c r="V41" i="5"/>
  <c r="W45" i="5"/>
  <c r="V45" i="5"/>
  <c r="W49" i="5"/>
  <c r="V49" i="5"/>
  <c r="V26" i="5"/>
  <c r="W26" i="5"/>
  <c r="V30" i="5"/>
  <c r="W30" i="5"/>
  <c r="V34" i="5"/>
  <c r="W34" i="5"/>
  <c r="V38" i="5"/>
  <c r="W38" i="5"/>
  <c r="V42" i="5"/>
  <c r="W42" i="5"/>
  <c r="V46" i="5"/>
  <c r="W46" i="5"/>
  <c r="W51" i="5"/>
  <c r="V51" i="5"/>
  <c r="V52" i="5"/>
  <c r="W52" i="5"/>
  <c r="H90" i="6"/>
  <c r="H15" i="2"/>
  <c r="S12" i="2" s="1"/>
  <c r="K15" i="2"/>
  <c r="K20" i="2" s="1"/>
  <c r="W21" i="5"/>
  <c r="V21" i="5"/>
  <c r="W23" i="5"/>
  <c r="V23" i="5"/>
  <c r="W27" i="5"/>
  <c r="V27" i="5"/>
  <c r="W31" i="5"/>
  <c r="V31" i="5"/>
  <c r="W35" i="5"/>
  <c r="V35" i="5"/>
  <c r="W39" i="5"/>
  <c r="V39" i="5"/>
  <c r="W43" i="5"/>
  <c r="V43" i="5"/>
  <c r="W47" i="5"/>
  <c r="V47" i="5"/>
  <c r="V24" i="5"/>
  <c r="W24" i="5"/>
  <c r="V28" i="5"/>
  <c r="W28" i="5"/>
  <c r="V32" i="5"/>
  <c r="W32" i="5"/>
  <c r="V36" i="5"/>
  <c r="W36" i="5"/>
  <c r="V40" i="5"/>
  <c r="W40" i="5"/>
  <c r="V44" i="5"/>
  <c r="W44" i="5"/>
  <c r="V48" i="5"/>
  <c r="W48" i="5"/>
  <c r="V50" i="5"/>
  <c r="W50" i="5"/>
  <c r="H85" i="6"/>
  <c r="H84" i="6"/>
  <c r="H83" i="6"/>
  <c r="H82" i="6"/>
  <c r="H81" i="6"/>
  <c r="H80" i="6"/>
  <c r="H79" i="6"/>
  <c r="H78" i="6"/>
  <c r="H77" i="6"/>
  <c r="H76" i="6"/>
  <c r="H75" i="6"/>
  <c r="H74" i="6"/>
  <c r="H73" i="6"/>
  <c r="H72" i="6"/>
  <c r="H71" i="6"/>
  <c r="H70" i="6"/>
  <c r="H69" i="6"/>
  <c r="H68" i="6"/>
  <c r="H67" i="6"/>
  <c r="H66" i="6"/>
  <c r="H65" i="6"/>
  <c r="H64" i="6"/>
  <c r="H63" i="6"/>
  <c r="H62" i="6"/>
  <c r="H61" i="6"/>
  <c r="H60" i="6"/>
  <c r="H59" i="6"/>
  <c r="H58" i="6"/>
  <c r="H57" i="6"/>
  <c r="H56" i="6"/>
  <c r="H55" i="6"/>
  <c r="H54" i="6"/>
  <c r="H53" i="6"/>
  <c r="H52" i="6"/>
  <c r="H51" i="6"/>
  <c r="H50" i="6"/>
  <c r="H49" i="6"/>
  <c r="H48" i="6"/>
  <c r="H13" i="6"/>
  <c r="H12" i="6"/>
  <c r="H11" i="6"/>
  <c r="H10" i="6"/>
  <c r="H9" i="6"/>
  <c r="H8" i="6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S13" i="2" l="1"/>
  <c r="S14" i="2" s="1"/>
  <c r="H20" i="2"/>
  <c r="V15" i="6"/>
  <c r="U15" i="6"/>
  <c r="V17" i="6"/>
  <c r="U17" i="6"/>
  <c r="V19" i="6"/>
  <c r="U19" i="6"/>
  <c r="V21" i="6"/>
  <c r="U21" i="6"/>
  <c r="V23" i="6"/>
  <c r="U23" i="6"/>
  <c r="V25" i="6"/>
  <c r="U25" i="6"/>
  <c r="V27" i="6"/>
  <c r="U27" i="6"/>
  <c r="V29" i="6"/>
  <c r="U29" i="6"/>
  <c r="V31" i="6"/>
  <c r="U31" i="6"/>
  <c r="V33" i="6"/>
  <c r="U33" i="6"/>
  <c r="V35" i="6"/>
  <c r="U35" i="6"/>
  <c r="V37" i="6"/>
  <c r="U37" i="6"/>
  <c r="V39" i="6"/>
  <c r="U39" i="6"/>
  <c r="V41" i="6"/>
  <c r="U41" i="6"/>
  <c r="V43" i="6"/>
  <c r="U43" i="6"/>
  <c r="V45" i="6"/>
  <c r="U45" i="6"/>
  <c r="V47" i="6"/>
  <c r="U47" i="6"/>
  <c r="U9" i="6"/>
  <c r="V9" i="6"/>
  <c r="U11" i="6"/>
  <c r="V11" i="6"/>
  <c r="V13" i="6"/>
  <c r="U13" i="6"/>
  <c r="V49" i="6"/>
  <c r="U49" i="6"/>
  <c r="V51" i="6"/>
  <c r="U51" i="6"/>
  <c r="V53" i="6"/>
  <c r="U53" i="6"/>
  <c r="V55" i="6"/>
  <c r="U55" i="6"/>
  <c r="V57" i="6"/>
  <c r="U57" i="6"/>
  <c r="V59" i="6"/>
  <c r="U59" i="6"/>
  <c r="V61" i="6"/>
  <c r="U61" i="6"/>
  <c r="V63" i="6"/>
  <c r="U63" i="6"/>
  <c r="V65" i="6"/>
  <c r="U65" i="6"/>
  <c r="V67" i="6"/>
  <c r="U67" i="6"/>
  <c r="U69" i="6"/>
  <c r="V69" i="6"/>
  <c r="U71" i="6"/>
  <c r="V71" i="6"/>
  <c r="U73" i="6"/>
  <c r="V73" i="6"/>
  <c r="U75" i="6"/>
  <c r="V75" i="6"/>
  <c r="U77" i="6"/>
  <c r="V77" i="6"/>
  <c r="U79" i="6"/>
  <c r="V79" i="6"/>
  <c r="U81" i="6"/>
  <c r="V81" i="6"/>
  <c r="U83" i="6"/>
  <c r="V83" i="6"/>
  <c r="U85" i="6"/>
  <c r="V85" i="6"/>
  <c r="V14" i="6"/>
  <c r="U14" i="6"/>
  <c r="V16" i="6"/>
  <c r="U16" i="6"/>
  <c r="V18" i="6"/>
  <c r="U18" i="6"/>
  <c r="V20" i="6"/>
  <c r="U20" i="6"/>
  <c r="V22" i="6"/>
  <c r="U22" i="6"/>
  <c r="V24" i="6"/>
  <c r="U24" i="6"/>
  <c r="V26" i="6"/>
  <c r="U26" i="6"/>
  <c r="V28" i="6"/>
  <c r="U28" i="6"/>
  <c r="V30" i="6"/>
  <c r="U30" i="6"/>
  <c r="V32" i="6"/>
  <c r="U32" i="6"/>
  <c r="V34" i="6"/>
  <c r="U34" i="6"/>
  <c r="V36" i="6"/>
  <c r="U36" i="6"/>
  <c r="V38" i="6"/>
  <c r="U38" i="6"/>
  <c r="V40" i="6"/>
  <c r="U40" i="6"/>
  <c r="V42" i="6"/>
  <c r="U42" i="6"/>
  <c r="V44" i="6"/>
  <c r="U44" i="6"/>
  <c r="V46" i="6"/>
  <c r="U46" i="6"/>
  <c r="U8" i="6"/>
  <c r="V8" i="6"/>
  <c r="U10" i="6"/>
  <c r="V10" i="6"/>
  <c r="U12" i="6"/>
  <c r="V12" i="6"/>
  <c r="V48" i="6"/>
  <c r="U48" i="6"/>
  <c r="V50" i="6"/>
  <c r="U50" i="6"/>
  <c r="V52" i="6"/>
  <c r="U52" i="6"/>
  <c r="V54" i="6"/>
  <c r="U54" i="6"/>
  <c r="V56" i="6"/>
  <c r="U56" i="6"/>
  <c r="V58" i="6"/>
  <c r="U58" i="6"/>
  <c r="V60" i="6"/>
  <c r="U60" i="6"/>
  <c r="V62" i="6"/>
  <c r="U62" i="6"/>
  <c r="V64" i="6"/>
  <c r="U64" i="6"/>
  <c r="V66" i="6"/>
  <c r="U66" i="6"/>
  <c r="U68" i="6"/>
  <c r="V68" i="6"/>
  <c r="U70" i="6"/>
  <c r="V70" i="6"/>
  <c r="U72" i="6"/>
  <c r="V72" i="6"/>
  <c r="U74" i="6"/>
  <c r="V74" i="6"/>
  <c r="U76" i="6"/>
  <c r="V76" i="6"/>
  <c r="U78" i="6"/>
  <c r="V78" i="6"/>
  <c r="U80" i="6"/>
  <c r="V80" i="6"/>
  <c r="U82" i="6"/>
  <c r="V82" i="6"/>
  <c r="U84" i="6"/>
  <c r="V84" i="6"/>
  <c r="H91" i="6"/>
  <c r="H113" i="6"/>
  <c r="H111" i="6"/>
  <c r="H109" i="6"/>
  <c r="H107" i="6"/>
  <c r="H105" i="6"/>
  <c r="H103" i="6"/>
  <c r="H101" i="6"/>
  <c r="H99" i="6"/>
  <c r="H97" i="6"/>
  <c r="H95" i="6"/>
  <c r="H93" i="6"/>
  <c r="H114" i="6"/>
  <c r="H112" i="6"/>
  <c r="H110" i="6"/>
  <c r="H108" i="6"/>
  <c r="H106" i="6"/>
  <c r="H104" i="6"/>
  <c r="H102" i="6"/>
  <c r="H100" i="6"/>
  <c r="H98" i="6"/>
  <c r="H96" i="6"/>
  <c r="H94" i="6"/>
  <c r="H92" i="6"/>
  <c r="L11" i="2" l="1"/>
  <c r="M11" i="2" s="1"/>
  <c r="L13" i="2"/>
  <c r="M13" i="2" s="1"/>
  <c r="Y84" i="6"/>
  <c r="Y82" i="6"/>
  <c r="Y80" i="6"/>
  <c r="Y78" i="6"/>
  <c r="Y76" i="6"/>
  <c r="Y74" i="6"/>
  <c r="Y72" i="6"/>
  <c r="Y70" i="6"/>
  <c r="Y68" i="6"/>
  <c r="Y12" i="6"/>
  <c r="Y10" i="6"/>
  <c r="Y8" i="6"/>
  <c r="L15" i="2"/>
  <c r="M15" i="2" s="1"/>
  <c r="L7" i="2"/>
  <c r="M7" i="2" s="1"/>
  <c r="O8" i="2" s="1"/>
  <c r="L9" i="2"/>
  <c r="M9" i="2" s="1"/>
  <c r="L17" i="2"/>
  <c r="M17" i="2" s="1"/>
  <c r="Y67" i="6"/>
  <c r="Y65" i="6"/>
  <c r="Y63" i="6"/>
  <c r="Y61" i="6"/>
  <c r="Y59" i="6"/>
  <c r="Y57" i="6"/>
  <c r="Y55" i="6"/>
  <c r="Y53" i="6"/>
  <c r="Y51" i="6"/>
  <c r="Y49" i="6"/>
  <c r="Y13" i="6"/>
  <c r="Y47" i="6"/>
  <c r="Y45" i="6"/>
  <c r="Y43" i="6"/>
  <c r="Y41" i="6"/>
  <c r="Y39" i="6"/>
  <c r="Y37" i="6"/>
  <c r="Y35" i="6"/>
  <c r="Y33" i="6"/>
  <c r="Y31" i="6"/>
  <c r="Y29" i="6"/>
  <c r="Y27" i="6"/>
  <c r="Y25" i="6"/>
  <c r="Y23" i="6"/>
  <c r="Y21" i="6"/>
  <c r="Y19" i="6"/>
  <c r="Y17" i="6"/>
  <c r="Y15" i="6"/>
  <c r="V92" i="6"/>
  <c r="U92" i="6"/>
  <c r="V96" i="6"/>
  <c r="U96" i="6"/>
  <c r="V100" i="6"/>
  <c r="U100" i="6"/>
  <c r="V104" i="6"/>
  <c r="U104" i="6"/>
  <c r="V108" i="6"/>
  <c r="U108" i="6"/>
  <c r="V112" i="6"/>
  <c r="U112" i="6"/>
  <c r="V93" i="6"/>
  <c r="U93" i="6"/>
  <c r="V97" i="6"/>
  <c r="U97" i="6"/>
  <c r="V101" i="6"/>
  <c r="U101" i="6"/>
  <c r="V105" i="6"/>
  <c r="U105" i="6"/>
  <c r="V109" i="6"/>
  <c r="U109" i="6"/>
  <c r="V113" i="6"/>
  <c r="U113" i="6"/>
  <c r="U17" i="2"/>
  <c r="I7" i="2"/>
  <c r="J7" i="2" s="1"/>
  <c r="I11" i="2"/>
  <c r="J11" i="2" s="1"/>
  <c r="I15" i="2"/>
  <c r="J15" i="2" s="1"/>
  <c r="I9" i="2"/>
  <c r="J9" i="2" s="1"/>
  <c r="I13" i="2"/>
  <c r="J13" i="2" s="1"/>
  <c r="I17" i="2"/>
  <c r="J17" i="2" s="1"/>
  <c r="V94" i="6"/>
  <c r="U94" i="6"/>
  <c r="V98" i="6"/>
  <c r="U98" i="6"/>
  <c r="V102" i="6"/>
  <c r="U102" i="6"/>
  <c r="V106" i="6"/>
  <c r="U106" i="6"/>
  <c r="V110" i="6"/>
  <c r="U110" i="6"/>
  <c r="V114" i="6"/>
  <c r="U114" i="6"/>
  <c r="V95" i="6"/>
  <c r="U95" i="6"/>
  <c r="V99" i="6"/>
  <c r="U99" i="6"/>
  <c r="V103" i="6"/>
  <c r="U103" i="6"/>
  <c r="V107" i="6"/>
  <c r="U107" i="6"/>
  <c r="V111" i="6"/>
  <c r="U111" i="6"/>
  <c r="U91" i="6"/>
  <c r="V91" i="6"/>
  <c r="Y66" i="6"/>
  <c r="Y64" i="6"/>
  <c r="Y62" i="6"/>
  <c r="Y60" i="6"/>
  <c r="Y58" i="6"/>
  <c r="Y56" i="6"/>
  <c r="Y54" i="6"/>
  <c r="Y52" i="6"/>
  <c r="Y50" i="6"/>
  <c r="Y48" i="6"/>
  <c r="Y46" i="6"/>
  <c r="Y44" i="6"/>
  <c r="Y42" i="6"/>
  <c r="Y40" i="6"/>
  <c r="Y38" i="6"/>
  <c r="Y36" i="6"/>
  <c r="Y34" i="6"/>
  <c r="Y32" i="6"/>
  <c r="Y30" i="6"/>
  <c r="Y28" i="6"/>
  <c r="Y26" i="6"/>
  <c r="Y24" i="6"/>
  <c r="Y22" i="6"/>
  <c r="Y20" i="6"/>
  <c r="Y18" i="6"/>
  <c r="Y16" i="6"/>
  <c r="Y14" i="6"/>
  <c r="Y85" i="6"/>
  <c r="Y83" i="6"/>
  <c r="Y81" i="6"/>
  <c r="Y79" i="6"/>
  <c r="Y77" i="6"/>
  <c r="Y75" i="6"/>
  <c r="Y73" i="6"/>
  <c r="Y71" i="6"/>
  <c r="Y69" i="6"/>
  <c r="Y11" i="6"/>
  <c r="Y9" i="6"/>
  <c r="O10" i="2" l="1"/>
  <c r="O12" i="2" s="1"/>
  <c r="O14" i="2" s="1"/>
  <c r="O16" i="2" s="1"/>
  <c r="O18" i="2" s="1"/>
  <c r="M20" i="2"/>
  <c r="J20" i="2"/>
  <c r="N8" i="2"/>
  <c r="N10" i="2" l="1"/>
  <c r="O23" i="2"/>
  <c r="O24" i="2" l="1"/>
  <c r="N12" i="2"/>
  <c r="O25" i="2" l="1"/>
  <c r="N14" i="2"/>
  <c r="O26" i="2" l="1"/>
  <c r="N16" i="2"/>
  <c r="N18" i="2" l="1"/>
  <c r="O28" i="2" s="1"/>
  <c r="O27" i="2"/>
</calcChain>
</file>

<file path=xl/sharedStrings.xml><?xml version="1.0" encoding="utf-8"?>
<sst xmlns="http://schemas.openxmlformats.org/spreadsheetml/2006/main" count="1004" uniqueCount="477">
  <si>
    <t>Kedudukan Alat</t>
  </si>
  <si>
    <t>Target</t>
  </si>
  <si>
    <t>Sudut Horizontal</t>
  </si>
  <si>
    <t>Biasa</t>
  </si>
  <si>
    <t>Luar Biasa</t>
  </si>
  <si>
    <t>Sudut Terukur</t>
  </si>
  <si>
    <t>TOR</t>
  </si>
  <si>
    <t>HI</t>
  </si>
  <si>
    <t>Titik</t>
  </si>
  <si>
    <t>HT</t>
  </si>
  <si>
    <t>Derajat</t>
  </si>
  <si>
    <t>Menit</t>
  </si>
  <si>
    <t>Detik</t>
  </si>
  <si>
    <t>DD</t>
  </si>
  <si>
    <t xml:space="preserve">Menit </t>
  </si>
  <si>
    <t>Rata-Rata</t>
  </si>
  <si>
    <t>P1</t>
  </si>
  <si>
    <t>P6</t>
  </si>
  <si>
    <t>P2</t>
  </si>
  <si>
    <t>P3</t>
  </si>
  <si>
    <t>P4</t>
  </si>
  <si>
    <t>P5</t>
  </si>
  <si>
    <t>Sudut Vertikal</t>
  </si>
  <si>
    <t xml:space="preserve"> </t>
  </si>
  <si>
    <t>Ht</t>
  </si>
  <si>
    <t>FORMULIR UKUR JARAK</t>
  </si>
  <si>
    <t>JARAK</t>
  </si>
  <si>
    <t>Ah</t>
  </si>
  <si>
    <t>JARAK MIRING (SD)</t>
  </si>
  <si>
    <t>JARAK VERTIKAL (VD)</t>
  </si>
  <si>
    <t>JARAK HORIZONTAL (HD)</t>
  </si>
  <si>
    <t>Sisi</t>
  </si>
  <si>
    <t>Pergi</t>
  </si>
  <si>
    <t>Pulang</t>
  </si>
  <si>
    <t>Rerata Pergi</t>
  </si>
  <si>
    <t>Rerata Pulang</t>
  </si>
  <si>
    <t>Rara-rata</t>
  </si>
  <si>
    <t>Rata-rata</t>
  </si>
  <si>
    <t xml:space="preserve">Pergi </t>
  </si>
  <si>
    <t xml:space="preserve">Pulang </t>
  </si>
  <si>
    <t>P1-P2</t>
  </si>
  <si>
    <t>P2-P3</t>
  </si>
  <si>
    <t>P3-P4</t>
  </si>
  <si>
    <t>P4-P5</t>
  </si>
  <si>
    <t>P5-P6</t>
  </si>
  <si>
    <t>P6-P1</t>
  </si>
  <si>
    <t>PERHITUNGAN KKV</t>
  </si>
  <si>
    <t>ΔH (mm)</t>
  </si>
  <si>
    <t>HD (m)</t>
  </si>
  <si>
    <t>KOREKSI</t>
  </si>
  <si>
    <t>H (m)</t>
  </si>
  <si>
    <t>PERGI</t>
  </si>
  <si>
    <t>PULANG</t>
  </si>
  <si>
    <t>RATA-RATA</t>
  </si>
  <si>
    <t>JUMLAH</t>
  </si>
  <si>
    <t>KESALAHAN PENUTUP TINGGI</t>
  </si>
  <si>
    <t>ƩΔH PERGI</t>
  </si>
  <si>
    <t>=</t>
  </si>
  <si>
    <t>fH</t>
  </si>
  <si>
    <t>ƩΔH Rata-rata</t>
  </si>
  <si>
    <t>ƩΔH PULANG</t>
  </si>
  <si>
    <t>mm =</t>
  </si>
  <si>
    <t>SELISIH (fh)</t>
  </si>
  <si>
    <t xml:space="preserve">m </t>
  </si>
  <si>
    <t>ƩΔD (m)</t>
  </si>
  <si>
    <t xml:space="preserve"> Ʃkoreksi</t>
  </si>
  <si>
    <t>KKH</t>
  </si>
  <si>
    <t>Kesalahan penutup sudut</t>
  </si>
  <si>
    <t>Sudut Dalam(β)</t>
  </si>
  <si>
    <t>Koreksi</t>
  </si>
  <si>
    <t>Sudut Terkoreksi</t>
  </si>
  <si>
    <t>Jarak</t>
  </si>
  <si>
    <t>Azimuth(α)</t>
  </si>
  <si>
    <t>D.SIN α</t>
  </si>
  <si>
    <t>D.COS α</t>
  </si>
  <si>
    <t>Koordinat</t>
  </si>
  <si>
    <t>∑β</t>
  </si>
  <si>
    <t>Asal</t>
  </si>
  <si>
    <t>Terkoreksi</t>
  </si>
  <si>
    <t>X</t>
  </si>
  <si>
    <t>Y</t>
  </si>
  <si>
    <t>Z</t>
  </si>
  <si>
    <t>∑βsyarat</t>
  </si>
  <si>
    <t>Toleransi(Detik)</t>
  </si>
  <si>
    <t>Kesalahan penutup sudut(fβ)</t>
  </si>
  <si>
    <t>Koreksi penutup sudut (fβ/n)</t>
  </si>
  <si>
    <t>Kesalahan penutup poligon</t>
  </si>
  <si>
    <t>fx(absis)</t>
  </si>
  <si>
    <t>fy(Ordinat)</t>
  </si>
  <si>
    <t>fl</t>
  </si>
  <si>
    <t>Ketelitian (fl/∑d)</t>
  </si>
  <si>
    <t>:</t>
  </si>
  <si>
    <t>Artinya kesalahan pengukuran jarak adalah 1cm setiap 16355,8591cm</t>
  </si>
  <si>
    <t>∑</t>
  </si>
  <si>
    <t>∑n-∑β</t>
  </si>
  <si>
    <t>(∑n-∑β)/4</t>
  </si>
  <si>
    <t>PO</t>
  </si>
  <si>
    <t>ww</t>
  </si>
  <si>
    <t>wwwwwwwwwwwwwwwww</t>
  </si>
  <si>
    <t>NO</t>
  </si>
  <si>
    <t>Tinggi alat</t>
  </si>
  <si>
    <t>Tinggi target</t>
  </si>
  <si>
    <t>Decimal Angle</t>
  </si>
  <si>
    <t xml:space="preserve">Sudut Terukur </t>
  </si>
  <si>
    <t>Azimuth</t>
  </si>
  <si>
    <t xml:space="preserve">Jarak </t>
  </si>
  <si>
    <t>ΔH (m)</t>
  </si>
  <si>
    <t>Absis</t>
  </si>
  <si>
    <t>Ordinat</t>
  </si>
  <si>
    <t>Easthing (X)</t>
  </si>
  <si>
    <t>Northing (Y)</t>
  </si>
  <si>
    <t>Tinggi Tanah (z)</t>
  </si>
  <si>
    <t>HD</t>
  </si>
  <si>
    <t>VD</t>
  </si>
  <si>
    <t>SD</t>
  </si>
  <si>
    <t>Jl 1</t>
  </si>
  <si>
    <t>J34</t>
  </si>
  <si>
    <t>J35</t>
  </si>
  <si>
    <t>J36</t>
  </si>
  <si>
    <t>J37</t>
  </si>
  <si>
    <t>J38</t>
  </si>
  <si>
    <t>J39</t>
  </si>
  <si>
    <t>J40</t>
  </si>
  <si>
    <t>J41</t>
  </si>
  <si>
    <t>J42</t>
  </si>
  <si>
    <t>J43</t>
  </si>
  <si>
    <t>J44</t>
  </si>
  <si>
    <t>J45</t>
  </si>
  <si>
    <t>J46</t>
  </si>
  <si>
    <t>J47</t>
  </si>
  <si>
    <t>J48</t>
  </si>
  <si>
    <t>J49</t>
  </si>
  <si>
    <t>J50</t>
  </si>
  <si>
    <t>J51</t>
  </si>
  <si>
    <t>J52</t>
  </si>
  <si>
    <t>J53</t>
  </si>
  <si>
    <t>J54</t>
  </si>
  <si>
    <t>J55</t>
  </si>
  <si>
    <t>J56</t>
  </si>
  <si>
    <t>J57</t>
  </si>
  <si>
    <t>J58</t>
  </si>
  <si>
    <t>J59</t>
  </si>
  <si>
    <t>J60</t>
  </si>
  <si>
    <t>J61</t>
  </si>
  <si>
    <t>J62</t>
  </si>
  <si>
    <t>J63</t>
  </si>
  <si>
    <t>J64</t>
  </si>
  <si>
    <t>J65</t>
  </si>
  <si>
    <t>J66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</si>
  <si>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</si>
  <si>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</si>
  <si>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</si>
  <si>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</si>
  <si>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</si>
  <si>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</si>
  <si>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</si>
  <si>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</si>
  <si>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</si>
  <si>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</si>
  <si>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</si>
  <si>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</si>
  <si>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</si>
  <si>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</si>
  <si>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</si>
  <si>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</si>
  <si>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P25</t>
  </si>
  <si>
    <t>P26</t>
  </si>
  <si>
    <t>P27</t>
  </si>
  <si>
    <t>P28</t>
  </si>
  <si>
    <t>P29</t>
  </si>
  <si>
    <t>P30</t>
  </si>
  <si>
    <t>P31</t>
  </si>
  <si>
    <t>P32</t>
  </si>
  <si>
    <t>P33</t>
  </si>
  <si>
    <t>P34</t>
  </si>
  <si>
    <t>P35</t>
  </si>
  <si>
    <t>P36</t>
  </si>
  <si>
    <t>G7</t>
  </si>
  <si>
    <t>G6</t>
  </si>
  <si>
    <t>B7</t>
  </si>
  <si>
    <t>Jl 2</t>
  </si>
  <si>
    <t>J67</t>
  </si>
  <si>
    <t>J68</t>
  </si>
  <si>
    <t>J69</t>
  </si>
  <si>
    <t>J70</t>
  </si>
  <si>
    <t>J71</t>
  </si>
  <si>
    <t>J72</t>
  </si>
  <si>
    <t>J73</t>
  </si>
  <si>
    <t>J74</t>
  </si>
  <si>
    <t>J75</t>
  </si>
  <si>
    <t>J76</t>
  </si>
  <si>
    <t>J77</t>
  </si>
  <si>
    <t>J78</t>
  </si>
  <si>
    <t>J79</t>
  </si>
  <si>
    <t>J80</t>
  </si>
  <si>
    <t>J81</t>
  </si>
  <si>
    <t>J82</t>
  </si>
  <si>
    <t>J83</t>
  </si>
  <si>
    <t>J84</t>
  </si>
  <si>
    <t>J85</t>
  </si>
  <si>
    <t>J86</t>
  </si>
  <si>
    <t>J87</t>
  </si>
  <si>
    <t>J88</t>
  </si>
  <si>
    <t>J89</t>
  </si>
  <si>
    <t>J90</t>
  </si>
  <si>
    <t>J91</t>
  </si>
  <si>
    <t>J92</t>
  </si>
  <si>
    <t>J93</t>
  </si>
  <si>
    <t>J94</t>
  </si>
  <si>
    <t>J95</t>
  </si>
  <si>
    <t>J96</t>
  </si>
  <si>
    <t>J97</t>
  </si>
  <si>
    <t>J98</t>
  </si>
  <si>
    <t>J99</t>
  </si>
  <si>
    <t>P37</t>
  </si>
  <si>
    <t>P38</t>
  </si>
  <si>
    <t>P39</t>
  </si>
  <si>
    <t>P40</t>
  </si>
  <si>
    <t>P41</t>
  </si>
  <si>
    <t>P42</t>
  </si>
  <si>
    <t>P43</t>
  </si>
  <si>
    <t>P44</t>
  </si>
  <si>
    <t>P45</t>
  </si>
  <si>
    <t>P46</t>
  </si>
  <si>
    <t>P47</t>
  </si>
  <si>
    <t>P48</t>
  </si>
  <si>
    <t>P49</t>
  </si>
  <si>
    <t>P50</t>
  </si>
  <si>
    <t>P51</t>
  </si>
  <si>
    <t>P52</t>
  </si>
  <si>
    <t>P53</t>
  </si>
  <si>
    <t>P54</t>
  </si>
  <si>
    <t>P55</t>
  </si>
  <si>
    <t>P56</t>
  </si>
  <si>
    <t>P57</t>
  </si>
  <si>
    <t>P58</t>
  </si>
  <si>
    <t>P59</t>
  </si>
  <si>
    <t>P60</t>
  </si>
  <si>
    <t>P61</t>
  </si>
  <si>
    <t>P62</t>
  </si>
  <si>
    <t>P63</t>
  </si>
  <si>
    <t>P64</t>
  </si>
  <si>
    <t>G5</t>
  </si>
  <si>
    <t>G4</t>
  </si>
  <si>
    <t>B8</t>
  </si>
  <si>
    <t>DETAIL P1 &amp; TITIK BANTU P1 &amp; DETAIL P2</t>
  </si>
  <si>
    <t>DETAI</t>
  </si>
  <si>
    <t>TGT</t>
  </si>
  <si>
    <t>α</t>
  </si>
  <si>
    <t>SUDUT HORIZONTAL (R-ANGLE)</t>
  </si>
  <si>
    <t>SUDUT VERTIKAL (ZENITH)</t>
  </si>
  <si>
    <t>JARAK ELEKTRONIS (m)</t>
  </si>
  <si>
    <t>KOORDINAT (m)</t>
  </si>
  <si>
    <t>HI (m)</t>
  </si>
  <si>
    <t>TITIK</t>
  </si>
  <si>
    <t>HT (m)</t>
  </si>
  <si>
    <t>ID</t>
  </si>
  <si>
    <t>KODE</t>
  </si>
  <si>
    <t>DESKRIPSI</t>
  </si>
  <si>
    <t>DD˚</t>
  </si>
  <si>
    <t>D˚</t>
  </si>
  <si>
    <t>M′</t>
  </si>
  <si>
    <t>S″</t>
  </si>
  <si>
    <t>STA</t>
  </si>
  <si>
    <t>F6</t>
  </si>
  <si>
    <t>BACKSIDE</t>
  </si>
  <si>
    <t>JL1</t>
  </si>
  <si>
    <t>fordside</t>
  </si>
  <si>
    <t>JL2</t>
  </si>
  <si>
    <t>JL3</t>
  </si>
  <si>
    <t>JL4</t>
  </si>
  <si>
    <t>JL5</t>
  </si>
  <si>
    <t>JL6</t>
  </si>
  <si>
    <t>JL7</t>
  </si>
  <si>
    <t>JL8</t>
  </si>
  <si>
    <t>UT1</t>
  </si>
  <si>
    <t>UT2</t>
  </si>
  <si>
    <t>JL9</t>
  </si>
  <si>
    <t>UT3</t>
  </si>
  <si>
    <t>JL10</t>
  </si>
  <si>
    <t>UT4</t>
  </si>
  <si>
    <t>JL11</t>
  </si>
  <si>
    <t>UT5</t>
  </si>
  <si>
    <t>JL12</t>
  </si>
  <si>
    <t>UT6</t>
  </si>
  <si>
    <t>JL13</t>
  </si>
  <si>
    <t>B1</t>
  </si>
  <si>
    <t>JL14</t>
  </si>
  <si>
    <t>UT7</t>
  </si>
  <si>
    <t>JL15</t>
  </si>
  <si>
    <t>UT8</t>
  </si>
  <si>
    <t>JL16</t>
  </si>
  <si>
    <t>b2</t>
  </si>
  <si>
    <t>JL17</t>
  </si>
  <si>
    <t>b3</t>
  </si>
  <si>
    <t>JL18</t>
  </si>
  <si>
    <t>b4</t>
  </si>
  <si>
    <t>JL19</t>
  </si>
  <si>
    <t>b5</t>
  </si>
  <si>
    <t>JL20</t>
  </si>
  <si>
    <t>F4</t>
  </si>
  <si>
    <t>b6</t>
  </si>
  <si>
    <t>JL21</t>
  </si>
  <si>
    <t>b7</t>
  </si>
  <si>
    <t>JL22</t>
  </si>
  <si>
    <t>K1</t>
  </si>
  <si>
    <t>K2</t>
  </si>
  <si>
    <t>K3</t>
  </si>
  <si>
    <t>K4</t>
  </si>
  <si>
    <t>K5</t>
  </si>
  <si>
    <t>K6</t>
  </si>
  <si>
    <t>K7</t>
  </si>
  <si>
    <t>K8</t>
  </si>
  <si>
    <t>K9</t>
  </si>
  <si>
    <t>K10</t>
  </si>
  <si>
    <t>K11</t>
  </si>
  <si>
    <t>K12</t>
  </si>
  <si>
    <t>K13</t>
  </si>
  <si>
    <t>UT9</t>
  </si>
  <si>
    <t>K14</t>
  </si>
  <si>
    <t>UT10</t>
  </si>
  <si>
    <t>K15</t>
  </si>
  <si>
    <t>UT11</t>
  </si>
  <si>
    <t>K16</t>
  </si>
  <si>
    <t>UT12</t>
  </si>
  <si>
    <t>K17</t>
  </si>
  <si>
    <t>UT13</t>
  </si>
  <si>
    <t>K18</t>
  </si>
  <si>
    <t>UT14</t>
  </si>
  <si>
    <t>K19</t>
  </si>
  <si>
    <t xml:space="preserve">                                                                                                                          </t>
  </si>
  <si>
    <t>UT15</t>
  </si>
  <si>
    <t>K20</t>
  </si>
  <si>
    <t>UT16</t>
  </si>
  <si>
    <t>K21</t>
  </si>
  <si>
    <t>UT17</t>
  </si>
  <si>
    <t>K22</t>
  </si>
  <si>
    <t>K23</t>
  </si>
  <si>
    <t>K24</t>
  </si>
  <si>
    <t>K25</t>
  </si>
  <si>
    <t>K26</t>
  </si>
  <si>
    <t>K27</t>
  </si>
  <si>
    <t>K28</t>
  </si>
  <si>
    <t>K29</t>
  </si>
  <si>
    <t>K30</t>
  </si>
  <si>
    <t>K31</t>
  </si>
  <si>
    <t>p1</t>
  </si>
  <si>
    <t>K32</t>
  </si>
  <si>
    <t>B</t>
  </si>
  <si>
    <t>TB1</t>
  </si>
  <si>
    <t>K33</t>
  </si>
  <si>
    <t>A</t>
  </si>
  <si>
    <t>TB2</t>
  </si>
  <si>
    <t>K34</t>
  </si>
  <si>
    <t>N</t>
  </si>
  <si>
    <t>TB3</t>
  </si>
  <si>
    <t>K35</t>
  </si>
  <si>
    <t>T</t>
  </si>
  <si>
    <t>TB4</t>
  </si>
  <si>
    <t>K36</t>
  </si>
  <si>
    <t>U</t>
  </si>
  <si>
    <t>TB5</t>
  </si>
  <si>
    <t>K37</t>
  </si>
  <si>
    <t>TB6</t>
  </si>
  <si>
    <t>K38</t>
  </si>
  <si>
    <t>K39</t>
  </si>
  <si>
    <t>B9</t>
  </si>
  <si>
    <t>K40</t>
  </si>
  <si>
    <t>K41</t>
  </si>
  <si>
    <t>B2</t>
  </si>
  <si>
    <t>PK1</t>
  </si>
  <si>
    <t>PK2</t>
  </si>
  <si>
    <t>PK3</t>
  </si>
  <si>
    <t>PK4</t>
  </si>
  <si>
    <t>PK5</t>
  </si>
  <si>
    <t>PK6</t>
  </si>
  <si>
    <t>PK7</t>
  </si>
  <si>
    <t>GD1</t>
  </si>
  <si>
    <t>GD2</t>
  </si>
  <si>
    <t>DETAIL P3 DAN TITIK BANTU P3 DAN DETAIL P4(DETAIL P3 DIBAWAH)</t>
  </si>
  <si>
    <t xml:space="preserve">kontur </t>
  </si>
  <si>
    <t>b1</t>
  </si>
  <si>
    <t>a</t>
  </si>
  <si>
    <t>pk1</t>
  </si>
  <si>
    <t>n</t>
  </si>
  <si>
    <t>t</t>
  </si>
  <si>
    <t>pk2</t>
  </si>
  <si>
    <t>u</t>
  </si>
  <si>
    <t>pk3</t>
  </si>
  <si>
    <t>SELANJUDNYA P4</t>
  </si>
  <si>
    <t>PK8</t>
  </si>
  <si>
    <t>PK9</t>
  </si>
  <si>
    <t>PK10</t>
  </si>
  <si>
    <t>PK11</t>
  </si>
  <si>
    <t>L1</t>
  </si>
  <si>
    <t>L2</t>
  </si>
  <si>
    <t>PK12</t>
  </si>
  <si>
    <t>PK13</t>
  </si>
  <si>
    <t>PK14</t>
  </si>
  <si>
    <t>DETAIL P3</t>
  </si>
  <si>
    <t>1.70</t>
  </si>
  <si>
    <t>T1</t>
  </si>
  <si>
    <t>T2</t>
  </si>
  <si>
    <t>GD3</t>
  </si>
  <si>
    <t>GD4</t>
  </si>
  <si>
    <t>GD5</t>
  </si>
  <si>
    <t>GD6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</si>
  <si>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</si>
  <si>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</si>
  <si>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</si>
  <si>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</si>
  <si>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</si>
  <si>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</si>
  <si>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</si>
  <si>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</si>
  <si>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</si>
  <si>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</si>
  <si>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T3</t>
  </si>
  <si>
    <t>LTP1</t>
  </si>
  <si>
    <t>LTP2</t>
  </si>
  <si>
    <t>LB1</t>
  </si>
  <si>
    <t>LB2</t>
  </si>
  <si>
    <t>T4</t>
  </si>
  <si>
    <t>T5</t>
  </si>
  <si>
    <t>T6</t>
  </si>
  <si>
    <t>GD7</t>
  </si>
  <si>
    <t>GD8</t>
  </si>
  <si>
    <t>LTP4</t>
  </si>
  <si>
    <t>LTP3</t>
  </si>
  <si>
    <t>DETAIL P5 DAN P6</t>
  </si>
  <si>
    <t>JL 1</t>
  </si>
  <si>
    <t>JL 2</t>
  </si>
  <si>
    <t>JL 3</t>
  </si>
  <si>
    <t>JL 4</t>
  </si>
  <si>
    <t>JL 5</t>
  </si>
  <si>
    <t>JL 6</t>
  </si>
  <si>
    <t>JL 7</t>
  </si>
  <si>
    <t>JL 8</t>
  </si>
  <si>
    <t>JL 9</t>
  </si>
  <si>
    <t>JL 10</t>
  </si>
  <si>
    <t>JL 11</t>
  </si>
  <si>
    <t>JL 12</t>
  </si>
  <si>
    <t>JL 13</t>
  </si>
  <si>
    <t>JL 14</t>
  </si>
  <si>
    <t>JL 15</t>
  </si>
  <si>
    <t>JL 16</t>
  </si>
  <si>
    <t>JL 17</t>
  </si>
  <si>
    <t>JL 18</t>
  </si>
  <si>
    <t>JL 19</t>
  </si>
  <si>
    <t>JL 20</t>
  </si>
  <si>
    <t>p5</t>
  </si>
  <si>
    <t>asrama 1</t>
  </si>
  <si>
    <t>asrama 2</t>
  </si>
  <si>
    <t>asrama 3</t>
  </si>
  <si>
    <t>trotoar 1</t>
  </si>
  <si>
    <t>trotoar 2</t>
  </si>
  <si>
    <t>trotoar 3</t>
  </si>
  <si>
    <t>trotoar 4</t>
  </si>
  <si>
    <t>trotoar 5</t>
  </si>
  <si>
    <t>trotoar 6</t>
  </si>
  <si>
    <t>trotoar 7</t>
  </si>
  <si>
    <t>trotoar 8</t>
  </si>
  <si>
    <t>trotoar 9</t>
  </si>
  <si>
    <t>trotoar 10</t>
  </si>
  <si>
    <t>trotoar 11</t>
  </si>
  <si>
    <t>trotoar 12</t>
  </si>
  <si>
    <t>trotoar 13</t>
  </si>
  <si>
    <t>trotoar 14</t>
  </si>
  <si>
    <t>trotoar 15</t>
  </si>
  <si>
    <t>trotoar 16</t>
  </si>
  <si>
    <t>trotoar 17</t>
  </si>
  <si>
    <t>trotoar 18</t>
  </si>
  <si>
    <t>trotoar 19</t>
  </si>
  <si>
    <t>asrama 4</t>
  </si>
  <si>
    <t>asrama 5</t>
  </si>
  <si>
    <t>toleransi</t>
  </si>
  <si>
    <t>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</si>
</sst>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64" formatCode="0.000"/>
    <numFmt numFmtId="165" formatCode="0.0"/>
    <numFmt numFmtId="166" formatCode="#,##0.000"/>
    <numFmt numFmtId="167" formatCode="0.000000"/>
    <numFmt numFmtId="168" formatCode="0.00000"/>
    <numFmt numFmtId="169" formatCode="0.00000000"/>
    <numFmt numFmtId="170" formatCode="0.000000000"/>
    <numFmt numFmtId="171" formatCode="0.0000000"/>
    <numFmt numFmtId="172" formatCode="0.0000"/>
    <numFmt numFmtId="173" formatCode="_(* #,##0.00_);_(* \(#,##0.00\);_(* &quot;-&quot;??_);_(@_)"/>
    <numFmt numFmtId="174" formatCode="#,##0.0000"/>
  </numFmts>
  <fonts count="29" x14ac:knownFonts="1">
    <font>
      <sz val="11"/>
      <color rgb="FF000000"/>
      <name val="Arial"/>
      <scheme val="minor"/>
    </font>
    <font>
      <b/>
      <sz val="12"/>
      <name val="Times New Roman"/>
    </font>
    <font>
      <sz val="11"/>
      <name val="Arial"/>
    </font>
    <font>
      <b/>
      <sz val="12"/>
      <color rgb="FF000000"/>
      <name val="Times New Roman"/>
    </font>
    <font>
      <sz val="12"/>
      <name val="Times New Roman"/>
    </font>
    <font>
      <sz val="11"/>
      <name val="Calibri"/>
    </font>
    <font>
      <sz val="12"/>
      <color rgb="FF000000"/>
      <name val="Times New Roman"/>
    </font>
    <font>
      <sz val="11"/>
      <name val="Arial"/>
    </font>
    <font>
      <sz val="10"/>
      <name val="Calibri"/>
    </font>
    <font>
      <b/>
      <sz val="16"/>
      <name val="Calibri"/>
    </font>
    <font>
      <b/>
      <sz val="11"/>
      <name val="Calibri"/>
    </font>
    <font>
      <sz val="24"/>
      <name val="Calibri"/>
    </font>
    <font>
      <sz val="11"/>
      <name val="Calibri"/>
    </font>
    <font>
      <sz val="11"/>
      <color rgb="FF000000"/>
      <name val="Arial"/>
    </font>
    <font>
      <sz val="10"/>
      <color rgb="FF000000"/>
      <name val="Roboto"/>
    </font>
    <font>
      <sz val="11"/>
      <color rgb="FF000000"/>
      <name val="Calibri"/>
    </font>
    <font>
      <b/>
      <sz val="11"/>
      <color rgb="FF000000"/>
      <name val="Calibri"/>
    </font>
    <font>
      <sz val="11"/>
      <name val="Times New Roman"/>
    </font>
    <font>
      <sz val="11"/>
      <color rgb="FF000000"/>
      <name val="Times New Roman"/>
    </font>
    <font>
      <sz val="26"/>
      <name val="Calibri"/>
    </font>
    <font>
      <sz val="22"/>
      <name val="Arial"/>
    </font>
    <font>
      <sz val="10"/>
      <name val="Calibri"/>
    </font>
    <font>
      <sz val="10"/>
      <color rgb="FFFFFFFF"/>
      <name val="Calibri"/>
    </font>
    <font>
      <sz val="11"/>
      <color rgb="FFFFFFFF"/>
      <name val="Times New Roman"/>
    </font>
    <font>
      <sz val="11"/>
      <color rgb="FFFFFFFF"/>
      <name val="Calibri"/>
    </font>
    <font>
      <sz val="22"/>
      <color rgb="FFFFFFFF"/>
      <name val="Arial"/>
    </font>
    <font>
      <sz val="28"/>
      <name val="Arial"/>
    </font>
    <font>
      <sz val="11"/>
      <name val="Arial"/>
      <family val="2"/>
    </font>
    <font>
      <sz val="11"/>
      <color theme="1"/>
      <name val="Calibri"/>
      <family val="2"/>
    </font>
  </fonts>
  <fills count="27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  <fill>
      <patternFill patternType="solid">
        <fgColor rgb="FFF4B083"/>
        <bgColor rgb="FFF4B083"/>
      </patternFill>
    </fill>
    <fill>
      <patternFill patternType="solid">
        <fgColor rgb="FFBDD6EE"/>
        <bgColor rgb="FFBDD6EE"/>
      </patternFill>
    </fill>
    <fill>
      <patternFill patternType="solid">
        <fgColor rgb="FFE2EFD9"/>
        <bgColor rgb="FFE2EFD9"/>
      </patternFill>
    </fill>
    <fill>
      <patternFill patternType="solid">
        <fgColor rgb="FFB4C6E7"/>
        <bgColor rgb="FFB4C6E7"/>
      </patternFill>
    </fill>
    <fill>
      <patternFill patternType="solid">
        <fgColor rgb="FF2E75B5"/>
        <bgColor rgb="FF2E75B5"/>
      </patternFill>
    </fill>
    <fill>
      <patternFill patternType="solid">
        <fgColor rgb="FF9CC2E5"/>
        <bgColor rgb="FF9CC2E5"/>
      </patternFill>
    </fill>
    <fill>
      <patternFill patternType="solid">
        <fgColor rgb="FFFFD965"/>
        <bgColor rgb="FFFFD965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rgb="FFFFC000"/>
      </patternFill>
    </fill>
    <fill>
      <patternFill patternType="solid">
        <fgColor rgb="FFC5E0B3"/>
        <bgColor rgb="FFC5E0B3"/>
      </patternFill>
    </fill>
    <fill>
      <patternFill patternType="solid">
        <fgColor rgb="FF99FF33"/>
        <bgColor rgb="FF99FF33"/>
      </patternFill>
    </fill>
    <fill>
      <patternFill patternType="solid">
        <fgColor rgb="FFF7CAAC"/>
        <bgColor rgb="FFF7CAAC"/>
      </patternFill>
    </fill>
    <fill>
      <patternFill patternType="solid">
        <fgColor rgb="FFAEABAB"/>
        <bgColor rgb="FFAEABAB"/>
      </patternFill>
    </fill>
    <fill>
      <patternFill patternType="solid">
        <fgColor rgb="FFFFFFFF"/>
        <bgColor rgb="FFFFFFFF"/>
      </patternFill>
    </fill>
    <fill>
      <patternFill patternType="solid">
        <fgColor rgb="FFFFD865"/>
        <bgColor rgb="FFFFD865"/>
      </patternFill>
    </fill>
    <fill>
      <patternFill patternType="solid">
        <fgColor rgb="FFD9D9D9"/>
        <bgColor rgb="FFD9D9D9"/>
      </patternFill>
    </fill>
    <fill>
      <patternFill patternType="solid">
        <fgColor rgb="FFACB9CA"/>
        <bgColor rgb="FFACB9CA"/>
      </patternFill>
    </fill>
    <fill>
      <patternFill patternType="solid">
        <fgColor rgb="FFADB9CA"/>
        <bgColor rgb="FFADB9CA"/>
      </patternFill>
    </fill>
    <fill>
      <patternFill patternType="solid">
        <fgColor rgb="FFFFE598"/>
        <bgColor rgb="FFFFE598"/>
      </patternFill>
    </fill>
    <fill>
      <patternFill patternType="solid">
        <fgColor rgb="FFBFBFBF"/>
        <bgColor rgb="FFBFBFBF"/>
      </patternFill>
    </fill>
    <fill>
      <patternFill patternType="solid">
        <fgColor rgb="FFF2F2F2"/>
        <bgColor rgb="FFF2F2F2"/>
      </patternFill>
    </fill>
    <fill>
      <patternFill patternType="solid">
        <fgColor rgb="FFFFFF00"/>
        <bgColor rgb="FFC5E0B3"/>
      </patternFill>
    </fill>
    <fill>
      <patternFill patternType="solid">
        <fgColor rgb="FFFFC000"/>
        <bgColor rgb="FFC5E0B3"/>
      </patternFill>
    </fill>
    <fill>
      <patternFill patternType="solid">
        <fgColor theme="7" tint="0.39997558519241921"/>
        <bgColor rgb="FFC5E0B3"/>
      </patternFill>
    </fill>
  </fills>
  <borders count="9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/>
      <right/>
      <top/>
      <bottom/>
      <diagonal/>
    </border>
    <border>
      <left/>
      <right style="medium">
        <color rgb="FF000000"/>
      </right>
      <top style="medium">
        <color rgb="FFCCCCCC"/>
      </top>
      <bottom/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/>
      <diagonal/>
    </border>
    <border>
      <left/>
      <right/>
      <top style="thin">
        <color rgb="FFBFBFBF"/>
      </top>
      <bottom/>
      <diagonal/>
    </border>
    <border>
      <left/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/>
      <top/>
      <bottom/>
      <diagonal/>
    </border>
    <border>
      <left/>
      <right style="thin">
        <color rgb="FFBFBFBF"/>
      </right>
      <top/>
      <bottom/>
      <diagonal/>
    </border>
    <border>
      <left style="thin">
        <color rgb="FFBFBFBF"/>
      </left>
      <right/>
      <top/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/>
      <top style="thin">
        <color rgb="FFBFBFBF"/>
      </top>
      <bottom/>
      <diagonal/>
    </border>
    <border>
      <left/>
      <right/>
      <top style="thin">
        <color rgb="FFBFBFBF"/>
      </top>
      <bottom/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</borders>
  <cellStyleXfs count="1">
    <xf numFmtId="0" fontId="0" fillId="0" borderId="0"/>
  </cellStyleXfs>
  <cellXfs count="467">
    <xf numFmtId="0" fontId="0" fillId="0" borderId="0" xfId="0"/>
    <xf numFmtId="0" fontId="4" fillId="3" borderId="12" xfId="0" applyFont="1" applyFill="1" applyBorder="1" applyAlignment="1">
      <alignment horizontal="center" vertical="center"/>
    </xf>
    <xf numFmtId="0" fontId="4" fillId="3" borderId="13" xfId="0" applyFont="1" applyFill="1" applyBorder="1" applyAlignment="1">
      <alignment horizontal="center" vertical="center"/>
    </xf>
    <xf numFmtId="0" fontId="4" fillId="3" borderId="14" xfId="0" applyFont="1" applyFill="1" applyBorder="1" applyAlignment="1">
      <alignment horizontal="center" vertical="center"/>
    </xf>
    <xf numFmtId="0" fontId="4" fillId="4" borderId="12" xfId="0" applyFont="1" applyFill="1" applyBorder="1" applyAlignment="1">
      <alignment horizontal="center" vertical="center"/>
    </xf>
    <xf numFmtId="164" fontId="5" fillId="0" borderId="12" xfId="0" applyNumberFormat="1" applyFont="1" applyBorder="1" applyAlignment="1">
      <alignment horizontal="center" vertical="center"/>
    </xf>
    <xf numFmtId="0" fontId="5" fillId="4" borderId="12" xfId="0" applyFont="1" applyFill="1" applyBorder="1" applyAlignment="1">
      <alignment horizontal="center" vertical="center"/>
    </xf>
    <xf numFmtId="164" fontId="4" fillId="4" borderId="12" xfId="0" applyNumberFormat="1" applyFont="1" applyFill="1" applyBorder="1" applyAlignment="1">
      <alignment horizontal="center" vertical="center"/>
    </xf>
    <xf numFmtId="164" fontId="4" fillId="4" borderId="14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4" fillId="5" borderId="12" xfId="0" applyFont="1" applyFill="1" applyBorder="1" applyAlignment="1">
      <alignment horizontal="center" vertical="center"/>
    </xf>
    <xf numFmtId="164" fontId="4" fillId="5" borderId="12" xfId="0" applyNumberFormat="1" applyFont="1" applyFill="1" applyBorder="1" applyAlignment="1">
      <alignment horizontal="center" vertical="center"/>
    </xf>
    <xf numFmtId="164" fontId="4" fillId="5" borderId="14" xfId="0" applyNumberFormat="1" applyFont="1" applyFill="1" applyBorder="1" applyAlignment="1">
      <alignment horizontal="center" vertical="center"/>
    </xf>
    <xf numFmtId="3" fontId="5" fillId="0" borderId="12" xfId="0" applyNumberFormat="1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164" fontId="4" fillId="0" borderId="12" xfId="0" applyNumberFormat="1" applyFont="1" applyBorder="1" applyAlignment="1">
      <alignment horizontal="center" vertical="center"/>
    </xf>
    <xf numFmtId="164" fontId="4" fillId="0" borderId="3" xfId="0" applyNumberFormat="1" applyFont="1" applyBorder="1" applyAlignment="1">
      <alignment horizontal="center" vertical="center"/>
    </xf>
    <xf numFmtId="164" fontId="4" fillId="0" borderId="15" xfId="0" applyNumberFormat="1" applyFont="1" applyBorder="1" applyAlignment="1">
      <alignment horizontal="center" vertical="center"/>
    </xf>
    <xf numFmtId="0" fontId="5" fillId="0" borderId="0" xfId="0" applyFont="1"/>
    <xf numFmtId="0" fontId="4" fillId="0" borderId="15" xfId="0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0" fontId="6" fillId="5" borderId="12" xfId="0" applyFont="1" applyFill="1" applyBorder="1" applyAlignment="1">
      <alignment horizontal="center" vertical="center"/>
    </xf>
    <xf numFmtId="164" fontId="6" fillId="5" borderId="12" xfId="0" applyNumberFormat="1" applyFont="1" applyFill="1" applyBorder="1" applyAlignment="1">
      <alignment horizontal="center" vertical="center"/>
    </xf>
    <xf numFmtId="0" fontId="6" fillId="6" borderId="12" xfId="0" applyFont="1" applyFill="1" applyBorder="1" applyAlignment="1">
      <alignment horizontal="center" vertical="center"/>
    </xf>
    <xf numFmtId="164" fontId="6" fillId="6" borderId="12" xfId="0" applyNumberFormat="1" applyFont="1" applyFill="1" applyBorder="1" applyAlignment="1">
      <alignment horizontal="center" vertical="center"/>
    </xf>
    <xf numFmtId="0" fontId="7" fillId="0" borderId="0" xfId="0" applyFont="1"/>
    <xf numFmtId="164" fontId="5" fillId="0" borderId="0" xfId="0" applyNumberFormat="1" applyFont="1"/>
    <xf numFmtId="0" fontId="5" fillId="3" borderId="12" xfId="0" applyFont="1" applyFill="1" applyBorder="1" applyAlignment="1">
      <alignment horizontal="center"/>
    </xf>
    <xf numFmtId="0" fontId="8" fillId="0" borderId="26" xfId="0" applyFont="1" applyBorder="1" applyAlignment="1">
      <alignment horizontal="center" vertical="center" wrapText="1"/>
    </xf>
    <xf numFmtId="0" fontId="8" fillId="0" borderId="27" xfId="0" applyFont="1" applyBorder="1" applyAlignment="1">
      <alignment horizontal="center" vertical="center" wrapText="1"/>
    </xf>
    <xf numFmtId="0" fontId="8" fillId="0" borderId="28" xfId="0" applyFont="1" applyBorder="1" applyAlignment="1">
      <alignment horizontal="center" vertical="center" wrapText="1"/>
    </xf>
    <xf numFmtId="164" fontId="5" fillId="8" borderId="12" xfId="0" applyNumberFormat="1" applyFont="1" applyFill="1" applyBorder="1" applyAlignment="1">
      <alignment horizontal="center"/>
    </xf>
    <xf numFmtId="0" fontId="8" fillId="0" borderId="29" xfId="0" applyFont="1" applyBorder="1" applyAlignment="1">
      <alignment horizontal="center" vertical="center" wrapText="1"/>
    </xf>
    <xf numFmtId="0" fontId="6" fillId="9" borderId="12" xfId="0" applyFont="1" applyFill="1" applyBorder="1" applyAlignment="1">
      <alignment horizontal="center" vertical="center"/>
    </xf>
    <xf numFmtId="3" fontId="5" fillId="9" borderId="12" xfId="0" applyNumberFormat="1" applyFont="1" applyFill="1" applyBorder="1" applyAlignment="1">
      <alignment horizontal="center" vertical="center"/>
    </xf>
    <xf numFmtId="0" fontId="8" fillId="9" borderId="30" xfId="0" applyFont="1" applyFill="1" applyBorder="1" applyAlignment="1">
      <alignment horizontal="center" vertical="center" wrapText="1"/>
    </xf>
    <xf numFmtId="0" fontId="8" fillId="9" borderId="31" xfId="0" applyFont="1" applyFill="1" applyBorder="1" applyAlignment="1">
      <alignment horizontal="center" vertical="center" wrapText="1"/>
    </xf>
    <xf numFmtId="0" fontId="8" fillId="9" borderId="28" xfId="0" applyFont="1" applyFill="1" applyBorder="1" applyAlignment="1">
      <alignment horizontal="center" vertical="center" wrapText="1"/>
    </xf>
    <xf numFmtId="0" fontId="5" fillId="9" borderId="32" xfId="0" applyFont="1" applyFill="1" applyBorder="1"/>
    <xf numFmtId="0" fontId="8" fillId="0" borderId="33" xfId="0" applyFont="1" applyBorder="1" applyAlignment="1">
      <alignment horizontal="center" vertical="center" wrapText="1"/>
    </xf>
    <xf numFmtId="0" fontId="8" fillId="0" borderId="34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/>
    </xf>
    <xf numFmtId="0" fontId="8" fillId="0" borderId="35" xfId="0" applyFont="1" applyBorder="1" applyAlignment="1">
      <alignment horizontal="center" vertical="center" wrapText="1"/>
    </xf>
    <xf numFmtId="2" fontId="5" fillId="0" borderId="12" xfId="0" applyNumberFormat="1" applyFont="1" applyBorder="1" applyAlignment="1">
      <alignment horizontal="center" vertical="center"/>
    </xf>
    <xf numFmtId="0" fontId="5" fillId="8" borderId="12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10" fillId="0" borderId="12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/>
    </xf>
    <xf numFmtId="0" fontId="5" fillId="12" borderId="12" xfId="0" applyFont="1" applyFill="1" applyBorder="1" applyAlignment="1">
      <alignment horizontal="center" vertical="center"/>
    </xf>
    <xf numFmtId="164" fontId="5" fillId="12" borderId="12" xfId="0" applyNumberFormat="1" applyFont="1" applyFill="1" applyBorder="1" applyAlignment="1">
      <alignment horizontal="center" vertical="center"/>
    </xf>
    <xf numFmtId="0" fontId="5" fillId="12" borderId="12" xfId="0" applyFont="1" applyFill="1" applyBorder="1" applyAlignment="1">
      <alignment horizontal="center"/>
    </xf>
    <xf numFmtId="3" fontId="5" fillId="0" borderId="0" xfId="0" applyNumberFormat="1" applyFont="1"/>
    <xf numFmtId="0" fontId="5" fillId="14" borderId="13" xfId="0" applyFont="1" applyFill="1" applyBorder="1" applyAlignment="1">
      <alignment horizontal="center" vertical="center"/>
    </xf>
    <xf numFmtId="0" fontId="14" fillId="14" borderId="14" xfId="0" applyFont="1" applyFill="1" applyBorder="1" applyAlignment="1">
      <alignment horizontal="center" vertical="center"/>
    </xf>
    <xf numFmtId="0" fontId="14" fillId="14" borderId="43" xfId="0" applyFont="1" applyFill="1" applyBorder="1" applyAlignment="1">
      <alignment horizontal="center" vertical="center"/>
    </xf>
    <xf numFmtId="0" fontId="14" fillId="14" borderId="44" xfId="0" applyFont="1" applyFill="1" applyBorder="1" applyAlignment="1">
      <alignment horizontal="center" vertical="center"/>
    </xf>
    <xf numFmtId="0" fontId="5" fillId="14" borderId="45" xfId="0" applyFont="1" applyFill="1" applyBorder="1" applyAlignment="1">
      <alignment horizontal="center" vertical="center"/>
    </xf>
    <xf numFmtId="0" fontId="5" fillId="14" borderId="12" xfId="0" applyFont="1" applyFill="1" applyBorder="1" applyAlignment="1">
      <alignment horizontal="center" vertical="center"/>
    </xf>
    <xf numFmtId="166" fontId="5" fillId="14" borderId="12" xfId="0" applyNumberFormat="1" applyFont="1" applyFill="1" applyBorder="1" applyAlignment="1">
      <alignment horizontal="center" vertical="center"/>
    </xf>
    <xf numFmtId="0" fontId="5" fillId="14" borderId="46" xfId="0" applyFont="1" applyFill="1" applyBorder="1" applyAlignment="1">
      <alignment horizontal="center" vertical="center"/>
    </xf>
    <xf numFmtId="164" fontId="5" fillId="14" borderId="45" xfId="0" applyNumberFormat="1" applyFont="1" applyFill="1" applyBorder="1" applyAlignment="1">
      <alignment horizontal="center" vertical="center"/>
    </xf>
    <xf numFmtId="0" fontId="5" fillId="14" borderId="12" xfId="0" applyFont="1" applyFill="1" applyBorder="1"/>
    <xf numFmtId="164" fontId="5" fillId="14" borderId="12" xfId="0" applyNumberFormat="1" applyFont="1" applyFill="1" applyBorder="1"/>
    <xf numFmtId="166" fontId="5" fillId="14" borderId="12" xfId="0" applyNumberFormat="1" applyFont="1" applyFill="1" applyBorder="1"/>
    <xf numFmtId="0" fontId="14" fillId="0" borderId="1" xfId="0" applyFont="1" applyBorder="1"/>
    <xf numFmtId="0" fontId="5" fillId="0" borderId="37" xfId="0" applyFont="1" applyBorder="1" applyAlignment="1">
      <alignment horizontal="right"/>
    </xf>
    <xf numFmtId="164" fontId="5" fillId="0" borderId="2" xfId="0" applyNumberFormat="1" applyFont="1" applyBorder="1"/>
    <xf numFmtId="0" fontId="14" fillId="0" borderId="12" xfId="0" applyFont="1" applyBorder="1"/>
    <xf numFmtId="0" fontId="5" fillId="0" borderId="12" xfId="0" applyFont="1" applyBorder="1" applyAlignment="1">
      <alignment horizontal="right"/>
    </xf>
    <xf numFmtId="0" fontId="5" fillId="0" borderId="12" xfId="0" applyFont="1" applyBorder="1"/>
    <xf numFmtId="0" fontId="14" fillId="0" borderId="38" xfId="0" applyFont="1" applyBorder="1"/>
    <xf numFmtId="0" fontId="5" fillId="0" borderId="0" xfId="0" applyFont="1" applyAlignment="1">
      <alignment horizontal="right"/>
    </xf>
    <xf numFmtId="164" fontId="5" fillId="0" borderId="21" xfId="0" applyNumberFormat="1" applyFont="1" applyBorder="1"/>
    <xf numFmtId="164" fontId="5" fillId="0" borderId="12" xfId="0" applyNumberFormat="1" applyFont="1" applyBorder="1"/>
    <xf numFmtId="0" fontId="5" fillId="0" borderId="38" xfId="0" applyFont="1" applyBorder="1"/>
    <xf numFmtId="167" fontId="5" fillId="0" borderId="12" xfId="0" applyNumberFormat="1" applyFont="1" applyBorder="1"/>
    <xf numFmtId="0" fontId="14" fillId="0" borderId="6" xfId="0" applyFont="1" applyBorder="1"/>
    <xf numFmtId="0" fontId="5" fillId="0" borderId="36" xfId="0" applyFont="1" applyBorder="1" applyAlignment="1">
      <alignment horizontal="right"/>
    </xf>
    <xf numFmtId="164" fontId="5" fillId="0" borderId="7" xfId="0" applyNumberFormat="1" applyFont="1" applyBorder="1"/>
    <xf numFmtId="0" fontId="16" fillId="0" borderId="12" xfId="0" applyFont="1" applyBorder="1"/>
    <xf numFmtId="0" fontId="4" fillId="15" borderId="12" xfId="0" applyFont="1" applyFill="1" applyBorder="1" applyAlignment="1">
      <alignment horizontal="center" vertical="center"/>
    </xf>
    <xf numFmtId="0" fontId="4" fillId="15" borderId="12" xfId="0" applyFont="1" applyFill="1" applyBorder="1" applyAlignment="1">
      <alignment horizontal="center" wrapText="1"/>
    </xf>
    <xf numFmtId="168" fontId="15" fillId="0" borderId="3" xfId="0" applyNumberFormat="1" applyFont="1" applyBorder="1" applyAlignment="1">
      <alignment horizontal="right"/>
    </xf>
    <xf numFmtId="0" fontId="4" fillId="15" borderId="51" xfId="0" applyFont="1" applyFill="1" applyBorder="1"/>
    <xf numFmtId="0" fontId="4" fillId="15" borderId="32" xfId="0" applyFont="1" applyFill="1" applyBorder="1"/>
    <xf numFmtId="0" fontId="4" fillId="15" borderId="32" xfId="0" applyFont="1" applyFill="1" applyBorder="1" applyAlignment="1">
      <alignment horizontal="center" vertical="center"/>
    </xf>
    <xf numFmtId="0" fontId="4" fillId="15" borderId="32" xfId="0" applyFont="1" applyFill="1" applyBorder="1" applyAlignment="1">
      <alignment horizontal="center" wrapText="1"/>
    </xf>
    <xf numFmtId="168" fontId="15" fillId="0" borderId="4" xfId="0" applyNumberFormat="1" applyFont="1" applyBorder="1" applyAlignment="1">
      <alignment horizontal="right"/>
    </xf>
    <xf numFmtId="168" fontId="15" fillId="0" borderId="5" xfId="0" applyNumberFormat="1" applyFont="1" applyBorder="1" applyAlignment="1">
      <alignment horizontal="right"/>
    </xf>
    <xf numFmtId="0" fontId="5" fillId="0" borderId="3" xfId="0" applyFont="1" applyBorder="1"/>
    <xf numFmtId="0" fontId="15" fillId="0" borderId="2" xfId="0" applyFont="1" applyBorder="1"/>
    <xf numFmtId="0" fontId="15" fillId="0" borderId="17" xfId="0" applyFont="1" applyBorder="1" applyAlignment="1">
      <alignment horizontal="center" vertical="center"/>
    </xf>
    <xf numFmtId="0" fontId="5" fillId="0" borderId="19" xfId="0" applyFont="1" applyBorder="1"/>
    <xf numFmtId="164" fontId="15" fillId="0" borderId="12" xfId="0" applyNumberFormat="1" applyFont="1" applyBorder="1"/>
    <xf numFmtId="0" fontId="15" fillId="0" borderId="12" xfId="0" applyFont="1" applyBorder="1"/>
    <xf numFmtId="0" fontId="5" fillId="0" borderId="5" xfId="0" applyFont="1" applyBorder="1"/>
    <xf numFmtId="2" fontId="15" fillId="0" borderId="4" xfId="0" applyNumberFormat="1" applyFont="1" applyBorder="1"/>
    <xf numFmtId="0" fontId="10" fillId="16" borderId="12" xfId="0" applyFont="1" applyFill="1" applyBorder="1" applyAlignment="1">
      <alignment horizontal="left" vertical="center"/>
    </xf>
    <xf numFmtId="164" fontId="15" fillId="0" borderId="4" xfId="0" applyNumberFormat="1" applyFont="1" applyBorder="1"/>
    <xf numFmtId="0" fontId="15" fillId="0" borderId="3" xfId="0" applyFont="1" applyBorder="1"/>
    <xf numFmtId="0" fontId="15" fillId="0" borderId="0" xfId="0" applyFont="1"/>
    <xf numFmtId="165" fontId="15" fillId="0" borderId="4" xfId="0" applyNumberFormat="1" applyFont="1" applyBorder="1"/>
    <xf numFmtId="0" fontId="10" fillId="0" borderId="12" xfId="0" applyFont="1" applyBorder="1" applyAlignment="1">
      <alignment horizontal="left"/>
    </xf>
    <xf numFmtId="0" fontId="10" fillId="0" borderId="19" xfId="0" applyFont="1" applyBorder="1" applyAlignment="1">
      <alignment horizontal="left"/>
    </xf>
    <xf numFmtId="0" fontId="5" fillId="0" borderId="6" xfId="0" applyFont="1" applyBorder="1" applyAlignment="1">
      <alignment horizontal="right"/>
    </xf>
    <xf numFmtId="0" fontId="5" fillId="0" borderId="5" xfId="0" applyFont="1" applyBorder="1" applyAlignment="1">
      <alignment horizontal="right"/>
    </xf>
    <xf numFmtId="171" fontId="5" fillId="0" borderId="12" xfId="0" applyNumberFormat="1" applyFont="1" applyBorder="1"/>
    <xf numFmtId="0" fontId="10" fillId="15" borderId="45" xfId="0" applyFont="1" applyFill="1" applyBorder="1" applyAlignment="1">
      <alignment horizontal="left"/>
    </xf>
    <xf numFmtId="0" fontId="5" fillId="15" borderId="45" xfId="0" applyFont="1" applyFill="1" applyBorder="1" applyAlignment="1">
      <alignment horizontal="center" vertical="center"/>
    </xf>
    <xf numFmtId="0" fontId="5" fillId="15" borderId="12" xfId="0" applyFont="1" applyFill="1" applyBorder="1" applyAlignment="1">
      <alignment horizontal="center" vertical="center"/>
    </xf>
    <xf numFmtId="0" fontId="5" fillId="0" borderId="17" xfId="0" applyFont="1" applyBorder="1"/>
    <xf numFmtId="167" fontId="15" fillId="0" borderId="19" xfId="0" applyNumberFormat="1" applyFont="1" applyBorder="1"/>
    <xf numFmtId="167" fontId="5" fillId="0" borderId="0" xfId="0" applyNumberFormat="1" applyFont="1"/>
    <xf numFmtId="172" fontId="15" fillId="0" borderId="12" xfId="0" applyNumberFormat="1" applyFont="1" applyBorder="1"/>
    <xf numFmtId="171" fontId="15" fillId="0" borderId="12" xfId="0" applyNumberFormat="1" applyFont="1" applyBorder="1"/>
    <xf numFmtId="164" fontId="15" fillId="0" borderId="3" xfId="0" applyNumberFormat="1" applyFont="1" applyBorder="1"/>
    <xf numFmtId="167" fontId="15" fillId="0" borderId="5" xfId="0" applyNumberFormat="1" applyFont="1" applyBorder="1"/>
    <xf numFmtId="0" fontId="17" fillId="0" borderId="12" xfId="0" applyFont="1" applyBorder="1" applyAlignment="1">
      <alignment horizontal="center" vertical="center"/>
    </xf>
    <xf numFmtId="172" fontId="17" fillId="0" borderId="12" xfId="0" applyNumberFormat="1" applyFont="1" applyBorder="1" applyAlignment="1">
      <alignment horizontal="center" vertical="center"/>
    </xf>
    <xf numFmtId="164" fontId="18" fillId="0" borderId="12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164" fontId="6" fillId="17" borderId="39" xfId="0" applyNumberFormat="1" applyFont="1" applyFill="1" applyBorder="1" applyAlignment="1">
      <alignment horizontal="center"/>
    </xf>
    <xf numFmtId="164" fontId="6" fillId="17" borderId="39" xfId="0" applyNumberFormat="1" applyFont="1" applyFill="1" applyBorder="1" applyAlignment="1">
      <alignment horizontal="center" vertical="center"/>
    </xf>
    <xf numFmtId="164" fontId="6" fillId="17" borderId="39" xfId="0" applyNumberFormat="1" applyFont="1" applyFill="1" applyBorder="1" applyAlignment="1">
      <alignment horizontal="center" vertical="center" wrapText="1"/>
    </xf>
    <xf numFmtId="0" fontId="17" fillId="19" borderId="56" xfId="0" applyFont="1" applyFill="1" applyBorder="1" applyAlignment="1">
      <alignment horizontal="center" vertical="center"/>
    </xf>
    <xf numFmtId="0" fontId="15" fillId="19" borderId="32" xfId="0" applyFont="1" applyFill="1" applyBorder="1" applyAlignment="1">
      <alignment horizontal="center" vertical="center"/>
    </xf>
    <xf numFmtId="0" fontId="18" fillId="19" borderId="56" xfId="0" applyFont="1" applyFill="1" applyBorder="1" applyAlignment="1">
      <alignment horizontal="center" vertical="center"/>
    </xf>
    <xf numFmtId="0" fontId="18" fillId="19" borderId="57" xfId="0" applyFont="1" applyFill="1" applyBorder="1" applyAlignment="1">
      <alignment horizontal="center" vertical="center"/>
    </xf>
    <xf numFmtId="0" fontId="18" fillId="19" borderId="58" xfId="0" applyFont="1" applyFill="1" applyBorder="1" applyAlignment="1">
      <alignment horizontal="center" vertical="center"/>
    </xf>
    <xf numFmtId="164" fontId="15" fillId="20" borderId="32" xfId="0" applyNumberFormat="1" applyFont="1" applyFill="1" applyBorder="1" applyAlignment="1">
      <alignment vertical="center"/>
    </xf>
    <xf numFmtId="164" fontId="15" fillId="20" borderId="39" xfId="0" applyNumberFormat="1" applyFont="1" applyFill="1" applyBorder="1" applyAlignment="1">
      <alignment vertical="center"/>
    </xf>
    <xf numFmtId="164" fontId="15" fillId="19" borderId="32" xfId="0" applyNumberFormat="1" applyFont="1" applyFill="1" applyBorder="1" applyAlignment="1">
      <alignment vertical="center"/>
    </xf>
    <xf numFmtId="164" fontId="18" fillId="19" borderId="56" xfId="0" applyNumberFormat="1" applyFont="1" applyFill="1" applyBorder="1" applyAlignment="1">
      <alignment horizontal="center" vertical="center"/>
    </xf>
    <xf numFmtId="0" fontId="18" fillId="19" borderId="59" xfId="0" applyFont="1" applyFill="1" applyBorder="1" applyAlignment="1">
      <alignment horizontal="center" vertical="center"/>
    </xf>
    <xf numFmtId="0" fontId="15" fillId="0" borderId="39" xfId="0" applyFont="1" applyBorder="1" applyAlignment="1">
      <alignment vertical="center"/>
    </xf>
    <xf numFmtId="0" fontId="15" fillId="0" borderId="0" xfId="0" applyFont="1" applyAlignment="1">
      <alignment vertical="center"/>
    </xf>
    <xf numFmtId="0" fontId="17" fillId="21" borderId="39" xfId="0" applyFont="1" applyFill="1" applyBorder="1" applyAlignment="1">
      <alignment horizontal="center" vertical="center"/>
    </xf>
    <xf numFmtId="1" fontId="17" fillId="5" borderId="39" xfId="0" applyNumberFormat="1" applyFont="1" applyFill="1" applyBorder="1" applyAlignment="1">
      <alignment horizontal="center" vertical="center"/>
    </xf>
    <xf numFmtId="0" fontId="17" fillId="21" borderId="57" xfId="0" applyFont="1" applyFill="1" applyBorder="1" applyAlignment="1">
      <alignment horizontal="center" vertical="center"/>
    </xf>
    <xf numFmtId="0" fontId="17" fillId="21" borderId="56" xfId="0" applyFont="1" applyFill="1" applyBorder="1" applyAlignment="1">
      <alignment horizontal="center" vertical="center"/>
    </xf>
    <xf numFmtId="164" fontId="15" fillId="16" borderId="39" xfId="0" applyNumberFormat="1" applyFont="1" applyFill="1" applyBorder="1" applyAlignment="1">
      <alignment vertical="center"/>
    </xf>
    <xf numFmtId="164" fontId="15" fillId="0" borderId="39" xfId="0" applyNumberFormat="1" applyFont="1" applyBorder="1" applyAlignment="1">
      <alignment vertical="center"/>
    </xf>
    <xf numFmtId="164" fontId="17" fillId="21" borderId="57" xfId="0" applyNumberFormat="1" applyFont="1" applyFill="1" applyBorder="1" applyAlignment="1">
      <alignment horizontal="center" vertical="center"/>
    </xf>
    <xf numFmtId="164" fontId="17" fillId="21" borderId="56" xfId="0" applyNumberFormat="1" applyFont="1" applyFill="1" applyBorder="1" applyAlignment="1">
      <alignment horizontal="center" vertical="center"/>
    </xf>
    <xf numFmtId="0" fontId="17" fillId="21" borderId="59" xfId="0" applyFont="1" applyFill="1" applyBorder="1" applyAlignment="1">
      <alignment horizontal="center" vertical="center"/>
    </xf>
    <xf numFmtId="0" fontId="17" fillId="14" borderId="61" xfId="0" applyFont="1" applyFill="1" applyBorder="1" applyAlignment="1">
      <alignment horizontal="center" vertical="center"/>
    </xf>
    <xf numFmtId="2" fontId="15" fillId="0" borderId="39" xfId="0" applyNumberFormat="1" applyFont="1" applyBorder="1" applyAlignment="1">
      <alignment vertical="center"/>
    </xf>
    <xf numFmtId="0" fontId="17" fillId="14" borderId="39" xfId="0" applyFont="1" applyFill="1" applyBorder="1" applyAlignment="1">
      <alignment horizontal="center" vertical="center"/>
    </xf>
    <xf numFmtId="0" fontId="17" fillId="14" borderId="43" xfId="0" applyFont="1" applyFill="1" applyBorder="1" applyAlignment="1">
      <alignment horizontal="center" vertical="center"/>
    </xf>
    <xf numFmtId="164" fontId="17" fillId="14" borderId="43" xfId="0" applyNumberFormat="1" applyFont="1" applyFill="1" applyBorder="1" applyAlignment="1">
      <alignment horizontal="center" vertical="center"/>
    </xf>
    <xf numFmtId="164" fontId="17" fillId="14" borderId="61" xfId="0" applyNumberFormat="1" applyFont="1" applyFill="1" applyBorder="1" applyAlignment="1">
      <alignment horizontal="center" vertical="center"/>
    </xf>
    <xf numFmtId="0" fontId="17" fillId="14" borderId="63" xfId="0" applyFont="1" applyFill="1" applyBorder="1" applyAlignment="1">
      <alignment horizontal="center" vertical="center"/>
    </xf>
    <xf numFmtId="0" fontId="17" fillId="21" borderId="64" xfId="0" applyFont="1" applyFill="1" applyBorder="1" applyAlignment="1">
      <alignment horizontal="center" vertical="center"/>
    </xf>
    <xf numFmtId="0" fontId="17" fillId="14" borderId="32" xfId="0" applyFont="1" applyFill="1" applyBorder="1" applyAlignment="1">
      <alignment horizontal="center" vertical="center"/>
    </xf>
    <xf numFmtId="0" fontId="17" fillId="21" borderId="65" xfId="0" applyFont="1" applyFill="1" applyBorder="1" applyAlignment="1">
      <alignment horizontal="center" vertical="center"/>
    </xf>
    <xf numFmtId="164" fontId="17" fillId="21" borderId="65" xfId="0" applyNumberFormat="1" applyFont="1" applyFill="1" applyBorder="1" applyAlignment="1">
      <alignment horizontal="center" vertical="center"/>
    </xf>
    <xf numFmtId="164" fontId="17" fillId="21" borderId="64" xfId="0" applyNumberFormat="1" applyFont="1" applyFill="1" applyBorder="1" applyAlignment="1">
      <alignment horizontal="center" vertical="center"/>
    </xf>
    <xf numFmtId="0" fontId="17" fillId="21" borderId="66" xfId="0" applyFont="1" applyFill="1" applyBorder="1" applyAlignment="1">
      <alignment horizontal="center" vertical="center"/>
    </xf>
    <xf numFmtId="0" fontId="17" fillId="21" borderId="61" xfId="0" applyFont="1" applyFill="1" applyBorder="1" applyAlignment="1">
      <alignment horizontal="center" vertical="center"/>
    </xf>
    <xf numFmtId="0" fontId="17" fillId="21" borderId="32" xfId="0" applyFont="1" applyFill="1" applyBorder="1" applyAlignment="1">
      <alignment horizontal="center" vertical="center"/>
    </xf>
    <xf numFmtId="0" fontId="17" fillId="21" borderId="43" xfId="0" applyFont="1" applyFill="1" applyBorder="1" applyAlignment="1">
      <alignment horizontal="center" vertical="center"/>
    </xf>
    <xf numFmtId="164" fontId="17" fillId="21" borderId="43" xfId="0" applyNumberFormat="1" applyFont="1" applyFill="1" applyBorder="1" applyAlignment="1">
      <alignment horizontal="center" vertical="center"/>
    </xf>
    <xf numFmtId="164" fontId="17" fillId="21" borderId="61" xfId="0" applyNumberFormat="1" applyFont="1" applyFill="1" applyBorder="1" applyAlignment="1">
      <alignment horizontal="center" vertical="center"/>
    </xf>
    <xf numFmtId="0" fontId="17" fillId="21" borderId="63" xfId="0" applyFont="1" applyFill="1" applyBorder="1" applyAlignment="1">
      <alignment horizontal="center" vertical="center"/>
    </xf>
    <xf numFmtId="0" fontId="17" fillId="14" borderId="56" xfId="0" applyFont="1" applyFill="1" applyBorder="1" applyAlignment="1">
      <alignment horizontal="center" vertical="center"/>
    </xf>
    <xf numFmtId="0" fontId="17" fillId="21" borderId="12" xfId="0" applyFont="1" applyFill="1" applyBorder="1" applyAlignment="1">
      <alignment horizontal="center" vertical="center"/>
    </xf>
    <xf numFmtId="0" fontId="17" fillId="14" borderId="12" xfId="0" applyFont="1" applyFill="1" applyBorder="1" applyAlignment="1">
      <alignment horizontal="center" vertical="center"/>
    </xf>
    <xf numFmtId="1" fontId="17" fillId="6" borderId="39" xfId="0" applyNumberFormat="1" applyFont="1" applyFill="1" applyBorder="1" applyAlignment="1">
      <alignment horizontal="center" vertical="center"/>
    </xf>
    <xf numFmtId="0" fontId="17" fillId="6" borderId="43" xfId="0" applyFont="1" applyFill="1" applyBorder="1" applyAlignment="1">
      <alignment horizontal="center" vertical="center"/>
    </xf>
    <xf numFmtId="0" fontId="17" fillId="6" borderId="61" xfId="0" applyFont="1" applyFill="1" applyBorder="1" applyAlignment="1">
      <alignment horizontal="center" vertical="center"/>
    </xf>
    <xf numFmtId="0" fontId="15" fillId="6" borderId="39" xfId="0" applyFont="1" applyFill="1" applyBorder="1" applyAlignment="1">
      <alignment vertical="center"/>
    </xf>
    <xf numFmtId="164" fontId="15" fillId="6" borderId="39" xfId="0" applyNumberFormat="1" applyFont="1" applyFill="1" applyBorder="1" applyAlignment="1">
      <alignment vertical="center"/>
    </xf>
    <xf numFmtId="164" fontId="17" fillId="6" borderId="43" xfId="0" applyNumberFormat="1" applyFont="1" applyFill="1" applyBorder="1" applyAlignment="1">
      <alignment horizontal="center" vertical="center"/>
    </xf>
    <xf numFmtId="164" fontId="17" fillId="6" borderId="61" xfId="0" applyNumberFormat="1" applyFont="1" applyFill="1" applyBorder="1" applyAlignment="1">
      <alignment horizontal="center" vertical="center"/>
    </xf>
    <xf numFmtId="0" fontId="17" fillId="6" borderId="63" xfId="0" applyFont="1" applyFill="1" applyBorder="1" applyAlignment="1">
      <alignment horizontal="center" vertical="center"/>
    </xf>
    <xf numFmtId="0" fontId="17" fillId="6" borderId="32" xfId="0" applyFont="1" applyFill="1" applyBorder="1" applyAlignment="1">
      <alignment horizontal="center" vertical="center"/>
    </xf>
    <xf numFmtId="0" fontId="5" fillId="6" borderId="32" xfId="0" applyFont="1" applyFill="1" applyBorder="1"/>
    <xf numFmtId="0" fontId="15" fillId="6" borderId="32" xfId="0" applyFont="1" applyFill="1" applyBorder="1" applyAlignment="1">
      <alignment vertical="center"/>
    </xf>
    <xf numFmtId="0" fontId="12" fillId="18" borderId="12" xfId="0" applyFont="1" applyFill="1" applyBorder="1" applyAlignment="1">
      <alignment horizontal="center" vertical="center"/>
    </xf>
    <xf numFmtId="0" fontId="12" fillId="18" borderId="13" xfId="0" applyFont="1" applyFill="1" applyBorder="1" applyAlignment="1">
      <alignment horizontal="center" vertical="center"/>
    </xf>
    <xf numFmtId="0" fontId="5" fillId="0" borderId="71" xfId="0" applyFont="1" applyBorder="1" applyAlignment="1">
      <alignment horizontal="center" vertical="center"/>
    </xf>
    <xf numFmtId="164" fontId="5" fillId="0" borderId="71" xfId="0" applyNumberFormat="1" applyFont="1" applyBorder="1" applyAlignment="1">
      <alignment horizontal="center" vertical="center"/>
    </xf>
    <xf numFmtId="1" fontId="5" fillId="0" borderId="71" xfId="0" applyNumberFormat="1" applyFont="1" applyBorder="1" applyAlignment="1">
      <alignment horizontal="center" vertical="center"/>
    </xf>
    <xf numFmtId="0" fontId="5" fillId="0" borderId="71" xfId="0" applyFont="1" applyBorder="1"/>
    <xf numFmtId="2" fontId="17" fillId="0" borderId="71" xfId="0" applyNumberFormat="1" applyFont="1" applyBorder="1" applyAlignment="1">
      <alignment horizontal="center" vertical="center"/>
    </xf>
    <xf numFmtId="0" fontId="17" fillId="0" borderId="71" xfId="0" applyFont="1" applyBorder="1" applyAlignment="1">
      <alignment horizontal="center" vertical="center"/>
    </xf>
    <xf numFmtId="164" fontId="17" fillId="0" borderId="71" xfId="0" applyNumberFormat="1" applyFont="1" applyBorder="1" applyAlignment="1">
      <alignment horizontal="center" vertical="center"/>
    </xf>
    <xf numFmtId="164" fontId="12" fillId="0" borderId="0" xfId="0" applyNumberFormat="1" applyFont="1"/>
    <xf numFmtId="0" fontId="12" fillId="11" borderId="12" xfId="0" applyFont="1" applyFill="1" applyBorder="1" applyAlignment="1">
      <alignment horizontal="center" vertical="center"/>
    </xf>
    <xf numFmtId="164" fontId="12" fillId="11" borderId="12" xfId="0" applyNumberFormat="1" applyFont="1" applyFill="1" applyBorder="1" applyAlignment="1">
      <alignment horizontal="center" vertical="center"/>
    </xf>
    <xf numFmtId="164" fontId="15" fillId="11" borderId="12" xfId="0" applyNumberFormat="1" applyFont="1" applyFill="1" applyBorder="1" applyAlignment="1">
      <alignment horizontal="center" vertical="center"/>
    </xf>
    <xf numFmtId="1" fontId="12" fillId="11" borderId="12" xfId="0" applyNumberFormat="1" applyFont="1" applyFill="1" applyBorder="1" applyAlignment="1">
      <alignment horizontal="center" vertical="center"/>
    </xf>
    <xf numFmtId="0" fontId="8" fillId="0" borderId="71" xfId="0" applyFont="1" applyBorder="1" applyAlignment="1">
      <alignment horizontal="center" vertical="center"/>
    </xf>
    <xf numFmtId="2" fontId="17" fillId="0" borderId="39" xfId="0" applyNumberFormat="1" applyFont="1" applyBorder="1" applyAlignment="1">
      <alignment horizontal="center" vertical="center"/>
    </xf>
    <xf numFmtId="0" fontId="17" fillId="0" borderId="57" xfId="0" applyFont="1" applyBorder="1" applyAlignment="1">
      <alignment horizontal="center" vertical="center"/>
    </xf>
    <xf numFmtId="0" fontId="17" fillId="0" borderId="56" xfId="0" applyFont="1" applyBorder="1" applyAlignment="1">
      <alignment horizontal="center" vertical="center"/>
    </xf>
    <xf numFmtId="0" fontId="17" fillId="0" borderId="59" xfId="0" applyFont="1" applyBorder="1" applyAlignment="1">
      <alignment horizontal="center" vertical="center"/>
    </xf>
    <xf numFmtId="0" fontId="17" fillId="0" borderId="61" xfId="0" applyFont="1" applyBorder="1" applyAlignment="1">
      <alignment horizontal="center" vertical="center"/>
    </xf>
    <xf numFmtId="164" fontId="17" fillId="0" borderId="57" xfId="0" applyNumberFormat="1" applyFont="1" applyBorder="1" applyAlignment="1">
      <alignment horizontal="center" vertical="center"/>
    </xf>
    <xf numFmtId="164" fontId="17" fillId="0" borderId="56" xfId="0" applyNumberFormat="1" applyFont="1" applyBorder="1" applyAlignment="1">
      <alignment horizontal="center" vertical="center"/>
    </xf>
    <xf numFmtId="1" fontId="5" fillId="0" borderId="12" xfId="0" applyNumberFormat="1" applyFont="1" applyBorder="1" applyAlignment="1">
      <alignment horizontal="center" vertical="center"/>
    </xf>
    <xf numFmtId="0" fontId="7" fillId="0" borderId="32" xfId="0" applyFont="1" applyBorder="1"/>
    <xf numFmtId="0" fontId="8" fillId="0" borderId="12" xfId="0" applyFont="1" applyBorder="1" applyAlignment="1">
      <alignment horizontal="center" vertical="center"/>
    </xf>
    <xf numFmtId="0" fontId="17" fillId="0" borderId="43" xfId="0" applyFont="1" applyBorder="1" applyAlignment="1">
      <alignment horizontal="center" vertical="center"/>
    </xf>
    <xf numFmtId="0" fontId="17" fillId="0" borderId="63" xfId="0" applyFont="1" applyBorder="1" applyAlignment="1">
      <alignment horizontal="center" vertical="center"/>
    </xf>
    <xf numFmtId="0" fontId="17" fillId="0" borderId="64" xfId="0" applyFont="1" applyBorder="1" applyAlignment="1">
      <alignment horizontal="center" vertical="center"/>
    </xf>
    <xf numFmtId="164" fontId="17" fillId="0" borderId="43" xfId="0" applyNumberFormat="1" applyFont="1" applyBorder="1" applyAlignment="1">
      <alignment horizontal="center" vertical="center"/>
    </xf>
    <xf numFmtId="164" fontId="17" fillId="0" borderId="61" xfId="0" applyNumberFormat="1" applyFont="1" applyBorder="1" applyAlignment="1">
      <alignment horizontal="center" vertical="center"/>
    </xf>
    <xf numFmtId="0" fontId="17" fillId="0" borderId="65" xfId="0" applyFont="1" applyBorder="1" applyAlignment="1">
      <alignment horizontal="center" vertical="center"/>
    </xf>
    <xf numFmtId="0" fontId="17" fillId="0" borderId="66" xfId="0" applyFont="1" applyBorder="1" applyAlignment="1">
      <alignment horizontal="center" vertical="center"/>
    </xf>
    <xf numFmtId="164" fontId="17" fillId="0" borderId="65" xfId="0" applyNumberFormat="1" applyFont="1" applyBorder="1" applyAlignment="1">
      <alignment horizontal="center" vertical="center"/>
    </xf>
    <xf numFmtId="164" fontId="17" fillId="0" borderId="64" xfId="0" applyNumberFormat="1" applyFont="1" applyBorder="1" applyAlignment="1">
      <alignment horizontal="center" vertical="center"/>
    </xf>
    <xf numFmtId="0" fontId="12" fillId="0" borderId="0" xfId="0" applyFont="1"/>
    <xf numFmtId="0" fontId="5" fillId="0" borderId="32" xfId="0" applyFont="1" applyBorder="1"/>
    <xf numFmtId="0" fontId="12" fillId="10" borderId="32" xfId="0" applyFont="1" applyFill="1" applyBorder="1"/>
    <xf numFmtId="0" fontId="13" fillId="10" borderId="32" xfId="0" applyFont="1" applyFill="1" applyBorder="1"/>
    <xf numFmtId="173" fontId="17" fillId="0" borderId="43" xfId="0" applyNumberFormat="1" applyFont="1" applyBorder="1" applyAlignment="1">
      <alignment horizontal="center" vertical="center"/>
    </xf>
    <xf numFmtId="0" fontId="7" fillId="0" borderId="12" xfId="0" applyFont="1" applyBorder="1"/>
    <xf numFmtId="0" fontId="7" fillId="0" borderId="12" xfId="0" applyFont="1" applyBorder="1" applyAlignment="1">
      <alignment horizontal="center"/>
    </xf>
    <xf numFmtId="0" fontId="7" fillId="0" borderId="12" xfId="0" applyFont="1" applyBorder="1" applyAlignment="1">
      <alignment horizontal="center" vertical="center"/>
    </xf>
    <xf numFmtId="164" fontId="17" fillId="0" borderId="12" xfId="0" applyNumberFormat="1" applyFont="1" applyBorder="1" applyAlignment="1">
      <alignment horizontal="center" vertical="center"/>
    </xf>
    <xf numFmtId="166" fontId="7" fillId="0" borderId="12" xfId="0" applyNumberFormat="1" applyFont="1" applyBorder="1" applyAlignment="1">
      <alignment horizontal="center" vertical="center"/>
    </xf>
    <xf numFmtId="0" fontId="5" fillId="0" borderId="45" xfId="0" applyFont="1" applyBorder="1"/>
    <xf numFmtId="3" fontId="7" fillId="0" borderId="12" xfId="0" applyNumberFormat="1" applyFont="1" applyBorder="1" applyAlignment="1">
      <alignment horizontal="center" vertical="center"/>
    </xf>
    <xf numFmtId="0" fontId="5" fillId="0" borderId="14" xfId="0" applyFont="1" applyBorder="1" applyAlignment="1">
      <alignment vertical="center"/>
    </xf>
    <xf numFmtId="0" fontId="5" fillId="0" borderId="43" xfId="0" applyFont="1" applyBorder="1"/>
    <xf numFmtId="165" fontId="5" fillId="0" borderId="12" xfId="0" applyNumberFormat="1" applyFont="1" applyBorder="1" applyAlignment="1">
      <alignment horizontal="center" vertical="center"/>
    </xf>
    <xf numFmtId="173" fontId="17" fillId="0" borderId="71" xfId="0" applyNumberFormat="1" applyFont="1" applyBorder="1" applyAlignment="1">
      <alignment horizontal="center" vertical="center"/>
    </xf>
    <xf numFmtId="173" fontId="13" fillId="0" borderId="0" xfId="0" applyNumberFormat="1" applyFont="1"/>
    <xf numFmtId="2" fontId="5" fillId="0" borderId="71" xfId="0" applyNumberFormat="1" applyFont="1" applyBorder="1" applyAlignment="1">
      <alignment horizontal="center" vertical="center"/>
    </xf>
    <xf numFmtId="166" fontId="17" fillId="0" borderId="12" xfId="0" applyNumberFormat="1" applyFont="1" applyBorder="1" applyAlignment="1">
      <alignment horizontal="center" vertical="center"/>
    </xf>
    <xf numFmtId="166" fontId="5" fillId="0" borderId="12" xfId="0" applyNumberFormat="1" applyFont="1" applyBorder="1" applyAlignment="1">
      <alignment horizontal="center" vertical="center"/>
    </xf>
    <xf numFmtId="0" fontId="13" fillId="0" borderId="0" xfId="0" applyFont="1"/>
    <xf numFmtId="0" fontId="7" fillId="0" borderId="71" xfId="0" applyFont="1" applyBorder="1"/>
    <xf numFmtId="0" fontId="7" fillId="0" borderId="71" xfId="0" applyFont="1" applyBorder="1" applyAlignment="1">
      <alignment horizontal="center"/>
    </xf>
    <xf numFmtId="0" fontId="7" fillId="0" borderId="71" xfId="0" applyFont="1" applyBorder="1" applyAlignment="1">
      <alignment horizontal="center" vertical="center"/>
    </xf>
    <xf numFmtId="166" fontId="7" fillId="0" borderId="71" xfId="0" applyNumberFormat="1" applyFont="1" applyBorder="1" applyAlignment="1">
      <alignment horizontal="center" vertical="center"/>
    </xf>
    <xf numFmtId="164" fontId="7" fillId="0" borderId="12" xfId="0" applyNumberFormat="1" applyFont="1" applyBorder="1"/>
    <xf numFmtId="164" fontId="12" fillId="0" borderId="3" xfId="0" applyNumberFormat="1" applyFont="1" applyBorder="1" applyAlignment="1">
      <alignment horizontal="center" vertical="center"/>
    </xf>
    <xf numFmtId="3" fontId="7" fillId="0" borderId="12" xfId="0" applyNumberFormat="1" applyFont="1" applyBorder="1"/>
    <xf numFmtId="3" fontId="7" fillId="0" borderId="71" xfId="0" applyNumberFormat="1" applyFont="1" applyBorder="1" applyAlignment="1">
      <alignment horizontal="center" vertical="center"/>
    </xf>
    <xf numFmtId="0" fontId="5" fillId="0" borderId="71" xfId="0" applyFont="1" applyBorder="1" applyAlignment="1">
      <alignment vertical="center"/>
    </xf>
    <xf numFmtId="165" fontId="5" fillId="0" borderId="71" xfId="0" applyNumberFormat="1" applyFont="1" applyBorder="1" applyAlignment="1">
      <alignment horizontal="center" vertical="center"/>
    </xf>
    <xf numFmtId="166" fontId="17" fillId="0" borderId="71" xfId="0" applyNumberFormat="1" applyFont="1" applyBorder="1" applyAlignment="1">
      <alignment horizontal="center" vertical="center"/>
    </xf>
    <xf numFmtId="166" fontId="5" fillId="0" borderId="71" xfId="0" applyNumberFormat="1" applyFont="1" applyBorder="1" applyAlignment="1">
      <alignment horizontal="center" vertical="center"/>
    </xf>
    <xf numFmtId="0" fontId="17" fillId="10" borderId="57" xfId="0" applyFont="1" applyFill="1" applyBorder="1" applyAlignment="1">
      <alignment horizontal="center" vertical="center"/>
    </xf>
    <xf numFmtId="0" fontId="17" fillId="10" borderId="56" xfId="0" applyFont="1" applyFill="1" applyBorder="1" applyAlignment="1">
      <alignment horizontal="center" vertical="center"/>
    </xf>
    <xf numFmtId="164" fontId="12" fillId="10" borderId="12" xfId="0" applyNumberFormat="1" applyFont="1" applyFill="1" applyBorder="1" applyAlignment="1">
      <alignment horizontal="center" vertical="center"/>
    </xf>
    <xf numFmtId="0" fontId="17" fillId="10" borderId="59" xfId="0" applyFont="1" applyFill="1" applyBorder="1" applyAlignment="1">
      <alignment horizontal="center" vertical="center"/>
    </xf>
    <xf numFmtId="0" fontId="17" fillId="10" borderId="61" xfId="0" applyFont="1" applyFill="1" applyBorder="1" applyAlignment="1">
      <alignment horizontal="center" vertical="center"/>
    </xf>
    <xf numFmtId="164" fontId="17" fillId="10" borderId="57" xfId="0" applyNumberFormat="1" applyFont="1" applyFill="1" applyBorder="1" applyAlignment="1">
      <alignment horizontal="center" vertical="center"/>
    </xf>
    <xf numFmtId="164" fontId="17" fillId="10" borderId="56" xfId="0" applyNumberFormat="1" applyFont="1" applyFill="1" applyBorder="1" applyAlignment="1">
      <alignment horizontal="center" vertical="center"/>
    </xf>
    <xf numFmtId="0" fontId="21" fillId="10" borderId="12" xfId="0" applyFont="1" applyFill="1" applyBorder="1" applyAlignment="1">
      <alignment horizontal="center" vertical="center"/>
    </xf>
    <xf numFmtId="0" fontId="12" fillId="10" borderId="12" xfId="0" applyFont="1" applyFill="1" applyBorder="1" applyAlignment="1">
      <alignment horizontal="center" vertical="center"/>
    </xf>
    <xf numFmtId="0" fontId="17" fillId="10" borderId="43" xfId="0" applyFont="1" applyFill="1" applyBorder="1" applyAlignment="1">
      <alignment horizontal="center" vertical="center"/>
    </xf>
    <xf numFmtId="0" fontId="17" fillId="10" borderId="63" xfId="0" applyFont="1" applyFill="1" applyBorder="1" applyAlignment="1">
      <alignment horizontal="center" vertical="center"/>
    </xf>
    <xf numFmtId="164" fontId="17" fillId="10" borderId="43" xfId="0" applyNumberFormat="1" applyFont="1" applyFill="1" applyBorder="1" applyAlignment="1">
      <alignment horizontal="center" vertical="center"/>
    </xf>
    <xf numFmtId="164" fontId="17" fillId="10" borderId="61" xfId="0" applyNumberFormat="1" applyFont="1" applyFill="1" applyBorder="1" applyAlignment="1">
      <alignment horizontal="center" vertical="center"/>
    </xf>
    <xf numFmtId="1" fontId="12" fillId="10" borderId="12" xfId="0" applyNumberFormat="1" applyFont="1" applyFill="1" applyBorder="1" applyAlignment="1">
      <alignment horizontal="center" vertical="center"/>
    </xf>
    <xf numFmtId="0" fontId="21" fillId="22" borderId="12" xfId="0" applyFont="1" applyFill="1" applyBorder="1" applyAlignment="1">
      <alignment horizontal="center" vertical="center"/>
    </xf>
    <xf numFmtId="2" fontId="17" fillId="22" borderId="39" xfId="0" applyNumberFormat="1" applyFont="1" applyFill="1" applyBorder="1" applyAlignment="1">
      <alignment horizontal="center" vertical="center"/>
    </xf>
    <xf numFmtId="0" fontId="12" fillId="22" borderId="12" xfId="0" applyFont="1" applyFill="1" applyBorder="1" applyAlignment="1">
      <alignment horizontal="center" vertical="center"/>
    </xf>
    <xf numFmtId="164" fontId="12" fillId="22" borderId="12" xfId="0" applyNumberFormat="1" applyFont="1" applyFill="1" applyBorder="1" applyAlignment="1">
      <alignment horizontal="center" vertical="center"/>
    </xf>
    <xf numFmtId="0" fontId="17" fillId="22" borderId="43" xfId="0" applyFont="1" applyFill="1" applyBorder="1" applyAlignment="1">
      <alignment horizontal="center" vertical="center"/>
    </xf>
    <xf numFmtId="0" fontId="17" fillId="22" borderId="61" xfId="0" applyFont="1" applyFill="1" applyBorder="1" applyAlignment="1">
      <alignment horizontal="center" vertical="center"/>
    </xf>
    <xf numFmtId="0" fontId="17" fillId="22" borderId="63" xfId="0" applyFont="1" applyFill="1" applyBorder="1" applyAlignment="1">
      <alignment horizontal="center" vertical="center"/>
    </xf>
    <xf numFmtId="164" fontId="17" fillId="22" borderId="43" xfId="0" applyNumberFormat="1" applyFont="1" applyFill="1" applyBorder="1" applyAlignment="1">
      <alignment horizontal="center" vertical="center"/>
    </xf>
    <xf numFmtId="164" fontId="17" fillId="22" borderId="61" xfId="0" applyNumberFormat="1" applyFont="1" applyFill="1" applyBorder="1" applyAlignment="1">
      <alignment horizontal="center" vertical="center"/>
    </xf>
    <xf numFmtId="1" fontId="12" fillId="22" borderId="12" xfId="0" applyNumberFormat="1" applyFont="1" applyFill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2" fontId="17" fillId="0" borderId="56" xfId="0" applyNumberFormat="1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164" fontId="5" fillId="0" borderId="13" xfId="0" applyNumberFormat="1" applyFont="1" applyBorder="1" applyAlignment="1">
      <alignment horizontal="center" vertical="center"/>
    </xf>
    <xf numFmtId="0" fontId="17" fillId="0" borderId="91" xfId="0" applyFont="1" applyBorder="1" applyAlignment="1">
      <alignment horizontal="center" vertical="center"/>
    </xf>
    <xf numFmtId="0" fontId="17" fillId="0" borderId="92" xfId="0" applyFont="1" applyBorder="1" applyAlignment="1">
      <alignment horizontal="center" vertical="center"/>
    </xf>
    <xf numFmtId="0" fontId="17" fillId="0" borderId="93" xfId="0" applyFont="1" applyBorder="1" applyAlignment="1">
      <alignment horizontal="center" vertical="center"/>
    </xf>
    <xf numFmtId="164" fontId="17" fillId="0" borderId="91" xfId="0" applyNumberFormat="1" applyFont="1" applyBorder="1" applyAlignment="1">
      <alignment horizontal="center" vertical="center"/>
    </xf>
    <xf numFmtId="164" fontId="17" fillId="0" borderId="92" xfId="0" applyNumberFormat="1" applyFont="1" applyBorder="1" applyAlignment="1">
      <alignment horizontal="center" vertical="center"/>
    </xf>
    <xf numFmtId="0" fontId="5" fillId="0" borderId="46" xfId="0" applyFont="1" applyBorder="1"/>
    <xf numFmtId="0" fontId="22" fillId="0" borderId="71" xfId="0" applyFont="1" applyBorder="1" applyAlignment="1">
      <alignment horizontal="center" vertical="center"/>
    </xf>
    <xf numFmtId="2" fontId="23" fillId="0" borderId="71" xfId="0" applyNumberFormat="1" applyFont="1" applyBorder="1" applyAlignment="1">
      <alignment horizontal="center" vertical="center"/>
    </xf>
    <xf numFmtId="0" fontId="24" fillId="0" borderId="71" xfId="0" applyFont="1" applyBorder="1" applyAlignment="1">
      <alignment horizontal="center" vertical="center"/>
    </xf>
    <xf numFmtId="164" fontId="24" fillId="0" borderId="71" xfId="0" applyNumberFormat="1" applyFont="1" applyBorder="1" applyAlignment="1">
      <alignment horizontal="center" vertical="center"/>
    </xf>
    <xf numFmtId="0" fontId="23" fillId="0" borderId="71" xfId="0" applyFont="1" applyBorder="1" applyAlignment="1">
      <alignment horizontal="center" vertical="center"/>
    </xf>
    <xf numFmtId="164" fontId="23" fillId="0" borderId="71" xfId="0" applyNumberFormat="1" applyFont="1" applyBorder="1" applyAlignment="1">
      <alignment horizontal="center" vertical="center"/>
    </xf>
    <xf numFmtId="1" fontId="24" fillId="0" borderId="71" xfId="0" applyNumberFormat="1" applyFont="1" applyBorder="1" applyAlignment="1">
      <alignment horizontal="center" vertical="center"/>
    </xf>
    <xf numFmtId="0" fontId="17" fillId="10" borderId="91" xfId="0" applyFont="1" applyFill="1" applyBorder="1" applyAlignment="1">
      <alignment horizontal="center" vertical="center"/>
    </xf>
    <xf numFmtId="0" fontId="17" fillId="23" borderId="12" xfId="0" applyFont="1" applyFill="1" applyBorder="1" applyAlignment="1">
      <alignment horizontal="center" vertical="center"/>
    </xf>
    <xf numFmtId="0" fontId="21" fillId="10" borderId="13" xfId="0" applyFont="1" applyFill="1" applyBorder="1" applyAlignment="1">
      <alignment horizontal="center" vertical="center"/>
    </xf>
    <xf numFmtId="164" fontId="12" fillId="10" borderId="13" xfId="0" applyNumberFormat="1" applyFont="1" applyFill="1" applyBorder="1" applyAlignment="1">
      <alignment horizontal="center" vertical="center"/>
    </xf>
    <xf numFmtId="0" fontId="17" fillId="10" borderId="92" xfId="0" applyFont="1" applyFill="1" applyBorder="1" applyAlignment="1">
      <alignment horizontal="center" vertical="center"/>
    </xf>
    <xf numFmtId="0" fontId="17" fillId="10" borderId="12" xfId="0" applyFont="1" applyFill="1" applyBorder="1" applyAlignment="1">
      <alignment horizontal="center" vertical="center"/>
    </xf>
    <xf numFmtId="0" fontId="17" fillId="10" borderId="93" xfId="0" applyFont="1" applyFill="1" applyBorder="1" applyAlignment="1">
      <alignment horizontal="center" vertical="center"/>
    </xf>
    <xf numFmtId="164" fontId="17" fillId="10" borderId="91" xfId="0" applyNumberFormat="1" applyFont="1" applyFill="1" applyBorder="1" applyAlignment="1">
      <alignment horizontal="center" vertical="center"/>
    </xf>
    <xf numFmtId="164" fontId="17" fillId="10" borderId="92" xfId="0" applyNumberFormat="1" applyFont="1" applyFill="1" applyBorder="1" applyAlignment="1">
      <alignment horizontal="center" vertical="center"/>
    </xf>
    <xf numFmtId="2" fontId="17" fillId="10" borderId="39" xfId="0" applyNumberFormat="1" applyFont="1" applyFill="1" applyBorder="1" applyAlignment="1">
      <alignment horizontal="center" vertical="center"/>
    </xf>
    <xf numFmtId="0" fontId="7" fillId="0" borderId="13" xfId="0" applyFont="1" applyBorder="1"/>
    <xf numFmtId="3" fontId="7" fillId="0" borderId="13" xfId="0" applyNumberFormat="1" applyFont="1" applyBorder="1"/>
    <xf numFmtId="1" fontId="5" fillId="0" borderId="13" xfId="0" applyNumberFormat="1" applyFont="1" applyBorder="1" applyAlignment="1">
      <alignment horizontal="center" vertical="center"/>
    </xf>
    <xf numFmtId="0" fontId="5" fillId="0" borderId="13" xfId="0" applyFont="1" applyBorder="1"/>
    <xf numFmtId="0" fontId="7" fillId="0" borderId="71" xfId="0" applyFont="1" applyBorder="1" applyAlignment="1">
      <alignment vertical="center"/>
    </xf>
    <xf numFmtId="172" fontId="7" fillId="0" borderId="71" xfId="0" applyNumberFormat="1" applyFont="1" applyBorder="1" applyAlignment="1">
      <alignment horizontal="center" vertical="center"/>
    </xf>
    <xf numFmtId="3" fontId="7" fillId="0" borderId="71" xfId="0" applyNumberFormat="1" applyFont="1" applyBorder="1" applyAlignment="1">
      <alignment vertical="center"/>
    </xf>
    <xf numFmtId="0" fontId="13" fillId="0" borderId="13" xfId="0" applyFont="1" applyBorder="1"/>
    <xf numFmtId="164" fontId="13" fillId="0" borderId="13" xfId="0" applyNumberFormat="1" applyFont="1" applyBorder="1" applyAlignment="1">
      <alignment horizontal="center" vertical="center"/>
    </xf>
    <xf numFmtId="0" fontId="13" fillId="0" borderId="13" xfId="0" applyFont="1" applyBorder="1" applyAlignment="1">
      <alignment horizontal="center" vertical="center"/>
    </xf>
    <xf numFmtId="174" fontId="13" fillId="0" borderId="13" xfId="0" applyNumberFormat="1" applyFont="1" applyBorder="1"/>
    <xf numFmtId="1" fontId="12" fillId="0" borderId="13" xfId="0" applyNumberFormat="1" applyFont="1" applyBorder="1" applyAlignment="1">
      <alignment horizontal="center" vertical="center"/>
    </xf>
    <xf numFmtId="164" fontId="7" fillId="0" borderId="71" xfId="0" applyNumberFormat="1" applyFont="1" applyBorder="1" applyAlignment="1">
      <alignment horizontal="center" vertical="center"/>
    </xf>
    <xf numFmtId="0" fontId="7" fillId="0" borderId="96" xfId="0" applyFont="1" applyBorder="1" applyAlignment="1">
      <alignment horizontal="center" vertical="center"/>
    </xf>
    <xf numFmtId="1" fontId="7" fillId="0" borderId="97" xfId="0" applyNumberFormat="1" applyFont="1" applyBorder="1" applyAlignment="1">
      <alignment horizontal="center" vertical="center"/>
    </xf>
    <xf numFmtId="1" fontId="7" fillId="0" borderId="71" xfId="0" applyNumberFormat="1" applyFont="1" applyBorder="1" applyAlignment="1">
      <alignment horizontal="center" vertical="center"/>
    </xf>
    <xf numFmtId="164" fontId="7" fillId="0" borderId="96" xfId="0" applyNumberFormat="1" applyFont="1" applyBorder="1" applyAlignment="1">
      <alignment horizontal="center" vertical="center"/>
    </xf>
    <xf numFmtId="3" fontId="7" fillId="0" borderId="96" xfId="0" applyNumberFormat="1" applyFont="1" applyBorder="1" applyAlignment="1">
      <alignment horizontal="center" vertical="center"/>
    </xf>
    <xf numFmtId="172" fontId="5" fillId="0" borderId="19" xfId="0" applyNumberFormat="1" applyFont="1" applyBorder="1"/>
    <xf numFmtId="172" fontId="5" fillId="0" borderId="5" xfId="0" applyNumberFormat="1" applyFont="1" applyBorder="1"/>
    <xf numFmtId="172" fontId="5" fillId="0" borderId="12" xfId="0" applyNumberFormat="1" applyFont="1" applyBorder="1"/>
    <xf numFmtId="0" fontId="5" fillId="0" borderId="19" xfId="0" applyFont="1" applyBorder="1" applyAlignment="1">
      <alignment horizontal="center" vertical="top"/>
    </xf>
    <xf numFmtId="164" fontId="28" fillId="0" borderId="12" xfId="0" applyNumberFormat="1" applyFont="1" applyBorder="1" applyAlignment="1">
      <alignment horizontal="center" vertical="center"/>
    </xf>
    <xf numFmtId="164" fontId="28" fillId="24" borderId="12" xfId="0" applyNumberFormat="1" applyFont="1" applyFill="1" applyBorder="1" applyAlignment="1">
      <alignment horizontal="center" vertical="center"/>
    </xf>
    <xf numFmtId="0" fontId="28" fillId="24" borderId="12" xfId="0" applyFont="1" applyFill="1" applyBorder="1" applyAlignment="1">
      <alignment horizontal="center"/>
    </xf>
    <xf numFmtId="0" fontId="28" fillId="24" borderId="12" xfId="0" applyFont="1" applyFill="1" applyBorder="1" applyAlignment="1">
      <alignment horizontal="center" vertical="center"/>
    </xf>
    <xf numFmtId="164" fontId="28" fillId="25" borderId="12" xfId="0" applyNumberFormat="1" applyFont="1" applyFill="1" applyBorder="1" applyAlignment="1">
      <alignment horizontal="center" vertical="center"/>
    </xf>
    <xf numFmtId="164" fontId="28" fillId="26" borderId="12" xfId="0" applyNumberFormat="1" applyFont="1" applyFill="1" applyBorder="1" applyAlignment="1">
      <alignment horizontal="center" vertical="center"/>
    </xf>
    <xf numFmtId="0" fontId="28" fillId="12" borderId="12" xfId="0" applyFont="1" applyFill="1" applyBorder="1" applyAlignment="1">
      <alignment horizontal="center" vertical="center"/>
    </xf>
    <xf numFmtId="166" fontId="28" fillId="12" borderId="12" xfId="0" applyNumberFormat="1" applyFont="1" applyFill="1" applyBorder="1" applyAlignment="1">
      <alignment horizontal="center" vertical="center"/>
    </xf>
    <xf numFmtId="164" fontId="28" fillId="12" borderId="12" xfId="0" applyNumberFormat="1" applyFont="1" applyFill="1" applyBorder="1" applyAlignment="1">
      <alignment horizontal="center" vertical="center"/>
    </xf>
    <xf numFmtId="2" fontId="0" fillId="0" borderId="0" xfId="0" applyNumberFormat="1"/>
    <xf numFmtId="0" fontId="5" fillId="7" borderId="3" xfId="0" applyFont="1" applyFill="1" applyBorder="1" applyAlignment="1">
      <alignment horizontal="center"/>
    </xf>
    <xf numFmtId="0" fontId="2" fillId="0" borderId="4" xfId="0" applyFont="1" applyBorder="1"/>
    <xf numFmtId="0" fontId="2" fillId="0" borderId="5" xfId="0" applyFont="1" applyBorder="1"/>
    <xf numFmtId="0" fontId="9" fillId="0" borderId="0" xfId="0" applyFont="1" applyAlignment="1">
      <alignment horizontal="center" vertical="center" wrapText="1"/>
    </xf>
    <xf numFmtId="0" fontId="0" fillId="0" borderId="0" xfId="0"/>
    <xf numFmtId="0" fontId="2" fillId="0" borderId="36" xfId="0" applyFont="1" applyBorder="1"/>
    <xf numFmtId="0" fontId="10" fillId="0" borderId="3" xfId="0" applyFont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/>
    </xf>
    <xf numFmtId="0" fontId="2" fillId="0" borderId="10" xfId="0" applyFont="1" applyBorder="1"/>
    <xf numFmtId="0" fontId="5" fillId="7" borderId="3" xfId="0" applyFont="1" applyFill="1" applyBorder="1" applyAlignment="1">
      <alignment horizontal="center" vertical="center"/>
    </xf>
    <xf numFmtId="164" fontId="4" fillId="4" borderId="15" xfId="0" applyNumberFormat="1" applyFont="1" applyFill="1" applyBorder="1" applyAlignment="1">
      <alignment horizontal="center" vertical="center"/>
    </xf>
    <xf numFmtId="0" fontId="2" fillId="0" borderId="19" xfId="0" applyFont="1" applyBorder="1"/>
    <xf numFmtId="0" fontId="5" fillId="0" borderId="3" xfId="0" applyFont="1" applyBorder="1" applyAlignment="1">
      <alignment horizontal="center"/>
    </xf>
    <xf numFmtId="164" fontId="5" fillId="0" borderId="15" xfId="0" applyNumberFormat="1" applyFont="1" applyBorder="1" applyAlignment="1">
      <alignment horizontal="center" vertical="center"/>
    </xf>
    <xf numFmtId="0" fontId="2" fillId="0" borderId="17" xfId="0" applyFont="1" applyBorder="1"/>
    <xf numFmtId="2" fontId="5" fillId="0" borderId="15" xfId="0" applyNumberFormat="1" applyFont="1" applyBorder="1" applyAlignment="1">
      <alignment horizontal="center"/>
    </xf>
    <xf numFmtId="0" fontId="5" fillId="14" borderId="15" xfId="0" applyFont="1" applyFill="1" applyBorder="1" applyAlignment="1">
      <alignment horizontal="center" vertical="center"/>
    </xf>
    <xf numFmtId="164" fontId="5" fillId="14" borderId="15" xfId="0" applyNumberFormat="1" applyFont="1" applyFill="1" applyBorder="1" applyAlignment="1">
      <alignment horizontal="center" vertical="center"/>
    </xf>
    <xf numFmtId="0" fontId="14" fillId="11" borderId="3" xfId="0" applyFont="1" applyFill="1" applyBorder="1" applyAlignment="1">
      <alignment horizontal="center" vertical="center"/>
    </xf>
    <xf numFmtId="0" fontId="9" fillId="14" borderId="22" xfId="0" applyFont="1" applyFill="1" applyBorder="1" applyAlignment="1">
      <alignment horizontal="center" vertical="center" wrapText="1"/>
    </xf>
    <xf numFmtId="0" fontId="2" fillId="0" borderId="40" xfId="0" applyFont="1" applyBorder="1"/>
    <xf numFmtId="0" fontId="2" fillId="0" borderId="23" xfId="0" applyFont="1" applyBorder="1"/>
    <xf numFmtId="0" fontId="2" fillId="0" borderId="41" xfId="0" applyFont="1" applyBorder="1"/>
    <xf numFmtId="0" fontId="2" fillId="0" borderId="42" xfId="0" applyFont="1" applyBorder="1"/>
    <xf numFmtId="166" fontId="5" fillId="14" borderId="15" xfId="0" applyNumberFormat="1" applyFont="1" applyFill="1" applyBorder="1" applyAlignment="1">
      <alignment horizontal="center" vertical="center"/>
    </xf>
    <xf numFmtId="0" fontId="5" fillId="11" borderId="3" xfId="0" applyFont="1" applyFill="1" applyBorder="1" applyAlignment="1">
      <alignment horizontal="center" vertical="center"/>
    </xf>
    <xf numFmtId="172" fontId="5" fillId="0" borderId="15" xfId="0" applyNumberFormat="1" applyFont="1" applyBorder="1" applyAlignment="1">
      <alignment horizontal="center" vertical="center" wrapText="1"/>
    </xf>
    <xf numFmtId="172" fontId="2" fillId="0" borderId="17" xfId="0" applyNumberFormat="1" applyFont="1" applyBorder="1"/>
    <xf numFmtId="172" fontId="2" fillId="0" borderId="19" xfId="0" applyNumberFormat="1" applyFont="1" applyBorder="1"/>
    <xf numFmtId="166" fontId="5" fillId="0" borderId="15" xfId="0" applyNumberFormat="1" applyFont="1" applyBorder="1" applyAlignment="1">
      <alignment horizontal="center" vertical="center"/>
    </xf>
    <xf numFmtId="164" fontId="5" fillId="9" borderId="15" xfId="0" applyNumberFormat="1" applyFont="1" applyFill="1" applyBorder="1" applyAlignment="1">
      <alignment horizontal="center" vertical="center"/>
    </xf>
    <xf numFmtId="2" fontId="5" fillId="9" borderId="15" xfId="0" applyNumberFormat="1" applyFont="1" applyFill="1" applyBorder="1" applyAlignment="1">
      <alignment horizontal="center"/>
    </xf>
    <xf numFmtId="0" fontId="5" fillId="9" borderId="15" xfId="0" applyFont="1" applyFill="1" applyBorder="1" applyAlignment="1">
      <alignment horizontal="center"/>
    </xf>
    <xf numFmtId="0" fontId="5" fillId="9" borderId="3" xfId="0" applyFont="1" applyFill="1" applyBorder="1" applyAlignment="1">
      <alignment horizontal="center"/>
    </xf>
    <xf numFmtId="2" fontId="5" fillId="8" borderId="15" xfId="0" applyNumberFormat="1" applyFont="1" applyFill="1" applyBorder="1" applyAlignment="1">
      <alignment horizontal="center"/>
    </xf>
    <xf numFmtId="0" fontId="5" fillId="8" borderId="15" xfId="0" applyFont="1" applyFill="1" applyBorder="1" applyAlignment="1">
      <alignment horizontal="center"/>
    </xf>
    <xf numFmtId="0" fontId="13" fillId="0" borderId="38" xfId="0" applyFont="1" applyBorder="1" applyAlignment="1">
      <alignment horizontal="center"/>
    </xf>
    <xf numFmtId="0" fontId="2" fillId="0" borderId="38" xfId="0" applyFont="1" applyBorder="1"/>
    <xf numFmtId="164" fontId="12" fillId="0" borderId="15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2" fillId="0" borderId="37" xfId="0" applyFont="1" applyBorder="1"/>
    <xf numFmtId="0" fontId="2" fillId="0" borderId="2" xfId="0" applyFont="1" applyBorder="1"/>
    <xf numFmtId="0" fontId="2" fillId="0" borderId="6" xfId="0" applyFont="1" applyBorder="1"/>
    <xf numFmtId="0" fontId="2" fillId="0" borderId="7" xfId="0" applyFont="1" applyBorder="1"/>
    <xf numFmtId="167" fontId="5" fillId="13" borderId="15" xfId="0" applyNumberFormat="1" applyFont="1" applyFill="1" applyBorder="1" applyAlignment="1">
      <alignment horizontal="center" vertical="center"/>
    </xf>
    <xf numFmtId="0" fontId="5" fillId="0" borderId="15" xfId="0" applyFont="1" applyBorder="1" applyAlignment="1">
      <alignment horizontal="center"/>
    </xf>
    <xf numFmtId="165" fontId="5" fillId="0" borderId="15" xfId="0" applyNumberFormat="1" applyFont="1" applyBorder="1" applyAlignment="1">
      <alignment horizontal="center"/>
    </xf>
    <xf numFmtId="1" fontId="5" fillId="8" borderId="15" xfId="0" applyNumberFormat="1" applyFont="1" applyFill="1" applyBorder="1" applyAlignment="1">
      <alignment horizontal="center"/>
    </xf>
    <xf numFmtId="0" fontId="5" fillId="0" borderId="15" xfId="0" applyFont="1" applyBorder="1" applyAlignment="1">
      <alignment horizontal="center" vertical="center"/>
    </xf>
    <xf numFmtId="164" fontId="28" fillId="0" borderId="15" xfId="0" applyNumberFormat="1" applyFont="1" applyBorder="1" applyAlignment="1">
      <alignment horizontal="center" vertical="center"/>
    </xf>
    <xf numFmtId="164" fontId="27" fillId="0" borderId="70" xfId="0" applyNumberFormat="1" applyFont="1" applyBorder="1"/>
    <xf numFmtId="164" fontId="27" fillId="0" borderId="45" xfId="0" applyNumberFormat="1" applyFont="1" applyBorder="1"/>
    <xf numFmtId="3" fontId="5" fillId="9" borderId="15" xfId="0" applyNumberFormat="1" applyFont="1" applyFill="1" applyBorder="1" applyAlignment="1">
      <alignment horizontal="center" vertical="center"/>
    </xf>
    <xf numFmtId="164" fontId="5" fillId="0" borderId="15" xfId="0" applyNumberFormat="1" applyFont="1" applyBorder="1" applyAlignment="1">
      <alignment horizontal="center" vertical="center" wrapText="1"/>
    </xf>
    <xf numFmtId="0" fontId="5" fillId="9" borderId="15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164" fontId="6" fillId="6" borderId="15" xfId="0" applyNumberFormat="1" applyFont="1" applyFill="1" applyBorder="1" applyAlignment="1">
      <alignment horizontal="center" vertical="center"/>
    </xf>
    <xf numFmtId="2" fontId="5" fillId="0" borderId="15" xfId="0" applyNumberFormat="1" applyFont="1" applyBorder="1" applyAlignment="1">
      <alignment horizontal="center" vertical="center"/>
    </xf>
    <xf numFmtId="0" fontId="5" fillId="7" borderId="22" xfId="0" applyFont="1" applyFill="1" applyBorder="1" applyAlignment="1">
      <alignment horizontal="center" vertical="center"/>
    </xf>
    <xf numFmtId="0" fontId="2" fillId="0" borderId="24" xfId="0" applyFont="1" applyBorder="1"/>
    <xf numFmtId="0" fontId="2" fillId="0" borderId="25" xfId="0" applyFont="1" applyBorder="1"/>
    <xf numFmtId="0" fontId="5" fillId="8" borderId="15" xfId="0" applyFont="1" applyFill="1" applyBorder="1" applyAlignment="1">
      <alignment horizontal="center" vertical="center"/>
    </xf>
    <xf numFmtId="164" fontId="4" fillId="0" borderId="2" xfId="0" applyNumberFormat="1" applyFont="1" applyBorder="1" applyAlignment="1">
      <alignment horizontal="center" vertical="center"/>
    </xf>
    <xf numFmtId="0" fontId="2" fillId="0" borderId="21" xfId="0" applyFont="1" applyBorder="1"/>
    <xf numFmtId="0" fontId="1" fillId="2" borderId="8" xfId="0" applyFont="1" applyFill="1" applyBorder="1" applyAlignment="1">
      <alignment horizontal="center" vertical="center"/>
    </xf>
    <xf numFmtId="0" fontId="2" fillId="0" borderId="11" xfId="0" applyFont="1" applyBorder="1"/>
    <xf numFmtId="164" fontId="4" fillId="5" borderId="16" xfId="0" applyNumberFormat="1" applyFont="1" applyFill="1" applyBorder="1" applyAlignment="1">
      <alignment horizontal="center" vertical="center"/>
    </xf>
    <xf numFmtId="0" fontId="2" fillId="0" borderId="18" xfId="0" applyFont="1" applyBorder="1"/>
    <xf numFmtId="0" fontId="2" fillId="0" borderId="20" xfId="0" applyFont="1" applyBorder="1"/>
    <xf numFmtId="164" fontId="4" fillId="0" borderId="15" xfId="0" applyNumberFormat="1" applyFont="1" applyBorder="1" applyAlignment="1">
      <alignment horizontal="center" vertical="center"/>
    </xf>
    <xf numFmtId="3" fontId="5" fillId="0" borderId="15" xfId="0" applyNumberFormat="1" applyFont="1" applyBorder="1" applyAlignment="1">
      <alignment horizontal="center" vertical="center"/>
    </xf>
    <xf numFmtId="164" fontId="6" fillId="5" borderId="15" xfId="0" applyNumberFormat="1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" fillId="0" borderId="9" xfId="0" applyFont="1" applyBorder="1"/>
    <xf numFmtId="164" fontId="4" fillId="4" borderId="16" xfId="0" applyNumberFormat="1" applyFont="1" applyFill="1" applyBorder="1" applyAlignment="1">
      <alignment horizontal="center" vertical="center" wrapText="1"/>
    </xf>
    <xf numFmtId="0" fontId="15" fillId="0" borderId="4" xfId="0" applyFont="1" applyBorder="1" applyAlignment="1">
      <alignment horizontal="center"/>
    </xf>
    <xf numFmtId="0" fontId="5" fillId="15" borderId="3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right"/>
    </xf>
    <xf numFmtId="0" fontId="5" fillId="15" borderId="1" xfId="0" applyFont="1" applyFill="1" applyBorder="1" applyAlignment="1">
      <alignment horizontal="center" vertical="center" wrapText="1"/>
    </xf>
    <xf numFmtId="0" fontId="15" fillId="0" borderId="3" xfId="0" applyFont="1" applyBorder="1" applyAlignment="1">
      <alignment horizontal="right"/>
    </xf>
    <xf numFmtId="169" fontId="15" fillId="0" borderId="3" xfId="0" applyNumberFormat="1" applyFont="1" applyBorder="1" applyAlignment="1">
      <alignment horizontal="right"/>
    </xf>
    <xf numFmtId="170" fontId="15" fillId="0" borderId="3" xfId="0" applyNumberFormat="1" applyFont="1" applyBorder="1" applyAlignment="1">
      <alignment horizontal="right"/>
    </xf>
    <xf numFmtId="0" fontId="6" fillId="15" borderId="8" xfId="0" applyFont="1" applyFill="1" applyBorder="1" applyAlignment="1">
      <alignment horizontal="center" vertical="center"/>
    </xf>
    <xf numFmtId="0" fontId="6" fillId="15" borderId="15" xfId="0" applyFont="1" applyFill="1" applyBorder="1" applyAlignment="1">
      <alignment horizontal="center" vertical="center"/>
    </xf>
    <xf numFmtId="0" fontId="6" fillId="15" borderId="48" xfId="0" applyFont="1" applyFill="1" applyBorder="1" applyAlignment="1">
      <alignment horizontal="center" vertical="center"/>
    </xf>
    <xf numFmtId="0" fontId="2" fillId="0" borderId="50" xfId="0" applyFont="1" applyBorder="1"/>
    <xf numFmtId="0" fontId="15" fillId="15" borderId="3" xfId="0" applyFont="1" applyFill="1" applyBorder="1" applyAlignment="1">
      <alignment horizontal="center"/>
    </xf>
    <xf numFmtId="0" fontId="6" fillId="15" borderId="47" xfId="0" applyFont="1" applyFill="1" applyBorder="1" applyAlignment="1">
      <alignment horizontal="center" vertical="center"/>
    </xf>
    <xf numFmtId="0" fontId="2" fillId="0" borderId="49" xfId="0" applyFont="1" applyBorder="1"/>
    <xf numFmtId="0" fontId="6" fillId="15" borderId="15" xfId="0" applyFont="1" applyFill="1" applyBorder="1" applyAlignment="1">
      <alignment horizontal="center" wrapText="1"/>
    </xf>
    <xf numFmtId="0" fontId="6" fillId="15" borderId="15" xfId="0" applyFont="1" applyFill="1" applyBorder="1" applyAlignment="1">
      <alignment horizontal="center" vertical="center" wrapText="1"/>
    </xf>
    <xf numFmtId="167" fontId="15" fillId="0" borderId="3" xfId="0" applyNumberFormat="1" applyFont="1" applyBorder="1" applyAlignment="1">
      <alignment horizontal="right"/>
    </xf>
    <xf numFmtId="168" fontId="15" fillId="0" borderId="3" xfId="0" applyNumberFormat="1" applyFont="1" applyBorder="1" applyAlignment="1">
      <alignment horizontal="right"/>
    </xf>
    <xf numFmtId="0" fontId="4" fillId="15" borderId="3" xfId="0" applyFont="1" applyFill="1" applyBorder="1" applyAlignment="1">
      <alignment horizontal="center" wrapText="1"/>
    </xf>
    <xf numFmtId="164" fontId="6" fillId="17" borderId="52" xfId="0" applyNumberFormat="1" applyFont="1" applyFill="1" applyBorder="1" applyAlignment="1">
      <alignment horizontal="center" vertical="center"/>
    </xf>
    <xf numFmtId="0" fontId="2" fillId="0" borderId="55" xfId="0" applyFont="1" applyBorder="1"/>
    <xf numFmtId="0" fontId="6" fillId="17" borderId="52" xfId="0" applyFont="1" applyFill="1" applyBorder="1" applyAlignment="1">
      <alignment horizontal="center" wrapText="1"/>
    </xf>
    <xf numFmtId="164" fontId="6" fillId="17" borderId="53" xfId="0" applyNumberFormat="1" applyFont="1" applyFill="1" applyBorder="1" applyAlignment="1">
      <alignment horizontal="center"/>
    </xf>
    <xf numFmtId="0" fontId="2" fillId="0" borderId="54" xfId="0" applyFont="1" applyBorder="1"/>
    <xf numFmtId="0" fontId="2" fillId="0" borderId="26" xfId="0" applyFont="1" applyBorder="1"/>
    <xf numFmtId="164" fontId="6" fillId="17" borderId="52" xfId="0" applyNumberFormat="1" applyFont="1" applyFill="1" applyBorder="1" applyAlignment="1">
      <alignment horizontal="center" vertical="center" wrapText="1"/>
    </xf>
    <xf numFmtId="0" fontId="15" fillId="0" borderId="60" xfId="0" applyFont="1" applyBorder="1" applyAlignment="1">
      <alignment horizontal="center" vertical="center"/>
    </xf>
    <xf numFmtId="0" fontId="2" fillId="0" borderId="62" xfId="0" applyFont="1" applyBorder="1"/>
    <xf numFmtId="0" fontId="15" fillId="0" borderId="67" xfId="0" applyFont="1" applyBorder="1" applyAlignment="1">
      <alignment horizontal="center" vertical="center"/>
    </xf>
    <xf numFmtId="0" fontId="2" fillId="0" borderId="67" xfId="0" applyFont="1" applyBorder="1"/>
    <xf numFmtId="164" fontId="6" fillId="17" borderId="53" xfId="0" applyNumberFormat="1" applyFont="1" applyFill="1" applyBorder="1" applyAlignment="1">
      <alignment horizontal="center" vertical="center" wrapText="1"/>
    </xf>
    <xf numFmtId="0" fontId="12" fillId="18" borderId="15" xfId="0" applyFont="1" applyFill="1" applyBorder="1" applyAlignment="1">
      <alignment horizontal="center" vertical="center"/>
    </xf>
    <xf numFmtId="0" fontId="12" fillId="18" borderId="3" xfId="0" applyFont="1" applyFill="1" applyBorder="1" applyAlignment="1">
      <alignment horizontal="center" vertical="center"/>
    </xf>
    <xf numFmtId="0" fontId="19" fillId="0" borderId="22" xfId="0" applyFont="1" applyBorder="1" applyAlignment="1">
      <alignment horizontal="center" vertical="center"/>
    </xf>
    <xf numFmtId="0" fontId="2" fillId="0" borderId="68" xfId="0" applyFont="1" applyBorder="1"/>
    <xf numFmtId="0" fontId="2" fillId="0" borderId="69" xfId="0" applyFont="1" applyBorder="1"/>
    <xf numFmtId="0" fontId="12" fillId="0" borderId="1" xfId="0" applyFont="1" applyBorder="1" applyAlignment="1">
      <alignment horizontal="center" vertical="center"/>
    </xf>
    <xf numFmtId="0" fontId="2" fillId="0" borderId="70" xfId="0" applyFont="1" applyBorder="1"/>
    <xf numFmtId="0" fontId="8" fillId="0" borderId="80" xfId="0" applyFont="1" applyBorder="1" applyAlignment="1">
      <alignment horizontal="center" vertical="center"/>
    </xf>
    <xf numFmtId="0" fontId="2" fillId="0" borderId="81" xfId="0" applyFont="1" applyBorder="1"/>
    <xf numFmtId="0" fontId="2" fillId="0" borderId="82" xfId="0" applyFont="1" applyBorder="1"/>
    <xf numFmtId="0" fontId="8" fillId="0" borderId="72" xfId="0" applyFont="1" applyBorder="1" applyAlignment="1">
      <alignment horizontal="center" vertical="center"/>
    </xf>
    <xf numFmtId="0" fontId="2" fillId="0" borderId="73" xfId="0" applyFont="1" applyBorder="1"/>
    <xf numFmtId="0" fontId="2" fillId="0" borderId="74" xfId="0" applyFont="1" applyBorder="1"/>
    <xf numFmtId="0" fontId="2" fillId="0" borderId="75" xfId="0" applyFont="1" applyBorder="1"/>
    <xf numFmtId="0" fontId="2" fillId="0" borderId="76" xfId="0" applyFont="1" applyBorder="1"/>
    <xf numFmtId="0" fontId="2" fillId="0" borderId="77" xfId="0" applyFont="1" applyBorder="1"/>
    <xf numFmtId="0" fontId="2" fillId="0" borderId="78" xfId="0" applyFont="1" applyBorder="1"/>
    <xf numFmtId="0" fontId="2" fillId="0" borderId="79" xfId="0" applyFont="1" applyBorder="1"/>
    <xf numFmtId="0" fontId="20" fillId="0" borderId="22" xfId="0" applyFont="1" applyBorder="1" applyAlignment="1">
      <alignment horizontal="center" vertical="center"/>
    </xf>
    <xf numFmtId="0" fontId="25" fillId="0" borderId="94" xfId="0" applyFont="1" applyBorder="1" applyAlignment="1">
      <alignment horizontal="center" vertical="center"/>
    </xf>
    <xf numFmtId="0" fontId="2" fillId="0" borderId="95" xfId="0" applyFont="1" applyBorder="1"/>
    <xf numFmtId="0" fontId="19" fillId="0" borderId="83" xfId="0" applyFont="1" applyBorder="1" applyAlignment="1">
      <alignment horizontal="center" vertical="center"/>
    </xf>
    <xf numFmtId="0" fontId="2" fillId="0" borderId="84" xfId="0" applyFont="1" applyBorder="1"/>
    <xf numFmtId="0" fontId="2" fillId="0" borderId="88" xfId="0" applyFont="1" applyBorder="1"/>
    <xf numFmtId="0" fontId="2" fillId="0" borderId="89" xfId="0" applyFont="1" applyBorder="1"/>
    <xf numFmtId="0" fontId="2" fillId="0" borderId="90" xfId="0" applyFont="1" applyBorder="1"/>
    <xf numFmtId="0" fontId="21" fillId="10" borderId="85" xfId="0" applyFont="1" applyFill="1" applyBorder="1" applyAlignment="1">
      <alignment horizontal="center" vertical="center"/>
    </xf>
    <xf numFmtId="0" fontId="2" fillId="0" borderId="86" xfId="0" applyFont="1" applyBorder="1"/>
    <xf numFmtId="0" fontId="2" fillId="0" borderId="87" xfId="0" applyFont="1" applyBorder="1"/>
    <xf numFmtId="0" fontId="26" fillId="0" borderId="2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d-ID"/>
  <c:roundedCorners val="1"/>
  <c:style val="2"/>
  <c:chart>
    <c:autoTitleDeleted val="1"/>
    <c:plotArea>
      <c:layout>
        <c:manualLayout>
          <c:xMode val="edge"/>
          <c:yMode val="edge"/>
          <c:x val="0.15007174103237095"/>
          <c:y val="7.407407407407407E-2"/>
          <c:w val="0.57887270341207353"/>
          <c:h val="0.83929753572470112"/>
        </c:manualLayout>
      </c:layout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xVal>
            <c:numRef>
              <c:f>KKH!$N$6:$N$18</c:f>
              <c:numCache>
                <c:formatCode>0.0000</c:formatCode>
                <c:ptCount val="13"/>
                <c:pt idx="0">
                  <c:v>535310.50699999998</c:v>
                </c:pt>
                <c:pt idx="2">
                  <c:v>535289.26863160543</c:v>
                </c:pt>
                <c:pt idx="4">
                  <c:v>535198.52805106656</c:v>
                </c:pt>
                <c:pt idx="6">
                  <c:v>535184.08564429183</c:v>
                </c:pt>
                <c:pt idx="8">
                  <c:v>535248.40750186343</c:v>
                </c:pt>
                <c:pt idx="10">
                  <c:v>535392.36775058985</c:v>
                </c:pt>
                <c:pt idx="12">
                  <c:v>535310.50699999998</c:v>
                </c:pt>
              </c:numCache>
            </c:numRef>
          </c:xVal>
          <c:yVal>
            <c:numRef>
              <c:f>KKH!$O$6:$O$18</c:f>
              <c:numCache>
                <c:formatCode>0.0000</c:formatCode>
                <c:ptCount val="13"/>
                <c:pt idx="0">
                  <c:v>9407739.1050000004</c:v>
                </c:pt>
                <c:pt idx="2">
                  <c:v>9407680.0404233076</c:v>
                </c:pt>
                <c:pt idx="4">
                  <c:v>9407664.8283434361</c:v>
                </c:pt>
                <c:pt idx="6">
                  <c:v>9407761.8874908444</c:v>
                </c:pt>
                <c:pt idx="8">
                  <c:v>9407771.4205528218</c:v>
                </c:pt>
                <c:pt idx="10">
                  <c:v>9407769.211020574</c:v>
                </c:pt>
                <c:pt idx="12">
                  <c:v>9407739.1050000004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335-43B1-AFF8-E7AEBBEFE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3833901"/>
        <c:axId val="315606450"/>
      </c:scatterChart>
      <c:valAx>
        <c:axId val="14038339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D"/>
              </a:p>
            </c:rich>
          </c:tx>
          <c:overlay val="0"/>
        </c:title>
        <c:numFmt formatCode="0.0000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id-ID"/>
          </a:p>
        </c:txPr>
        <c:crossAx val="315606450"/>
        <c:crosses val="autoZero"/>
        <c:crossBetween val="midCat"/>
      </c:valAx>
      <c:valAx>
        <c:axId val="31560645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D"/>
              </a:p>
            </c:rich>
          </c:tx>
          <c:overlay val="0"/>
        </c:title>
        <c:numFmt formatCode="0.0000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id-ID"/>
          </a:p>
        </c:txPr>
        <c:crossAx val="1403833901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id-ID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>
        <c:manualLayout>
          <c:layoutTarget val="inner"/>
          <c:xMode val="edge"/>
          <c:yMode val="edge"/>
          <c:x val="0.12298687664041995"/>
          <c:y val="0.19027777777777777"/>
          <c:w val="0.79086045494313206"/>
          <c:h val="0.73111111111111116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KKH!$N$6:$N$18</c:f>
              <c:numCache>
                <c:formatCode>0.0000</c:formatCode>
                <c:ptCount val="13"/>
                <c:pt idx="0">
                  <c:v>535310.50699999998</c:v>
                </c:pt>
                <c:pt idx="2">
                  <c:v>535289.26863160543</c:v>
                </c:pt>
                <c:pt idx="4">
                  <c:v>535198.52805106656</c:v>
                </c:pt>
                <c:pt idx="6">
                  <c:v>535184.08564429183</c:v>
                </c:pt>
                <c:pt idx="8">
                  <c:v>535248.40750186343</c:v>
                </c:pt>
                <c:pt idx="10">
                  <c:v>535392.36775058985</c:v>
                </c:pt>
                <c:pt idx="12">
                  <c:v>535310.50699999998</c:v>
                </c:pt>
              </c:numCache>
            </c:numRef>
          </c:xVal>
          <c:yVal>
            <c:numRef>
              <c:f>KKH!$O$6:$O$18</c:f>
              <c:numCache>
                <c:formatCode>0.0000</c:formatCode>
                <c:ptCount val="13"/>
                <c:pt idx="0">
                  <c:v>9407739.1050000004</c:v>
                </c:pt>
                <c:pt idx="2">
                  <c:v>9407680.0404233076</c:v>
                </c:pt>
                <c:pt idx="4">
                  <c:v>9407664.8283434361</c:v>
                </c:pt>
                <c:pt idx="6">
                  <c:v>9407761.8874908444</c:v>
                </c:pt>
                <c:pt idx="8">
                  <c:v>9407771.4205528218</c:v>
                </c:pt>
                <c:pt idx="10">
                  <c:v>9407769.211020574</c:v>
                </c:pt>
                <c:pt idx="12">
                  <c:v>9407739.1050000004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544-48A6-901C-3D8F0381C7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9673424"/>
        <c:axId val="291870448"/>
      </c:scatterChart>
      <c:valAx>
        <c:axId val="289673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291870448"/>
        <c:crosses val="autoZero"/>
        <c:crossBetween val="midCat"/>
      </c:valAx>
      <c:valAx>
        <c:axId val="29187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289673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d-ID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xVal>
            <c:numRef>
              <c:f>'Detail 1'!$X$36:$X$53</c:f>
              <c:numCache>
                <c:formatCode>0</c:formatCode>
                <c:ptCount val="18"/>
                <c:pt idx="0">
                  <c:v>535310.50699999998</c:v>
                </c:pt>
                <c:pt idx="1">
                  <c:v>535302.16995721392</c:v>
                </c:pt>
                <c:pt idx="2">
                  <c:v>535302.24055371853</c:v>
                </c:pt>
                <c:pt idx="3">
                  <c:v>535302.42789799324</c:v>
                </c:pt>
                <c:pt idx="4">
                  <c:v>535300.13990093372</c:v>
                </c:pt>
                <c:pt idx="5">
                  <c:v>535301.16641049145</c:v>
                </c:pt>
                <c:pt idx="6">
                  <c:v>535301.17013017298</c:v>
                </c:pt>
                <c:pt idx="7">
                  <c:v>535297.76763520529</c:v>
                </c:pt>
                <c:pt idx="8">
                  <c:v>535297.78562934173</c:v>
                </c:pt>
                <c:pt idx="9">
                  <c:v>535300.84748467419</c:v>
                </c:pt>
                <c:pt idx="10">
                  <c:v>535308.79931923409</c:v>
                </c:pt>
                <c:pt idx="11">
                  <c:v>535301.28916220553</c:v>
                </c:pt>
                <c:pt idx="12">
                  <c:v>535301.44884914637</c:v>
                </c:pt>
                <c:pt idx="13">
                  <c:v>535299.16503261391</c:v>
                </c:pt>
                <c:pt idx="14">
                  <c:v>535301.39388010534</c:v>
                </c:pt>
                <c:pt idx="15">
                  <c:v>535305.66867453256</c:v>
                </c:pt>
                <c:pt idx="16">
                  <c:v>535296.20517813496</c:v>
                </c:pt>
                <c:pt idx="17">
                  <c:v>535299.93675602286</c:v>
                </c:pt>
              </c:numCache>
            </c:numRef>
          </c:xVal>
          <c:yVal>
            <c:numRef>
              <c:f>'Detail 1'!$Y$36:$Y$53</c:f>
              <c:numCache>
                <c:formatCode>0</c:formatCode>
                <c:ptCount val="18"/>
                <c:pt idx="0">
                  <c:v>9407739.1050000004</c:v>
                </c:pt>
                <c:pt idx="1">
                  <c:v>9407737.1464766841</c:v>
                </c:pt>
                <c:pt idx="2">
                  <c:v>9407737.0543525722</c:v>
                </c:pt>
                <c:pt idx="3">
                  <c:v>9407747.0939395279</c:v>
                </c:pt>
                <c:pt idx="4">
                  <c:v>9407743.9207053427</c:v>
                </c:pt>
                <c:pt idx="5">
                  <c:v>9407745.7239192203</c:v>
                </c:pt>
                <c:pt idx="6">
                  <c:v>9407745.6510882098</c:v>
                </c:pt>
                <c:pt idx="7">
                  <c:v>9407751.9809214678</c:v>
                </c:pt>
                <c:pt idx="8">
                  <c:v>9407752.0464194585</c:v>
                </c:pt>
                <c:pt idx="9">
                  <c:v>9407753.244488664</c:v>
                </c:pt>
                <c:pt idx="10">
                  <c:v>9407756.3325700667</c:v>
                </c:pt>
                <c:pt idx="11">
                  <c:v>9407755.505013274</c:v>
                </c:pt>
                <c:pt idx="12">
                  <c:v>9407759.3696665931</c:v>
                </c:pt>
                <c:pt idx="13">
                  <c:v>9407765.455732815</c:v>
                </c:pt>
                <c:pt idx="14">
                  <c:v>9407766.3819339704</c:v>
                </c:pt>
                <c:pt idx="15">
                  <c:v>9407768.2045121565</c:v>
                </c:pt>
                <c:pt idx="16">
                  <c:v>9407778.9489553813</c:v>
                </c:pt>
                <c:pt idx="17">
                  <c:v>9407780.3552343175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FCE-4446-BE6B-388EF72587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5237980"/>
        <c:axId val="1165243223"/>
      </c:scatterChart>
      <c:valAx>
        <c:axId val="55523798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D"/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id-ID"/>
          </a:p>
        </c:txPr>
        <c:crossAx val="1165243223"/>
        <c:crosses val="autoZero"/>
        <c:crossBetween val="midCat"/>
      </c:valAx>
      <c:valAx>
        <c:axId val="116524322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D"/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id-ID"/>
          </a:p>
        </c:txPr>
        <c:crossAx val="555237980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d-ID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xVal>
            <c:numRef>
              <c:f>'Detail 1'!$X$37:$X$51</c:f>
              <c:numCache>
                <c:formatCode>0</c:formatCode>
                <c:ptCount val="15"/>
                <c:pt idx="0">
                  <c:v>535302.16995721392</c:v>
                </c:pt>
                <c:pt idx="1">
                  <c:v>535302.24055371853</c:v>
                </c:pt>
                <c:pt idx="2">
                  <c:v>535302.42789799324</c:v>
                </c:pt>
                <c:pt idx="3">
                  <c:v>535300.13990093372</c:v>
                </c:pt>
                <c:pt idx="4">
                  <c:v>535301.16641049145</c:v>
                </c:pt>
                <c:pt idx="5">
                  <c:v>535301.17013017298</c:v>
                </c:pt>
                <c:pt idx="6">
                  <c:v>535297.76763520529</c:v>
                </c:pt>
                <c:pt idx="7">
                  <c:v>535297.78562934173</c:v>
                </c:pt>
                <c:pt idx="8">
                  <c:v>535300.84748467419</c:v>
                </c:pt>
                <c:pt idx="9">
                  <c:v>535308.79931923409</c:v>
                </c:pt>
                <c:pt idx="10">
                  <c:v>535301.28916220553</c:v>
                </c:pt>
                <c:pt idx="11">
                  <c:v>535301.44884914637</c:v>
                </c:pt>
                <c:pt idx="12">
                  <c:v>535299.16503261391</c:v>
                </c:pt>
                <c:pt idx="13">
                  <c:v>535301.39388010534</c:v>
                </c:pt>
                <c:pt idx="14">
                  <c:v>535305.66867453256</c:v>
                </c:pt>
              </c:numCache>
            </c:numRef>
          </c:xVal>
          <c:yVal>
            <c:numRef>
              <c:f>'Detail 1'!$Y$37:$Y$51</c:f>
              <c:numCache>
                <c:formatCode>0</c:formatCode>
                <c:ptCount val="15"/>
                <c:pt idx="0">
                  <c:v>9407737.1464766841</c:v>
                </c:pt>
                <c:pt idx="1">
                  <c:v>9407737.0543525722</c:v>
                </c:pt>
                <c:pt idx="2">
                  <c:v>9407747.0939395279</c:v>
                </c:pt>
                <c:pt idx="3">
                  <c:v>9407743.9207053427</c:v>
                </c:pt>
                <c:pt idx="4">
                  <c:v>9407745.7239192203</c:v>
                </c:pt>
                <c:pt idx="5">
                  <c:v>9407745.6510882098</c:v>
                </c:pt>
                <c:pt idx="6">
                  <c:v>9407751.9809214678</c:v>
                </c:pt>
                <c:pt idx="7">
                  <c:v>9407752.0464194585</c:v>
                </c:pt>
                <c:pt idx="8">
                  <c:v>9407753.244488664</c:v>
                </c:pt>
                <c:pt idx="9">
                  <c:v>9407756.3325700667</c:v>
                </c:pt>
                <c:pt idx="10">
                  <c:v>9407755.505013274</c:v>
                </c:pt>
                <c:pt idx="11">
                  <c:v>9407759.3696665931</c:v>
                </c:pt>
                <c:pt idx="12">
                  <c:v>9407765.455732815</c:v>
                </c:pt>
                <c:pt idx="13">
                  <c:v>9407766.3819339704</c:v>
                </c:pt>
                <c:pt idx="14">
                  <c:v>9407768.2045121565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F84-42DD-84FF-445C63B90E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4542688"/>
        <c:axId val="1376954739"/>
      </c:scatterChart>
      <c:valAx>
        <c:axId val="31454268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D"/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id-ID"/>
          </a:p>
        </c:txPr>
        <c:crossAx val="1376954739"/>
        <c:crosses val="autoZero"/>
        <c:crossBetween val="midCat"/>
      </c:valAx>
      <c:valAx>
        <c:axId val="137695473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D"/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id-ID"/>
          </a:p>
        </c:txPr>
        <c:crossAx val="314542688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333375</xdr:colOff>
      <xdr:row>22</xdr:row>
      <xdr:rowOff>76200</xdr:rowOff>
    </xdr:from>
    <xdr:ext cx="3924300" cy="19621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twoCellAnchor>
    <xdr:from>
      <xdr:col>3</xdr:col>
      <xdr:colOff>87691</xdr:colOff>
      <xdr:row>21</xdr:row>
      <xdr:rowOff>94948</xdr:rowOff>
    </xdr:from>
    <xdr:to>
      <xdr:col>8</xdr:col>
      <xdr:colOff>154215</xdr:colOff>
      <xdr:row>35</xdr:row>
      <xdr:rowOff>86481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AB20330-7BD6-4CE9-96D4-7B3575C94E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16</xdr:col>
      <xdr:colOff>209550</xdr:colOff>
      <xdr:row>23</xdr:row>
      <xdr:rowOff>38100</xdr:rowOff>
    </xdr:from>
    <xdr:ext cx="4000500" cy="2762250"/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9</xdr:col>
      <xdr:colOff>161925</xdr:colOff>
      <xdr:row>22</xdr:row>
      <xdr:rowOff>95250</xdr:rowOff>
    </xdr:from>
    <xdr:ext cx="3914775" cy="2790825"/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133350</xdr:colOff>
      <xdr:row>8</xdr:row>
      <xdr:rowOff>161925</xdr:rowOff>
    </xdr:from>
    <xdr:ext cx="9525" cy="8543925"/>
    <xdr:cxnSp macro="">
      <xdr:nvCxnSpPr>
        <xdr:cNvPr id="4" name="Curved Connector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CxnSpPr/>
      </xdr:nvCxnSpPr>
      <xdr:spPr>
        <a:xfrm rot="16200000" flipV="1">
          <a:off x="-3912054" y="6361341"/>
          <a:ext cx="9470574" cy="13607"/>
        </a:xfrm>
        <a:prstGeom prst="curvedConnector3">
          <a:avLst/>
        </a:prstGeom>
        <a:ln w="6350" cap="flat" cmpd="sng" algn="ctr">
          <a:solidFill>
            <a:schemeClr val="accent1"/>
          </a:solidFill>
          <a:prstDash val="solid"/>
          <a:miter lim="800000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LocksWithSheet="0"/>
  </xdr:oneCellAnchor>
  <xdr:oneCellAnchor>
    <xdr:from>
      <xdr:col>1</xdr:col>
      <xdr:colOff>266700</xdr:colOff>
      <xdr:row>5</xdr:row>
      <xdr:rowOff>47625</xdr:rowOff>
    </xdr:from>
    <xdr:ext cx="266700" cy="1304925"/>
    <xdr:sp macro="" textlink="">
      <xdr:nvSpPr>
        <xdr:cNvPr id="8" name="Left Brace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/>
      </xdr:nvSpPr>
      <xdr:spPr>
        <a:xfrm>
          <a:off x="952499" y="938892"/>
          <a:ext cx="272143" cy="1387929"/>
        </a:xfrm>
        <a:prstGeom prst="leftBrace">
          <a:avLst/>
        </a:prstGeom>
        <a:ln w="6350" cap="flat" cmpd="sng" algn="ctr">
          <a:solidFill>
            <a:schemeClr val="accent1"/>
          </a:solidFill>
          <a:prstDash val="solid"/>
          <a:miter lim="800000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lvl="0" algn="l"/>
          <a:endParaRPr lang="en-US" sz="1100"/>
        </a:p>
      </xdr:txBody>
    </xdr:sp>
    <xdr:clientData fLocksWithSheet="0"/>
  </xdr:oneCellAnchor>
  <xdr:oneCellAnchor>
    <xdr:from>
      <xdr:col>1</xdr:col>
      <xdr:colOff>209550</xdr:colOff>
      <xdr:row>55</xdr:row>
      <xdr:rowOff>95250</xdr:rowOff>
    </xdr:from>
    <xdr:ext cx="285750" cy="342900"/>
    <xdr:sp macro="" textlink="">
      <xdr:nvSpPr>
        <xdr:cNvPr id="9" name="Left Brace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/>
      </xdr:nvSpPr>
      <xdr:spPr>
        <a:xfrm>
          <a:off x="898071" y="10994571"/>
          <a:ext cx="285750" cy="353786"/>
        </a:xfrm>
        <a:prstGeom prst="leftBrace">
          <a:avLst/>
        </a:prstGeom>
        <a:ln w="6350" cap="flat" cmpd="sng" algn="ctr">
          <a:solidFill>
            <a:schemeClr val="accent1"/>
          </a:solidFill>
          <a:prstDash val="solid"/>
          <a:miter lim="800000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lvl="0" algn="l"/>
          <a:endParaRPr lang="en-US" sz="11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318"/>
  <sheetViews>
    <sheetView tabSelected="1" zoomScale="68" workbookViewId="0">
      <selection activeCell="AA111" sqref="AA111"/>
    </sheetView>
  </sheetViews>
  <sheetFormatPr defaultColWidth="14.33203125" defaultRowHeight="15" customHeight="1" x14ac:dyDescent="0.3"/>
  <cols>
    <col min="1" max="1" width="9.58203125" customWidth="1"/>
    <col min="2" max="4" width="8.75" customWidth="1"/>
    <col min="5" max="5" width="11.25" customWidth="1"/>
    <col min="6" max="7" width="8.75" customWidth="1"/>
    <col min="8" max="8" width="18.75" customWidth="1"/>
    <col min="9" max="11" width="8.75" customWidth="1"/>
    <col min="12" max="12" width="19.33203125" customWidth="1"/>
    <col min="13" max="13" width="15.75" customWidth="1"/>
    <col min="14" max="14" width="24.33203125" customWidth="1"/>
    <col min="15" max="15" width="21.58203125" customWidth="1"/>
    <col min="16" max="16" width="11.58203125" customWidth="1"/>
    <col min="17" max="17" width="13.58203125" customWidth="1"/>
    <col min="18" max="19" width="9.25" customWidth="1"/>
    <col min="20" max="20" width="13.08203125" customWidth="1"/>
    <col min="21" max="21" width="8.75" customWidth="1"/>
    <col min="22" max="22" width="9.25" customWidth="1"/>
    <col min="23" max="23" width="10.25" customWidth="1"/>
    <col min="24" max="24" width="8.75" customWidth="1"/>
    <col min="25" max="25" width="14.25" customWidth="1"/>
    <col min="26" max="26" width="15" customWidth="1"/>
    <col min="27" max="28" width="8.75" customWidth="1"/>
    <col min="29" max="29" width="12.58203125" customWidth="1"/>
  </cols>
  <sheetData>
    <row r="1" spans="1:28" x14ac:dyDescent="0.3">
      <c r="A1" s="402" t="s">
        <v>0</v>
      </c>
      <c r="B1" s="369"/>
      <c r="C1" s="402" t="s">
        <v>1</v>
      </c>
      <c r="D1" s="369"/>
      <c r="E1" s="403" t="s">
        <v>2</v>
      </c>
      <c r="F1" s="329"/>
      <c r="G1" s="329"/>
      <c r="H1" s="329"/>
      <c r="I1" s="329"/>
      <c r="J1" s="329"/>
      <c r="K1" s="329"/>
      <c r="L1" s="329"/>
      <c r="M1" s="329"/>
      <c r="N1" s="329"/>
      <c r="O1" s="329"/>
      <c r="P1" s="329"/>
      <c r="Q1" s="329"/>
      <c r="R1" s="329"/>
      <c r="S1" s="330"/>
    </row>
    <row r="2" spans="1:28" x14ac:dyDescent="0.3">
      <c r="A2" s="370"/>
      <c r="B2" s="371"/>
      <c r="C2" s="370"/>
      <c r="D2" s="371"/>
      <c r="E2" s="393" t="s">
        <v>3</v>
      </c>
      <c r="F2" s="404"/>
      <c r="G2" s="404"/>
      <c r="H2" s="336"/>
      <c r="I2" s="393" t="s">
        <v>4</v>
      </c>
      <c r="J2" s="404"/>
      <c r="K2" s="404"/>
      <c r="L2" s="336"/>
      <c r="M2" s="393" t="s">
        <v>5</v>
      </c>
      <c r="N2" s="404"/>
      <c r="O2" s="336"/>
      <c r="P2" s="393" t="s">
        <v>6</v>
      </c>
      <c r="Q2" s="394"/>
      <c r="R2" s="335"/>
      <c r="S2" s="336"/>
    </row>
    <row r="3" spans="1:28" ht="15.5" x14ac:dyDescent="0.3">
      <c r="A3" s="1" t="s">
        <v>7</v>
      </c>
      <c r="B3" s="1" t="s">
        <v>8</v>
      </c>
      <c r="C3" s="1" t="s">
        <v>8</v>
      </c>
      <c r="D3" s="1" t="s">
        <v>9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10</v>
      </c>
      <c r="J3" s="1" t="s">
        <v>14</v>
      </c>
      <c r="K3" s="1" t="s">
        <v>12</v>
      </c>
      <c r="L3" s="1" t="s">
        <v>13</v>
      </c>
      <c r="M3" s="2" t="s">
        <v>3</v>
      </c>
      <c r="N3" s="2" t="s">
        <v>4</v>
      </c>
      <c r="O3" s="1" t="s">
        <v>15</v>
      </c>
      <c r="P3" s="1" t="s">
        <v>3</v>
      </c>
      <c r="Q3" s="3" t="s">
        <v>4</v>
      </c>
      <c r="R3" s="335"/>
      <c r="S3" s="336"/>
    </row>
    <row r="4" spans="1:28" ht="15.5" x14ac:dyDescent="0.3">
      <c r="A4" s="376">
        <v>1.51</v>
      </c>
      <c r="B4" s="4" t="s">
        <v>16</v>
      </c>
      <c r="C4" s="4" t="s">
        <v>17</v>
      </c>
      <c r="D4" s="5">
        <v>1.5</v>
      </c>
      <c r="E4" s="6">
        <v>276</v>
      </c>
      <c r="F4" s="6">
        <v>54</v>
      </c>
      <c r="G4" s="6">
        <v>57</v>
      </c>
      <c r="H4" s="7">
        <f t="shared" ref="H4:H27" si="0">E4+(F4/60)+(G4/3600)</f>
        <v>276.9158333333333</v>
      </c>
      <c r="I4" s="6">
        <v>96</v>
      </c>
      <c r="J4" s="6">
        <v>54</v>
      </c>
      <c r="K4" s="6">
        <v>56</v>
      </c>
      <c r="L4" s="8">
        <f t="shared" ref="L4:L27" si="1">I4+(J4/60)+(K4/3600)</f>
        <v>96.915555555555557</v>
      </c>
      <c r="M4" s="7">
        <f>MOD((H4-H5),360)</f>
        <v>21.186666666666639</v>
      </c>
      <c r="N4" s="7">
        <f>MOD((L4-L5),360)</f>
        <v>21.185833333333335</v>
      </c>
      <c r="O4" s="405">
        <f>AVERAGE(M4,M6,N4,N6)</f>
        <v>21.186249999999987</v>
      </c>
      <c r="P4" s="338">
        <f>ABS(M4-O4)*3600</f>
        <v>1.4999999999474767</v>
      </c>
      <c r="Q4" s="338">
        <f>ABS((N4-O4)*3600)</f>
        <v>1.4999999999474767</v>
      </c>
      <c r="R4" s="335"/>
      <c r="S4" s="336"/>
    </row>
    <row r="5" spans="1:28" ht="15" customHeight="1" x14ac:dyDescent="0.3">
      <c r="A5" s="342"/>
      <c r="B5" s="4"/>
      <c r="C5" s="4" t="s">
        <v>18</v>
      </c>
      <c r="D5" s="9">
        <v>1.43</v>
      </c>
      <c r="E5" s="6">
        <v>255</v>
      </c>
      <c r="F5" s="6">
        <v>43</v>
      </c>
      <c r="G5" s="6">
        <v>45</v>
      </c>
      <c r="H5" s="7">
        <f t="shared" si="0"/>
        <v>255.72916666666666</v>
      </c>
      <c r="I5" s="6">
        <v>75</v>
      </c>
      <c r="J5" s="6">
        <v>43</v>
      </c>
      <c r="K5" s="6">
        <v>47</v>
      </c>
      <c r="L5" s="8">
        <f t="shared" si="1"/>
        <v>75.729722222222222</v>
      </c>
      <c r="M5" s="7"/>
      <c r="N5" s="7"/>
      <c r="O5" s="396"/>
      <c r="P5" s="339"/>
      <c r="Q5" s="339"/>
      <c r="R5" s="335"/>
      <c r="S5" s="336"/>
    </row>
    <row r="6" spans="1:28" ht="15.5" x14ac:dyDescent="0.3">
      <c r="A6" s="342"/>
      <c r="B6" s="4"/>
      <c r="C6" s="4" t="s">
        <v>17</v>
      </c>
      <c r="D6" s="5">
        <v>1.54</v>
      </c>
      <c r="E6" s="6">
        <v>276</v>
      </c>
      <c r="F6" s="6">
        <v>54</v>
      </c>
      <c r="G6" s="6">
        <v>57</v>
      </c>
      <c r="H6" s="7">
        <f t="shared" si="0"/>
        <v>276.9158333333333</v>
      </c>
      <c r="I6" s="6">
        <v>96</v>
      </c>
      <c r="J6" s="6">
        <v>54</v>
      </c>
      <c r="K6" s="6">
        <v>56</v>
      </c>
      <c r="L6" s="8">
        <f t="shared" si="1"/>
        <v>96.915555555555557</v>
      </c>
      <c r="M6" s="7">
        <f>MOD((H6-H7),360)</f>
        <v>21.186666666666639</v>
      </c>
      <c r="N6" s="7">
        <f>MOD((L6-L7),360)</f>
        <v>21.185833333333335</v>
      </c>
      <c r="O6" s="396"/>
      <c r="P6" s="338">
        <f>ABS(M6-O4)*3600</f>
        <v>1.4999999999474767</v>
      </c>
      <c r="Q6" s="338">
        <f>ABS((N6-O4)*3600)</f>
        <v>1.4999999999474767</v>
      </c>
      <c r="R6" s="335"/>
      <c r="S6" s="336"/>
    </row>
    <row r="7" spans="1:28" ht="15.5" x14ac:dyDescent="0.3">
      <c r="A7" s="339"/>
      <c r="B7" s="4"/>
      <c r="C7" s="4" t="s">
        <v>18</v>
      </c>
      <c r="D7" s="9">
        <v>1.47</v>
      </c>
      <c r="E7" s="6">
        <v>255</v>
      </c>
      <c r="F7" s="6">
        <v>43</v>
      </c>
      <c r="G7" s="6">
        <v>45</v>
      </c>
      <c r="H7" s="7">
        <f t="shared" si="0"/>
        <v>255.72916666666666</v>
      </c>
      <c r="I7" s="6">
        <v>75</v>
      </c>
      <c r="J7" s="6">
        <v>43</v>
      </c>
      <c r="K7" s="6">
        <v>47</v>
      </c>
      <c r="L7" s="8">
        <f t="shared" si="1"/>
        <v>75.729722222222222</v>
      </c>
      <c r="M7" s="7"/>
      <c r="N7" s="7"/>
      <c r="O7" s="397"/>
      <c r="P7" s="339"/>
      <c r="Q7" s="339"/>
      <c r="R7" s="335"/>
      <c r="S7" s="336"/>
    </row>
    <row r="8" spans="1:28" ht="15.5" x14ac:dyDescent="0.3">
      <c r="A8" s="376">
        <v>1.52</v>
      </c>
      <c r="B8" s="10" t="s">
        <v>18</v>
      </c>
      <c r="C8" s="10" t="s">
        <v>16</v>
      </c>
      <c r="D8" s="9">
        <v>1.6</v>
      </c>
      <c r="E8" s="6">
        <v>119</v>
      </c>
      <c r="F8" s="6">
        <v>29</v>
      </c>
      <c r="G8" s="6">
        <v>30</v>
      </c>
      <c r="H8" s="11">
        <f t="shared" si="0"/>
        <v>119.49166666666667</v>
      </c>
      <c r="I8" s="6">
        <v>299</v>
      </c>
      <c r="J8" s="6">
        <v>29</v>
      </c>
      <c r="K8" s="6">
        <v>30</v>
      </c>
      <c r="L8" s="12">
        <f t="shared" si="1"/>
        <v>299.49166666666667</v>
      </c>
      <c r="M8" s="7">
        <f>MOD((H8-H9),360)</f>
        <v>230.01638888888888</v>
      </c>
      <c r="N8" s="7">
        <f>MOD((L8-L9),360)</f>
        <v>230.01611111111112</v>
      </c>
      <c r="O8" s="395">
        <f>AVERAGE(M8:N10)</f>
        <v>230.01625000000001</v>
      </c>
      <c r="P8" s="338">
        <f>ABS(M8-O8)*3600</f>
        <v>0.49999999993133315</v>
      </c>
      <c r="Q8" s="338">
        <f>ABS((N8-O8)*3600)</f>
        <v>0.5000000000336513</v>
      </c>
      <c r="R8" s="335"/>
      <c r="S8" s="336"/>
    </row>
    <row r="9" spans="1:28" ht="15.5" x14ac:dyDescent="0.3">
      <c r="A9" s="342"/>
      <c r="B9" s="10"/>
      <c r="C9" s="10" t="s">
        <v>19</v>
      </c>
      <c r="D9" s="13">
        <v>1505</v>
      </c>
      <c r="E9" s="6">
        <v>249</v>
      </c>
      <c r="F9" s="6">
        <v>28</v>
      </c>
      <c r="G9" s="6">
        <v>31</v>
      </c>
      <c r="H9" s="11">
        <f t="shared" si="0"/>
        <v>249.47527777777779</v>
      </c>
      <c r="I9" s="6">
        <v>69</v>
      </c>
      <c r="J9" s="6">
        <v>28</v>
      </c>
      <c r="K9" s="6">
        <v>32</v>
      </c>
      <c r="L9" s="12">
        <f t="shared" si="1"/>
        <v>69.475555555555559</v>
      </c>
      <c r="M9" s="7"/>
      <c r="N9" s="7"/>
      <c r="O9" s="396"/>
      <c r="P9" s="339"/>
      <c r="Q9" s="339"/>
      <c r="R9" s="335"/>
      <c r="S9" s="336"/>
    </row>
    <row r="10" spans="1:28" ht="15.5" x14ac:dyDescent="0.3">
      <c r="A10" s="342"/>
      <c r="B10" s="10"/>
      <c r="C10" s="10" t="s">
        <v>16</v>
      </c>
      <c r="D10" s="9">
        <v>1.6</v>
      </c>
      <c r="E10" s="6">
        <v>119</v>
      </c>
      <c r="F10" s="6">
        <v>29</v>
      </c>
      <c r="G10" s="6">
        <v>30</v>
      </c>
      <c r="H10" s="11">
        <f t="shared" si="0"/>
        <v>119.49166666666667</v>
      </c>
      <c r="I10" s="6">
        <v>299</v>
      </c>
      <c r="J10" s="6">
        <v>29</v>
      </c>
      <c r="K10" s="6">
        <v>30</v>
      </c>
      <c r="L10" s="12">
        <f t="shared" si="1"/>
        <v>299.49166666666667</v>
      </c>
      <c r="M10" s="7">
        <f>MOD((H10-H11),360)</f>
        <v>230.01638888888888</v>
      </c>
      <c r="N10" s="7">
        <f>MOD((L10-L11),360)</f>
        <v>230.01611111111112</v>
      </c>
      <c r="O10" s="396"/>
      <c r="P10" s="338">
        <f>ABS(M10-O8)*3600</f>
        <v>0.49999999993133315</v>
      </c>
      <c r="Q10" s="338">
        <f>ABS((N10-O8)*3600)</f>
        <v>0.5000000000336513</v>
      </c>
      <c r="R10" s="335"/>
      <c r="S10" s="336"/>
    </row>
    <row r="11" spans="1:28" ht="15.5" x14ac:dyDescent="0.3">
      <c r="A11" s="339"/>
      <c r="B11" s="10"/>
      <c r="C11" s="10" t="s">
        <v>19</v>
      </c>
      <c r="D11" s="13">
        <v>1505</v>
      </c>
      <c r="E11" s="6">
        <v>249</v>
      </c>
      <c r="F11" s="6">
        <v>28</v>
      </c>
      <c r="G11" s="6">
        <v>31</v>
      </c>
      <c r="H11" s="11">
        <f t="shared" si="0"/>
        <v>249.47527777777779</v>
      </c>
      <c r="I11" s="6">
        <v>69</v>
      </c>
      <c r="J11" s="6">
        <v>28</v>
      </c>
      <c r="K11" s="6">
        <v>32</v>
      </c>
      <c r="L11" s="12">
        <f t="shared" si="1"/>
        <v>69.475555555555559</v>
      </c>
      <c r="M11" s="7"/>
      <c r="N11" s="7"/>
      <c r="O11" s="397"/>
      <c r="P11" s="339"/>
      <c r="Q11" s="339"/>
      <c r="R11" s="335"/>
      <c r="S11" s="336"/>
    </row>
    <row r="12" spans="1:28" ht="15.5" x14ac:dyDescent="0.35">
      <c r="A12" s="376">
        <v>1.64</v>
      </c>
      <c r="B12" s="14" t="s">
        <v>19</v>
      </c>
      <c r="C12" s="14" t="s">
        <v>18</v>
      </c>
      <c r="D12" s="9">
        <v>1.37</v>
      </c>
      <c r="E12" s="9">
        <v>359</v>
      </c>
      <c r="F12" s="9">
        <v>51</v>
      </c>
      <c r="G12" s="9">
        <v>48</v>
      </c>
      <c r="H12" s="15">
        <f t="shared" si="0"/>
        <v>359.86333333333334</v>
      </c>
      <c r="I12" s="9">
        <v>179</v>
      </c>
      <c r="J12" s="9">
        <v>51</v>
      </c>
      <c r="K12" s="9">
        <v>50</v>
      </c>
      <c r="L12" s="16">
        <f t="shared" si="1"/>
        <v>179.86388888888888</v>
      </c>
      <c r="M12" s="7">
        <f>MOD((H12-H13),360)</f>
        <v>119.30361111111111</v>
      </c>
      <c r="N12" s="7">
        <f>MOD((L12-L13),360)</f>
        <v>119.30416666666666</v>
      </c>
      <c r="O12" s="391">
        <f>AVERAGE(M12:N14)</f>
        <v>119.30374999999998</v>
      </c>
      <c r="P12" s="398">
        <f>ABS(M12-O12)*3600</f>
        <v>0.49999999993133315</v>
      </c>
      <c r="Q12" s="398">
        <f>ABS((N12-O12)*3600)</f>
        <v>1.5000000000497948</v>
      </c>
      <c r="R12" s="401"/>
      <c r="S12" s="371"/>
      <c r="T12" s="18"/>
      <c r="U12" s="18"/>
      <c r="V12" s="18"/>
      <c r="W12" s="18"/>
      <c r="X12" s="18"/>
      <c r="Y12" s="18"/>
      <c r="Z12" s="18"/>
      <c r="AA12" s="18"/>
      <c r="AB12" s="18"/>
    </row>
    <row r="13" spans="1:28" ht="15.5" x14ac:dyDescent="0.35">
      <c r="A13" s="342"/>
      <c r="B13" s="14"/>
      <c r="C13" s="14" t="s">
        <v>20</v>
      </c>
      <c r="D13" s="9">
        <v>1.55</v>
      </c>
      <c r="E13" s="9">
        <v>240</v>
      </c>
      <c r="F13" s="9">
        <v>33</v>
      </c>
      <c r="G13" s="9">
        <v>35</v>
      </c>
      <c r="H13" s="15">
        <f t="shared" si="0"/>
        <v>240.55972222222223</v>
      </c>
      <c r="I13" s="9">
        <v>60</v>
      </c>
      <c r="J13" s="9">
        <v>33</v>
      </c>
      <c r="K13" s="9">
        <v>35</v>
      </c>
      <c r="L13" s="16">
        <f t="shared" si="1"/>
        <v>60.55972222222222</v>
      </c>
      <c r="M13" s="7"/>
      <c r="N13" s="7"/>
      <c r="O13" s="392"/>
      <c r="P13" s="339"/>
      <c r="Q13" s="339"/>
      <c r="R13" s="401"/>
      <c r="S13" s="371"/>
      <c r="T13" s="18"/>
      <c r="U13" s="18"/>
      <c r="V13" s="18"/>
      <c r="W13" s="18"/>
      <c r="X13" s="18"/>
      <c r="Y13" s="18"/>
      <c r="Z13" s="18"/>
      <c r="AA13" s="18"/>
      <c r="AB13" s="18"/>
    </row>
    <row r="14" spans="1:28" ht="15.5" x14ac:dyDescent="0.35">
      <c r="A14" s="342"/>
      <c r="B14" s="14"/>
      <c r="C14" s="14" t="s">
        <v>18</v>
      </c>
      <c r="D14" s="9">
        <v>1.37</v>
      </c>
      <c r="E14" s="9">
        <v>359</v>
      </c>
      <c r="F14" s="9">
        <v>51</v>
      </c>
      <c r="G14" s="9">
        <v>49</v>
      </c>
      <c r="H14" s="15">
        <f t="shared" si="0"/>
        <v>359.86361111111114</v>
      </c>
      <c r="I14" s="9">
        <v>179</v>
      </c>
      <c r="J14" s="9">
        <v>51</v>
      </c>
      <c r="K14" s="9">
        <v>48</v>
      </c>
      <c r="L14" s="16">
        <f t="shared" si="1"/>
        <v>179.86333333333332</v>
      </c>
      <c r="M14" s="7">
        <f>MOD((H14-H15),360)</f>
        <v>119.30388888888891</v>
      </c>
      <c r="N14" s="7">
        <f>MOD((L14-L15),360)</f>
        <v>119.30333333333331</v>
      </c>
      <c r="O14" s="392"/>
      <c r="P14" s="398">
        <f>ABS(M14-O12)*3600</f>
        <v>0.50000000013596946</v>
      </c>
      <c r="Q14" s="398">
        <f>ABS((N14-O12)*3600)</f>
        <v>1.4999999999986358</v>
      </c>
      <c r="R14" s="401"/>
      <c r="S14" s="371"/>
      <c r="T14" s="18"/>
      <c r="U14" s="18"/>
      <c r="V14" s="18"/>
      <c r="W14" s="18"/>
      <c r="X14" s="18"/>
      <c r="Y14" s="18"/>
      <c r="Z14" s="18"/>
      <c r="AA14" s="18"/>
      <c r="AB14" s="18"/>
    </row>
    <row r="15" spans="1:28" ht="15.5" x14ac:dyDescent="0.35">
      <c r="A15" s="339"/>
      <c r="B15" s="19"/>
      <c r="C15" s="19" t="s">
        <v>20</v>
      </c>
      <c r="D15" s="9">
        <v>1.55</v>
      </c>
      <c r="E15" s="9">
        <v>240</v>
      </c>
      <c r="F15" s="9">
        <v>33</v>
      </c>
      <c r="G15" s="9">
        <v>35</v>
      </c>
      <c r="H15" s="17">
        <f t="shared" si="0"/>
        <v>240.55972222222223</v>
      </c>
      <c r="I15" s="9">
        <v>60</v>
      </c>
      <c r="J15" s="9">
        <v>33</v>
      </c>
      <c r="K15" s="9">
        <v>36</v>
      </c>
      <c r="L15" s="20">
        <f t="shared" si="1"/>
        <v>60.559999999999995</v>
      </c>
      <c r="M15" s="7"/>
      <c r="N15" s="7"/>
      <c r="O15" s="392"/>
      <c r="P15" s="339"/>
      <c r="Q15" s="339"/>
      <c r="R15" s="401"/>
      <c r="S15" s="371"/>
      <c r="T15" s="18"/>
      <c r="U15" s="18"/>
      <c r="V15" s="18"/>
      <c r="W15" s="18"/>
      <c r="X15" s="18"/>
      <c r="Y15" s="18"/>
      <c r="Z15" s="18"/>
      <c r="AA15" s="18"/>
      <c r="AB15" s="18"/>
    </row>
    <row r="16" spans="1:28" ht="15.5" x14ac:dyDescent="0.3">
      <c r="A16" s="399">
        <v>1663</v>
      </c>
      <c r="B16" s="21" t="s">
        <v>20</v>
      </c>
      <c r="C16" s="21" t="s">
        <v>19</v>
      </c>
      <c r="D16" s="13">
        <v>1505</v>
      </c>
      <c r="E16" s="6">
        <v>15</v>
      </c>
      <c r="F16" s="6">
        <v>13</v>
      </c>
      <c r="G16" s="6">
        <v>11</v>
      </c>
      <c r="H16" s="21">
        <f t="shared" si="0"/>
        <v>15.219722222222222</v>
      </c>
      <c r="I16" s="6">
        <v>195</v>
      </c>
      <c r="J16" s="6">
        <v>13</v>
      </c>
      <c r="K16" s="6">
        <v>12</v>
      </c>
      <c r="L16" s="22">
        <f t="shared" si="1"/>
        <v>195.22</v>
      </c>
      <c r="M16" s="7">
        <f>MOD((H16-H17),360)</f>
        <v>88.863333333333344</v>
      </c>
      <c r="N16" s="7">
        <f>MOD((L16-L17),360)</f>
        <v>88.863611111111112</v>
      </c>
      <c r="O16" s="400">
        <f>AVERAGE(M16:N18)</f>
        <v>88.863472222222242</v>
      </c>
      <c r="P16" s="338">
        <f>ABS(M16-O16)*3600</f>
        <v>0.5000000000336513</v>
      </c>
      <c r="Q16" s="338">
        <f>ABS((N16-O16)*3600)</f>
        <v>0.49999999993133315</v>
      </c>
      <c r="R16" s="335"/>
      <c r="S16" s="336"/>
    </row>
    <row r="17" spans="1:22" ht="15.5" x14ac:dyDescent="0.3">
      <c r="A17" s="342"/>
      <c r="B17" s="21"/>
      <c r="C17" s="21" t="s">
        <v>21</v>
      </c>
      <c r="D17" s="13">
        <v>1368</v>
      </c>
      <c r="E17" s="6">
        <v>286</v>
      </c>
      <c r="F17" s="6">
        <v>21</v>
      </c>
      <c r="G17" s="6">
        <v>23</v>
      </c>
      <c r="H17" s="21">
        <f t="shared" si="0"/>
        <v>286.35638888888889</v>
      </c>
      <c r="I17" s="6">
        <v>106</v>
      </c>
      <c r="J17" s="6">
        <v>21</v>
      </c>
      <c r="K17" s="6">
        <v>23</v>
      </c>
      <c r="L17" s="22">
        <f t="shared" si="1"/>
        <v>106.35638888888889</v>
      </c>
      <c r="M17" s="7"/>
      <c r="N17" s="7"/>
      <c r="O17" s="342"/>
      <c r="P17" s="339"/>
      <c r="Q17" s="339"/>
      <c r="R17" s="335"/>
      <c r="S17" s="336"/>
    </row>
    <row r="18" spans="1:22" ht="15.5" x14ac:dyDescent="0.3">
      <c r="A18" s="342"/>
      <c r="B18" s="21"/>
      <c r="C18" s="21" t="s">
        <v>19</v>
      </c>
      <c r="D18" s="13">
        <v>1505</v>
      </c>
      <c r="E18" s="6">
        <v>15</v>
      </c>
      <c r="F18" s="6">
        <v>13</v>
      </c>
      <c r="G18" s="6">
        <v>11</v>
      </c>
      <c r="H18" s="21">
        <f t="shared" si="0"/>
        <v>15.219722222222222</v>
      </c>
      <c r="I18" s="6">
        <v>195</v>
      </c>
      <c r="J18" s="6">
        <v>13</v>
      </c>
      <c r="K18" s="6">
        <v>12</v>
      </c>
      <c r="L18" s="22">
        <f t="shared" si="1"/>
        <v>195.22</v>
      </c>
      <c r="M18" s="7">
        <f>MOD((H18-H19),360)</f>
        <v>88.863333333333344</v>
      </c>
      <c r="N18" s="7">
        <f>MOD((L18-L19),360)</f>
        <v>88.863611111111112</v>
      </c>
      <c r="O18" s="342"/>
      <c r="P18" s="338">
        <f>ABS(M18-O16)*3600</f>
        <v>0.5000000000336513</v>
      </c>
      <c r="Q18" s="338">
        <f>ABS((N18-O16)*3600)</f>
        <v>0.49999999993133315</v>
      </c>
      <c r="R18" s="335"/>
      <c r="S18" s="336"/>
    </row>
    <row r="19" spans="1:22" ht="15.5" x14ac:dyDescent="0.3">
      <c r="A19" s="339"/>
      <c r="B19" s="21"/>
      <c r="C19" s="21" t="s">
        <v>16</v>
      </c>
      <c r="D19" s="13">
        <v>1368</v>
      </c>
      <c r="E19" s="6">
        <v>286</v>
      </c>
      <c r="F19" s="6">
        <v>21</v>
      </c>
      <c r="G19" s="6">
        <v>23</v>
      </c>
      <c r="H19" s="21">
        <f t="shared" si="0"/>
        <v>286.35638888888889</v>
      </c>
      <c r="I19" s="6">
        <v>106</v>
      </c>
      <c r="J19" s="6">
        <v>21</v>
      </c>
      <c r="K19" s="6">
        <v>23</v>
      </c>
      <c r="L19" s="22">
        <f t="shared" si="1"/>
        <v>106.35638888888889</v>
      </c>
      <c r="M19" s="7"/>
      <c r="N19" s="7"/>
      <c r="O19" s="339"/>
      <c r="P19" s="339"/>
      <c r="Q19" s="339"/>
      <c r="R19" s="335"/>
      <c r="S19" s="336"/>
    </row>
    <row r="20" spans="1:22" ht="15.5" x14ac:dyDescent="0.3">
      <c r="A20" s="376">
        <v>1.48</v>
      </c>
      <c r="B20" s="23" t="s">
        <v>21</v>
      </c>
      <c r="C20" s="23" t="s">
        <v>20</v>
      </c>
      <c r="D20" s="9">
        <v>1.57</v>
      </c>
      <c r="E20" s="6">
        <v>335</v>
      </c>
      <c r="F20" s="6">
        <v>53</v>
      </c>
      <c r="G20" s="6">
        <v>51</v>
      </c>
      <c r="H20" s="24">
        <f t="shared" si="0"/>
        <v>335.89749999999998</v>
      </c>
      <c r="I20" s="6">
        <v>155</v>
      </c>
      <c r="J20" s="6">
        <v>53</v>
      </c>
      <c r="K20" s="6">
        <v>52</v>
      </c>
      <c r="L20" s="24">
        <f t="shared" si="1"/>
        <v>155.89777777777778</v>
      </c>
      <c r="M20" s="7">
        <f>MOD((H20-H21),360)</f>
        <v>89.931666666666644</v>
      </c>
      <c r="N20" s="7">
        <f>MOD((L20-L21),360)</f>
        <v>89.93138888888889</v>
      </c>
      <c r="O20" s="385">
        <f>AVERAGE(M20:N22)</f>
        <v>89.93152777777776</v>
      </c>
      <c r="P20" s="338">
        <f>ABS(M20-O20)*3600</f>
        <v>0.49999999998249223</v>
      </c>
      <c r="Q20" s="338">
        <f>ABS((N20-O20)*3600)</f>
        <v>0.49999999993133315</v>
      </c>
      <c r="R20" s="335"/>
      <c r="S20" s="336"/>
    </row>
    <row r="21" spans="1:22" ht="15.75" customHeight="1" x14ac:dyDescent="0.3">
      <c r="A21" s="342"/>
      <c r="B21" s="23"/>
      <c r="C21" s="23" t="s">
        <v>17</v>
      </c>
      <c r="D21" s="9">
        <v>1.55</v>
      </c>
      <c r="E21" s="6">
        <v>245</v>
      </c>
      <c r="F21" s="6">
        <v>57</v>
      </c>
      <c r="G21" s="6">
        <v>57</v>
      </c>
      <c r="H21" s="24">
        <f t="shared" si="0"/>
        <v>245.96583333333334</v>
      </c>
      <c r="I21" s="6">
        <v>65</v>
      </c>
      <c r="J21" s="6">
        <v>57</v>
      </c>
      <c r="K21" s="6">
        <v>59</v>
      </c>
      <c r="L21" s="24">
        <f t="shared" si="1"/>
        <v>65.966388888888886</v>
      </c>
      <c r="M21" s="7"/>
      <c r="N21" s="7"/>
      <c r="O21" s="342"/>
      <c r="P21" s="339"/>
      <c r="Q21" s="339"/>
      <c r="R21" s="335"/>
      <c r="S21" s="336"/>
    </row>
    <row r="22" spans="1:22" ht="15.75" customHeight="1" x14ac:dyDescent="0.3">
      <c r="A22" s="342"/>
      <c r="B22" s="23"/>
      <c r="C22" s="23" t="s">
        <v>20</v>
      </c>
      <c r="D22" s="9">
        <v>1.57</v>
      </c>
      <c r="E22" s="6">
        <v>335</v>
      </c>
      <c r="F22" s="6">
        <v>53</v>
      </c>
      <c r="G22" s="6">
        <v>51</v>
      </c>
      <c r="H22" s="24">
        <f t="shared" si="0"/>
        <v>335.89749999999998</v>
      </c>
      <c r="I22" s="6">
        <v>155</v>
      </c>
      <c r="J22" s="6">
        <v>53</v>
      </c>
      <c r="K22" s="6">
        <v>52</v>
      </c>
      <c r="L22" s="24">
        <f t="shared" si="1"/>
        <v>155.89777777777778</v>
      </c>
      <c r="M22" s="7">
        <f>MOD((H22-H23),360)</f>
        <v>89.931666666666644</v>
      </c>
      <c r="N22" s="7">
        <f>MOD((L22-L23),360)</f>
        <v>89.93138888888889</v>
      </c>
      <c r="O22" s="342"/>
      <c r="P22" s="338">
        <f>ABS(M22-O20)*3600</f>
        <v>0.49999999998249223</v>
      </c>
      <c r="Q22" s="338">
        <f>ABS((N22-O20)*3600)</f>
        <v>0.49999999993133315</v>
      </c>
      <c r="R22" s="335"/>
      <c r="S22" s="336"/>
    </row>
    <row r="23" spans="1:22" ht="15.75" customHeight="1" x14ac:dyDescent="0.3">
      <c r="A23" s="339"/>
      <c r="B23" s="23"/>
      <c r="C23" s="23" t="s">
        <v>17</v>
      </c>
      <c r="D23" s="9">
        <v>1.55</v>
      </c>
      <c r="E23" s="6">
        <v>245</v>
      </c>
      <c r="F23" s="6">
        <v>57</v>
      </c>
      <c r="G23" s="6">
        <v>57</v>
      </c>
      <c r="H23" s="24">
        <f t="shared" si="0"/>
        <v>245.96583333333334</v>
      </c>
      <c r="I23" s="6">
        <v>65</v>
      </c>
      <c r="J23" s="6">
        <v>57</v>
      </c>
      <c r="K23" s="6">
        <v>59</v>
      </c>
      <c r="L23" s="24">
        <f t="shared" si="1"/>
        <v>65.966388888888886</v>
      </c>
      <c r="M23" s="7"/>
      <c r="N23" s="7"/>
      <c r="O23" s="339"/>
      <c r="P23" s="339"/>
      <c r="Q23" s="339"/>
      <c r="R23" s="335"/>
      <c r="S23" s="336"/>
    </row>
    <row r="24" spans="1:22" ht="15.75" customHeight="1" x14ac:dyDescent="0.3">
      <c r="A24" s="386">
        <v>1.5</v>
      </c>
      <c r="B24" s="23" t="s">
        <v>17</v>
      </c>
      <c r="C24" s="23" t="s">
        <v>21</v>
      </c>
      <c r="D24" s="13">
        <v>1368</v>
      </c>
      <c r="E24" s="6">
        <v>168</v>
      </c>
      <c r="F24" s="6">
        <v>24</v>
      </c>
      <c r="G24" s="6">
        <v>24</v>
      </c>
      <c r="H24" s="24">
        <f t="shared" si="0"/>
        <v>168.40666666666667</v>
      </c>
      <c r="I24" s="6">
        <v>348</v>
      </c>
      <c r="J24" s="6">
        <v>24</v>
      </c>
      <c r="K24" s="6">
        <v>23</v>
      </c>
      <c r="L24" s="24">
        <f t="shared" si="1"/>
        <v>348.40638888888884</v>
      </c>
      <c r="M24" s="7">
        <f>MOD((H24-H25),360)</f>
        <v>170.69416666666669</v>
      </c>
      <c r="N24" s="7">
        <f>MOD((L24-L25),360)</f>
        <v>170.69416666666663</v>
      </c>
      <c r="O24" s="385">
        <f>AVERAGE(M24:N26)</f>
        <v>170.69416666666666</v>
      </c>
      <c r="P24" s="338">
        <f>ABS(M24-O24)*3600</f>
        <v>1.0231815394945443E-10</v>
      </c>
      <c r="Q24" s="338">
        <f>ABS((N24-O24)*3600)</f>
        <v>1.0231815394945443E-10</v>
      </c>
      <c r="R24" s="335"/>
      <c r="S24" s="336"/>
    </row>
    <row r="25" spans="1:22" ht="15.75" customHeight="1" x14ac:dyDescent="0.3">
      <c r="A25" s="342"/>
      <c r="B25" s="23"/>
      <c r="C25" s="23" t="s">
        <v>16</v>
      </c>
      <c r="D25" s="9">
        <v>1.6</v>
      </c>
      <c r="E25" s="6">
        <v>357</v>
      </c>
      <c r="F25" s="6">
        <v>42</v>
      </c>
      <c r="G25" s="6">
        <v>45</v>
      </c>
      <c r="H25" s="24">
        <f t="shared" si="0"/>
        <v>357.71249999999998</v>
      </c>
      <c r="I25" s="6">
        <v>177</v>
      </c>
      <c r="J25" s="6">
        <v>42</v>
      </c>
      <c r="K25" s="6">
        <v>44</v>
      </c>
      <c r="L25" s="24">
        <f t="shared" si="1"/>
        <v>177.71222222222221</v>
      </c>
      <c r="M25" s="7"/>
      <c r="N25" s="7"/>
      <c r="O25" s="342"/>
      <c r="P25" s="339"/>
      <c r="Q25" s="339"/>
      <c r="R25" s="335"/>
      <c r="S25" s="336"/>
    </row>
    <row r="26" spans="1:22" ht="15.75" customHeight="1" x14ac:dyDescent="0.3">
      <c r="A26" s="342"/>
      <c r="B26" s="23"/>
      <c r="C26" s="23" t="s">
        <v>21</v>
      </c>
      <c r="D26" s="13">
        <v>1368</v>
      </c>
      <c r="E26" s="6">
        <v>168</v>
      </c>
      <c r="F26" s="6">
        <v>24</v>
      </c>
      <c r="G26" s="6">
        <v>24</v>
      </c>
      <c r="H26" s="24">
        <f t="shared" si="0"/>
        <v>168.40666666666667</v>
      </c>
      <c r="I26" s="6">
        <v>348</v>
      </c>
      <c r="J26" s="6">
        <v>24</v>
      </c>
      <c r="K26" s="6">
        <v>23</v>
      </c>
      <c r="L26" s="24">
        <f t="shared" si="1"/>
        <v>348.40638888888884</v>
      </c>
      <c r="M26" s="7">
        <f>MOD((H26-H27),360)</f>
        <v>170.69416666666669</v>
      </c>
      <c r="N26" s="7">
        <f>MOD((L26-L27),360)</f>
        <v>170.69416666666663</v>
      </c>
      <c r="O26" s="342"/>
      <c r="P26" s="338">
        <f>ABS(M26-O24)*3600</f>
        <v>1.0231815394945443E-10</v>
      </c>
      <c r="Q26" s="338">
        <f>ABS((N26-O24)*3600)</f>
        <v>1.0231815394945443E-10</v>
      </c>
      <c r="R26" s="335"/>
      <c r="S26" s="336"/>
    </row>
    <row r="27" spans="1:22" ht="15.75" customHeight="1" x14ac:dyDescent="0.3">
      <c r="A27" s="339"/>
      <c r="B27" s="23"/>
      <c r="C27" s="23" t="s">
        <v>16</v>
      </c>
      <c r="D27" s="9">
        <v>1.6</v>
      </c>
      <c r="E27" s="6">
        <v>357</v>
      </c>
      <c r="F27" s="6">
        <v>42</v>
      </c>
      <c r="G27" s="6">
        <v>45</v>
      </c>
      <c r="H27" s="24">
        <f t="shared" si="0"/>
        <v>357.71249999999998</v>
      </c>
      <c r="I27" s="6">
        <v>177</v>
      </c>
      <c r="J27" s="6">
        <v>42</v>
      </c>
      <c r="K27" s="6">
        <v>44</v>
      </c>
      <c r="L27" s="24">
        <f t="shared" si="1"/>
        <v>177.71222222222221</v>
      </c>
      <c r="M27" s="7"/>
      <c r="N27" s="7"/>
      <c r="O27" s="339"/>
      <c r="P27" s="339"/>
      <c r="Q27" s="339"/>
      <c r="R27" s="335"/>
      <c r="S27" s="336"/>
    </row>
    <row r="28" spans="1:22" ht="15.75" customHeight="1" x14ac:dyDescent="0.35">
      <c r="D28" s="25">
        <f>E19-180</f>
        <v>106</v>
      </c>
      <c r="O28" s="26"/>
    </row>
    <row r="29" spans="1:22" ht="15.75" customHeight="1" x14ac:dyDescent="0.3"/>
    <row r="30" spans="1:22" ht="15.75" customHeight="1" x14ac:dyDescent="0.3">
      <c r="A30" s="387" t="s">
        <v>0</v>
      </c>
      <c r="B30" s="349"/>
      <c r="C30" s="387" t="s">
        <v>1</v>
      </c>
      <c r="D30" s="349"/>
      <c r="E30" s="337" t="s">
        <v>22</v>
      </c>
      <c r="F30" s="329"/>
      <c r="G30" s="329"/>
      <c r="H30" s="329"/>
      <c r="I30" s="329"/>
      <c r="J30" s="329"/>
      <c r="K30" s="329"/>
      <c r="L30" s="329"/>
      <c r="M30" s="329"/>
      <c r="N30" s="329"/>
      <c r="O30" s="329"/>
      <c r="P30" s="329"/>
      <c r="Q30" s="329"/>
      <c r="R30" s="329"/>
      <c r="S30" s="330"/>
    </row>
    <row r="31" spans="1:22" ht="15.75" customHeight="1" x14ac:dyDescent="0.35">
      <c r="A31" s="388"/>
      <c r="B31" s="389"/>
      <c r="C31" s="388"/>
      <c r="D31" s="389"/>
      <c r="E31" s="328" t="s">
        <v>3</v>
      </c>
      <c r="F31" s="329"/>
      <c r="G31" s="329"/>
      <c r="H31" s="330"/>
      <c r="I31" s="328" t="s">
        <v>4</v>
      </c>
      <c r="J31" s="329"/>
      <c r="K31" s="329"/>
      <c r="L31" s="330"/>
      <c r="M31" s="328" t="s">
        <v>5</v>
      </c>
      <c r="N31" s="329"/>
      <c r="O31" s="330"/>
      <c r="P31" s="328" t="s">
        <v>6</v>
      </c>
      <c r="Q31" s="330"/>
      <c r="R31" s="328"/>
      <c r="S31" s="330"/>
      <c r="V31" s="25" t="s">
        <v>23</v>
      </c>
    </row>
    <row r="32" spans="1:22" ht="15.75" customHeight="1" x14ac:dyDescent="0.35">
      <c r="A32" s="27" t="s">
        <v>7</v>
      </c>
      <c r="B32" s="27" t="s">
        <v>8</v>
      </c>
      <c r="C32" s="27" t="s">
        <v>8</v>
      </c>
      <c r="D32" s="27" t="s">
        <v>24</v>
      </c>
      <c r="E32" s="27" t="s">
        <v>10</v>
      </c>
      <c r="F32" s="27" t="s">
        <v>11</v>
      </c>
      <c r="G32" s="27" t="s">
        <v>12</v>
      </c>
      <c r="H32" s="27" t="s">
        <v>13</v>
      </c>
      <c r="I32" s="27" t="s">
        <v>10</v>
      </c>
      <c r="J32" s="27" t="s">
        <v>11</v>
      </c>
      <c r="K32" s="27" t="s">
        <v>12</v>
      </c>
      <c r="L32" s="27" t="s">
        <v>13</v>
      </c>
      <c r="M32" s="27" t="s">
        <v>3</v>
      </c>
      <c r="N32" s="27" t="s">
        <v>4</v>
      </c>
      <c r="O32" s="27" t="s">
        <v>15</v>
      </c>
      <c r="P32" s="27" t="s">
        <v>3</v>
      </c>
      <c r="Q32" s="27" t="s">
        <v>4</v>
      </c>
      <c r="R32" s="328"/>
      <c r="S32" s="330"/>
    </row>
    <row r="33" spans="1:28" ht="15.75" customHeight="1" x14ac:dyDescent="0.35">
      <c r="A33" s="390">
        <v>1.48</v>
      </c>
      <c r="B33" s="4" t="s">
        <v>16</v>
      </c>
      <c r="C33" s="4" t="s">
        <v>17</v>
      </c>
      <c r="D33" s="5">
        <v>1.54</v>
      </c>
      <c r="E33" s="28">
        <v>89</v>
      </c>
      <c r="F33" s="29">
        <v>4</v>
      </c>
      <c r="G33" s="30">
        <v>11</v>
      </c>
      <c r="H33" s="31">
        <f t="shared" ref="H33:H56" si="2">E33+(F33/60)+(G33/3600)</f>
        <v>89.069722222222225</v>
      </c>
      <c r="I33" s="30">
        <v>270</v>
      </c>
      <c r="J33" s="30">
        <v>55</v>
      </c>
      <c r="K33" s="30">
        <v>49</v>
      </c>
      <c r="L33" s="31">
        <f t="shared" ref="L33:L48" si="3">I33+(J33/60)+(K33/3600)</f>
        <v>270.9302777777778</v>
      </c>
      <c r="M33" s="31">
        <f>MOD((H33-H34),360)</f>
        <v>0.36194444444444684</v>
      </c>
      <c r="N33" s="31">
        <f>MOD((L34-L33),360)</f>
        <v>0.36194444444441842</v>
      </c>
      <c r="O33" s="341">
        <f>AVERAGE((M33:N35))</f>
        <v>0.36180555555554861</v>
      </c>
      <c r="P33" s="362">
        <f>ABS(O33-M33)*3600</f>
        <v>0.5000000000336513</v>
      </c>
      <c r="Q33" s="363">
        <f>ABS(O33-N33)*3600</f>
        <v>0.49999999993133315</v>
      </c>
      <c r="R33" s="328"/>
      <c r="S33" s="330"/>
    </row>
    <row r="34" spans="1:28" ht="15.75" customHeight="1" x14ac:dyDescent="0.35">
      <c r="A34" s="342"/>
      <c r="B34" s="4"/>
      <c r="C34" s="4" t="s">
        <v>18</v>
      </c>
      <c r="D34" s="9">
        <v>1.47</v>
      </c>
      <c r="E34" s="28">
        <v>88</v>
      </c>
      <c r="F34" s="29">
        <v>42</v>
      </c>
      <c r="G34" s="30">
        <v>28</v>
      </c>
      <c r="H34" s="31">
        <f t="shared" si="2"/>
        <v>88.707777777777778</v>
      </c>
      <c r="I34" s="30">
        <v>271</v>
      </c>
      <c r="J34" s="30">
        <v>17</v>
      </c>
      <c r="K34" s="30">
        <v>32</v>
      </c>
      <c r="L34" s="31">
        <f t="shared" si="3"/>
        <v>271.29222222222222</v>
      </c>
      <c r="M34" s="31"/>
      <c r="N34" s="31"/>
      <c r="O34" s="342"/>
      <c r="P34" s="339"/>
      <c r="Q34" s="339"/>
      <c r="R34" s="328"/>
      <c r="S34" s="330"/>
    </row>
    <row r="35" spans="1:28" ht="15.75" customHeight="1" x14ac:dyDescent="0.35">
      <c r="A35" s="342"/>
      <c r="B35" s="4"/>
      <c r="C35" s="4" t="s">
        <v>17</v>
      </c>
      <c r="D35" s="5">
        <v>1.54</v>
      </c>
      <c r="E35" s="28">
        <v>89</v>
      </c>
      <c r="F35" s="29">
        <v>4</v>
      </c>
      <c r="G35" s="30">
        <v>12</v>
      </c>
      <c r="H35" s="31">
        <f t="shared" si="2"/>
        <v>89.07</v>
      </c>
      <c r="I35" s="30">
        <v>270</v>
      </c>
      <c r="J35" s="30">
        <v>55</v>
      </c>
      <c r="K35" s="30">
        <v>48</v>
      </c>
      <c r="L35" s="31">
        <f t="shared" si="3"/>
        <v>270.93</v>
      </c>
      <c r="M35" s="31">
        <f>MOD((H35-H36),360)</f>
        <v>0.36166666666665037</v>
      </c>
      <c r="N35" s="31">
        <f>MOD((L36-L35),360)</f>
        <v>0.36166666666667879</v>
      </c>
      <c r="O35" s="342"/>
      <c r="P35" s="362">
        <f>ABS(O33-M35)*3600</f>
        <v>0.5000000000336513</v>
      </c>
      <c r="Q35" s="363">
        <f>ABS(O33-N35)*3600</f>
        <v>0.49999999993133315</v>
      </c>
      <c r="R35" s="328"/>
      <c r="S35" s="330"/>
    </row>
    <row r="36" spans="1:28" ht="15.75" customHeight="1" x14ac:dyDescent="0.35">
      <c r="A36" s="339"/>
      <c r="B36" s="4"/>
      <c r="C36" s="4" t="s">
        <v>18</v>
      </c>
      <c r="D36" s="9">
        <v>1.47</v>
      </c>
      <c r="E36" s="28">
        <v>88</v>
      </c>
      <c r="F36" s="29">
        <v>42</v>
      </c>
      <c r="G36" s="30">
        <v>30</v>
      </c>
      <c r="H36" s="31">
        <f t="shared" si="2"/>
        <v>88.708333333333343</v>
      </c>
      <c r="I36" s="30">
        <v>271</v>
      </c>
      <c r="J36" s="30">
        <v>17</v>
      </c>
      <c r="K36" s="30">
        <v>30</v>
      </c>
      <c r="L36" s="31">
        <f t="shared" si="3"/>
        <v>271.29166666666669</v>
      </c>
      <c r="M36" s="31"/>
      <c r="N36" s="31"/>
      <c r="O36" s="339"/>
      <c r="P36" s="339"/>
      <c r="Q36" s="339"/>
      <c r="R36" s="328"/>
      <c r="S36" s="330"/>
    </row>
    <row r="37" spans="1:28" ht="15.75" customHeight="1" x14ac:dyDescent="0.35">
      <c r="A37" s="376">
        <v>1.52</v>
      </c>
      <c r="B37" s="14" t="s">
        <v>18</v>
      </c>
      <c r="C37" s="14" t="s">
        <v>16</v>
      </c>
      <c r="D37" s="9">
        <v>1.6</v>
      </c>
      <c r="E37" s="28">
        <v>91</v>
      </c>
      <c r="F37" s="29">
        <v>8</v>
      </c>
      <c r="G37" s="30">
        <v>4</v>
      </c>
      <c r="H37" s="31">
        <f t="shared" si="2"/>
        <v>91.134444444444455</v>
      </c>
      <c r="I37" s="30">
        <v>268</v>
      </c>
      <c r="J37" s="30">
        <v>51</v>
      </c>
      <c r="K37" s="30">
        <v>56</v>
      </c>
      <c r="L37" s="31">
        <f t="shared" si="3"/>
        <v>268.8655555555556</v>
      </c>
      <c r="M37" s="31">
        <f>MOD((H37-H38),360)</f>
        <v>0.10527777777778624</v>
      </c>
      <c r="N37" s="31">
        <f>MOD((L38-L37),360)</f>
        <v>0.10527777777770098</v>
      </c>
      <c r="O37" s="341">
        <f>AVERAGE((M37:N39))</f>
        <v>0.10513888888886314</v>
      </c>
      <c r="P37" s="343">
        <f>ABS(O37-M37)*3600</f>
        <v>0.50000000012317969</v>
      </c>
      <c r="Q37" s="343">
        <f>ABS(O37-N37)*3600</f>
        <v>0.49999999981622523</v>
      </c>
      <c r="R37" s="340"/>
      <c r="S37" s="330"/>
      <c r="T37" s="18"/>
      <c r="U37" s="18"/>
      <c r="V37" s="18"/>
      <c r="W37" s="18"/>
      <c r="X37" s="18"/>
      <c r="Y37" s="18"/>
      <c r="Z37" s="18"/>
      <c r="AA37" s="18"/>
      <c r="AB37" s="18"/>
    </row>
    <row r="38" spans="1:28" ht="15.75" customHeight="1" x14ac:dyDescent="0.35">
      <c r="A38" s="342"/>
      <c r="B38" s="14"/>
      <c r="C38" s="14" t="s">
        <v>19</v>
      </c>
      <c r="D38" s="13">
        <v>1505</v>
      </c>
      <c r="E38" s="28">
        <v>91</v>
      </c>
      <c r="F38" s="29">
        <v>1</v>
      </c>
      <c r="G38" s="30">
        <v>45</v>
      </c>
      <c r="H38" s="31">
        <f t="shared" si="2"/>
        <v>91.029166666666669</v>
      </c>
      <c r="I38" s="30">
        <v>268</v>
      </c>
      <c r="J38" s="30">
        <v>58</v>
      </c>
      <c r="K38" s="30">
        <v>15</v>
      </c>
      <c r="L38" s="31">
        <f t="shared" si="3"/>
        <v>268.9708333333333</v>
      </c>
      <c r="M38" s="31"/>
      <c r="N38" s="31"/>
      <c r="O38" s="342"/>
      <c r="P38" s="339"/>
      <c r="Q38" s="339"/>
      <c r="R38" s="340"/>
      <c r="S38" s="330"/>
      <c r="T38" s="18"/>
      <c r="U38" s="18"/>
      <c r="V38" s="18"/>
      <c r="W38" s="18"/>
      <c r="X38" s="18"/>
      <c r="Y38" s="18"/>
      <c r="Z38" s="18"/>
      <c r="AA38" s="18"/>
      <c r="AB38" s="18"/>
    </row>
    <row r="39" spans="1:28" ht="15.75" customHeight="1" x14ac:dyDescent="0.35">
      <c r="A39" s="342"/>
      <c r="B39" s="14"/>
      <c r="C39" s="14" t="s">
        <v>16</v>
      </c>
      <c r="D39" s="9">
        <v>1.6</v>
      </c>
      <c r="E39" s="28">
        <v>91</v>
      </c>
      <c r="F39" s="29">
        <v>8</v>
      </c>
      <c r="G39" s="30">
        <v>2</v>
      </c>
      <c r="H39" s="31">
        <f t="shared" si="2"/>
        <v>91.13388888888889</v>
      </c>
      <c r="I39" s="30">
        <v>268</v>
      </c>
      <c r="J39" s="30">
        <v>51</v>
      </c>
      <c r="K39" s="30">
        <v>58</v>
      </c>
      <c r="L39" s="31">
        <f t="shared" si="3"/>
        <v>268.86611111111114</v>
      </c>
      <c r="M39" s="31">
        <f>MOD((H39-H40),360)</f>
        <v>0.10500000000000398</v>
      </c>
      <c r="N39" s="31">
        <f>MOD((L40-L39),360)</f>
        <v>0.10499999999996135</v>
      </c>
      <c r="O39" s="342"/>
      <c r="P39" s="343">
        <f>ABS(O37-M39)*3600</f>
        <v>0.49999999989296384</v>
      </c>
      <c r="Q39" s="343">
        <f>ABS(O37-N39)*3600</f>
        <v>0.50000000004644107</v>
      </c>
      <c r="R39" s="340"/>
      <c r="S39" s="330"/>
      <c r="T39" s="18"/>
      <c r="U39" s="18"/>
      <c r="V39" s="18"/>
      <c r="W39" s="18"/>
      <c r="X39" s="18"/>
      <c r="Y39" s="18"/>
      <c r="Z39" s="18"/>
      <c r="AA39" s="18"/>
      <c r="AB39" s="18"/>
    </row>
    <row r="40" spans="1:28" ht="15.75" customHeight="1" x14ac:dyDescent="0.35">
      <c r="A40" s="339"/>
      <c r="B40" s="14"/>
      <c r="C40" s="14" t="s">
        <v>19</v>
      </c>
      <c r="D40" s="13">
        <v>1505</v>
      </c>
      <c r="E40" s="28">
        <v>91</v>
      </c>
      <c r="F40" s="29">
        <v>1</v>
      </c>
      <c r="G40" s="30">
        <v>44</v>
      </c>
      <c r="H40" s="31">
        <f t="shared" si="2"/>
        <v>91.028888888888886</v>
      </c>
      <c r="I40" s="30">
        <v>268</v>
      </c>
      <c r="J40" s="30">
        <v>58</v>
      </c>
      <c r="K40" s="30">
        <v>16</v>
      </c>
      <c r="L40" s="31">
        <f t="shared" si="3"/>
        <v>268.9711111111111</v>
      </c>
      <c r="M40" s="31"/>
      <c r="N40" s="31"/>
      <c r="O40" s="339"/>
      <c r="P40" s="339"/>
      <c r="Q40" s="339"/>
      <c r="R40" s="340"/>
      <c r="S40" s="330"/>
      <c r="T40" s="18"/>
      <c r="U40" s="18"/>
      <c r="V40" s="18"/>
      <c r="W40" s="18"/>
      <c r="X40" s="18"/>
      <c r="Y40" s="18"/>
      <c r="Z40" s="18"/>
      <c r="AA40" s="18"/>
      <c r="AB40" s="18"/>
    </row>
    <row r="41" spans="1:28" ht="15.75" customHeight="1" x14ac:dyDescent="0.35">
      <c r="A41" s="376">
        <v>1.64</v>
      </c>
      <c r="B41" s="14" t="s">
        <v>19</v>
      </c>
      <c r="C41" s="14" t="s">
        <v>18</v>
      </c>
      <c r="D41" s="9">
        <v>1.37</v>
      </c>
      <c r="E41" s="32">
        <v>89</v>
      </c>
      <c r="F41" s="29">
        <v>6</v>
      </c>
      <c r="G41" s="30">
        <v>10</v>
      </c>
      <c r="H41" s="31">
        <f t="shared" si="2"/>
        <v>89.102777777777774</v>
      </c>
      <c r="I41" s="30">
        <v>270</v>
      </c>
      <c r="J41" s="30">
        <v>53</v>
      </c>
      <c r="K41" s="30">
        <v>50</v>
      </c>
      <c r="L41" s="31">
        <f t="shared" si="3"/>
        <v>270.89722222222224</v>
      </c>
      <c r="M41" s="31">
        <f>MOD((H42-H41),360)</f>
        <v>1.0588888888889016</v>
      </c>
      <c r="N41" s="31">
        <f>MOD((L41-L42),360)</f>
        <v>1.0588888888889301</v>
      </c>
      <c r="O41" s="341">
        <f>AVERAGE((M41:N43))</f>
        <v>1.0588888888889016</v>
      </c>
      <c r="P41" s="343">
        <f>ABS(O41-M41)*3600</f>
        <v>0</v>
      </c>
      <c r="Q41" s="343">
        <f>ABS(O41-N41)*3600</f>
        <v>1.0231815394945443E-10</v>
      </c>
      <c r="R41" s="340"/>
      <c r="S41" s="330"/>
      <c r="T41" s="18"/>
      <c r="U41" s="18"/>
      <c r="V41" s="18"/>
      <c r="W41" s="18"/>
      <c r="X41" s="18"/>
      <c r="Y41" s="18"/>
      <c r="Z41" s="18"/>
      <c r="AA41" s="18"/>
      <c r="AB41" s="18"/>
    </row>
    <row r="42" spans="1:28" ht="15.75" customHeight="1" x14ac:dyDescent="0.35">
      <c r="A42" s="342"/>
      <c r="B42" s="14"/>
      <c r="C42" s="14" t="s">
        <v>21</v>
      </c>
      <c r="D42" s="9">
        <v>1.55</v>
      </c>
      <c r="E42" s="28">
        <v>90</v>
      </c>
      <c r="F42" s="29">
        <v>9</v>
      </c>
      <c r="G42" s="30">
        <v>42</v>
      </c>
      <c r="H42" s="31">
        <f t="shared" si="2"/>
        <v>90.161666666666676</v>
      </c>
      <c r="I42" s="30">
        <v>269</v>
      </c>
      <c r="J42" s="30">
        <v>50</v>
      </c>
      <c r="K42" s="30">
        <v>18</v>
      </c>
      <c r="L42" s="31">
        <f t="shared" si="3"/>
        <v>269.83833333333331</v>
      </c>
      <c r="M42" s="31"/>
      <c r="N42" s="31"/>
      <c r="O42" s="342"/>
      <c r="P42" s="339"/>
      <c r="Q42" s="339"/>
      <c r="R42" s="340"/>
      <c r="S42" s="330"/>
      <c r="T42" s="18"/>
      <c r="U42" s="18"/>
      <c r="V42" s="18"/>
      <c r="W42" s="18"/>
      <c r="X42" s="18"/>
      <c r="Y42" s="18"/>
      <c r="Z42" s="18"/>
      <c r="AA42" s="18"/>
      <c r="AB42" s="18"/>
    </row>
    <row r="43" spans="1:28" ht="15.75" customHeight="1" x14ac:dyDescent="0.35">
      <c r="A43" s="342"/>
      <c r="B43" s="14"/>
      <c r="C43" s="14" t="s">
        <v>18</v>
      </c>
      <c r="D43" s="9">
        <v>1.37</v>
      </c>
      <c r="E43" s="28">
        <v>89</v>
      </c>
      <c r="F43" s="29">
        <v>6</v>
      </c>
      <c r="G43" s="30">
        <v>9</v>
      </c>
      <c r="H43" s="31">
        <f t="shared" si="2"/>
        <v>89.102499999999992</v>
      </c>
      <c r="I43" s="30">
        <v>270</v>
      </c>
      <c r="J43" s="30">
        <v>53</v>
      </c>
      <c r="K43" s="30">
        <v>51</v>
      </c>
      <c r="L43" s="31">
        <f t="shared" si="3"/>
        <v>270.89749999999998</v>
      </c>
      <c r="M43" s="31">
        <f>MOD((H44-H43),360)</f>
        <v>1.0588888888889016</v>
      </c>
      <c r="N43" s="31">
        <f>MOD((L43-L44),360)</f>
        <v>1.0588888888888732</v>
      </c>
      <c r="O43" s="342"/>
      <c r="P43" s="343">
        <f>ABS(O41-M43)*3600</f>
        <v>0</v>
      </c>
      <c r="Q43" s="343">
        <f>ABS(O41-N43)*3600</f>
        <v>1.0231815394945443E-10</v>
      </c>
      <c r="R43" s="340"/>
      <c r="S43" s="330"/>
      <c r="T43" s="18"/>
      <c r="U43" s="18"/>
      <c r="V43" s="18"/>
      <c r="W43" s="18"/>
      <c r="X43" s="18"/>
      <c r="Y43" s="18"/>
      <c r="Z43" s="18"/>
      <c r="AA43" s="18"/>
      <c r="AB43" s="18"/>
    </row>
    <row r="44" spans="1:28" ht="15.75" customHeight="1" x14ac:dyDescent="0.35">
      <c r="A44" s="339"/>
      <c r="B44" s="19"/>
      <c r="C44" s="19" t="s">
        <v>21</v>
      </c>
      <c r="D44" s="9">
        <v>1.55</v>
      </c>
      <c r="E44" s="28">
        <v>90</v>
      </c>
      <c r="F44" s="29">
        <v>9</v>
      </c>
      <c r="G44" s="30">
        <v>41</v>
      </c>
      <c r="H44" s="31">
        <f t="shared" si="2"/>
        <v>90.161388888888894</v>
      </c>
      <c r="I44" s="30">
        <v>269</v>
      </c>
      <c r="J44" s="30">
        <v>50</v>
      </c>
      <c r="K44" s="30">
        <v>19</v>
      </c>
      <c r="L44" s="31">
        <f t="shared" si="3"/>
        <v>269.83861111111111</v>
      </c>
      <c r="M44" s="31"/>
      <c r="N44" s="31"/>
      <c r="O44" s="339"/>
      <c r="P44" s="339"/>
      <c r="Q44" s="339"/>
      <c r="R44" s="340"/>
      <c r="S44" s="330"/>
      <c r="T44" s="18"/>
      <c r="U44" s="18"/>
      <c r="V44" s="18"/>
      <c r="W44" s="18"/>
      <c r="X44" s="18"/>
      <c r="Y44" s="18"/>
      <c r="Z44" s="18"/>
      <c r="AA44" s="18"/>
      <c r="AB44" s="18"/>
    </row>
    <row r="45" spans="1:28" ht="15.75" customHeight="1" x14ac:dyDescent="0.35">
      <c r="A45" s="380">
        <v>1663</v>
      </c>
      <c r="B45" s="33" t="s">
        <v>20</v>
      </c>
      <c r="C45" s="33" t="s">
        <v>19</v>
      </c>
      <c r="D45" s="34">
        <v>1505</v>
      </c>
      <c r="E45" s="35">
        <v>89</v>
      </c>
      <c r="F45" s="36">
        <v>58</v>
      </c>
      <c r="G45" s="37">
        <v>39</v>
      </c>
      <c r="H45" s="31">
        <f t="shared" si="2"/>
        <v>89.977500000000006</v>
      </c>
      <c r="I45" s="37">
        <v>270</v>
      </c>
      <c r="J45" s="37">
        <v>1</v>
      </c>
      <c r="K45" s="37">
        <v>21</v>
      </c>
      <c r="L45" s="31">
        <f t="shared" si="3"/>
        <v>270.02249999999998</v>
      </c>
      <c r="M45" s="31">
        <f>MOD((H45-H46),360)</f>
        <v>1.4880555555555617</v>
      </c>
      <c r="N45" s="31">
        <f>MOD((L46-L45),360)</f>
        <v>1.4880555555556043</v>
      </c>
      <c r="O45" s="358">
        <f>AVERAGE((M45:N47))</f>
        <v>1.4879166666666883</v>
      </c>
      <c r="P45" s="359">
        <f>ABS(O45-M45)*3600</f>
        <v>0.49999999994412292</v>
      </c>
      <c r="Q45" s="360">
        <f>ABS(O45-N45)*3600</f>
        <v>0.50000000009760015</v>
      </c>
      <c r="R45" s="361"/>
      <c r="S45" s="330"/>
      <c r="T45" s="38"/>
      <c r="U45" s="38"/>
      <c r="V45" s="38"/>
      <c r="W45" s="38"/>
      <c r="X45" s="38"/>
      <c r="Y45" s="38"/>
      <c r="Z45" s="38"/>
      <c r="AA45" s="38"/>
      <c r="AB45" s="38"/>
    </row>
    <row r="46" spans="1:28" ht="15.75" customHeight="1" x14ac:dyDescent="0.35">
      <c r="A46" s="342"/>
      <c r="B46" s="33"/>
      <c r="C46" s="33" t="s">
        <v>21</v>
      </c>
      <c r="D46" s="34">
        <v>1368</v>
      </c>
      <c r="E46" s="35">
        <v>88</v>
      </c>
      <c r="F46" s="36">
        <v>29</v>
      </c>
      <c r="G46" s="37">
        <v>22</v>
      </c>
      <c r="H46" s="31">
        <f t="shared" si="2"/>
        <v>88.489444444444445</v>
      </c>
      <c r="I46" s="37">
        <v>271</v>
      </c>
      <c r="J46" s="37">
        <v>30</v>
      </c>
      <c r="K46" s="37">
        <v>38</v>
      </c>
      <c r="L46" s="31">
        <f t="shared" si="3"/>
        <v>271.51055555555558</v>
      </c>
      <c r="M46" s="31"/>
      <c r="N46" s="31"/>
      <c r="O46" s="342"/>
      <c r="P46" s="339"/>
      <c r="Q46" s="339"/>
      <c r="R46" s="361"/>
      <c r="S46" s="330"/>
      <c r="T46" s="38"/>
      <c r="U46" s="38"/>
      <c r="V46" s="38"/>
      <c r="W46" s="38"/>
      <c r="X46" s="38"/>
      <c r="Y46" s="38"/>
      <c r="Z46" s="38"/>
      <c r="AA46" s="38"/>
      <c r="AB46" s="38"/>
    </row>
    <row r="47" spans="1:28" ht="15.75" customHeight="1" x14ac:dyDescent="0.35">
      <c r="A47" s="342"/>
      <c r="B47" s="33"/>
      <c r="C47" s="33" t="s">
        <v>19</v>
      </c>
      <c r="D47" s="34">
        <v>1505</v>
      </c>
      <c r="E47" s="35">
        <v>89</v>
      </c>
      <c r="F47" s="36">
        <v>58</v>
      </c>
      <c r="G47" s="37">
        <v>37</v>
      </c>
      <c r="H47" s="31">
        <f t="shared" si="2"/>
        <v>89.976944444444442</v>
      </c>
      <c r="I47" s="37">
        <v>270</v>
      </c>
      <c r="J47" s="37">
        <v>1</v>
      </c>
      <c r="K47" s="37">
        <v>23</v>
      </c>
      <c r="L47" s="31">
        <f t="shared" si="3"/>
        <v>270.02305555555552</v>
      </c>
      <c r="M47" s="31">
        <f>MOD((H47-H48),360)</f>
        <v>1.4877777777777794</v>
      </c>
      <c r="N47" s="31">
        <f>MOD((L48-L47),360)</f>
        <v>1.4877777777778078</v>
      </c>
      <c r="O47" s="342"/>
      <c r="P47" s="359">
        <f>ABS(O45-M47)*3600</f>
        <v>0.50000000007202061</v>
      </c>
      <c r="Q47" s="360">
        <f>ABS(O45-N47)*3600</f>
        <v>0.49999999996970246</v>
      </c>
      <c r="R47" s="361"/>
      <c r="S47" s="330"/>
      <c r="T47" s="38"/>
      <c r="U47" s="38"/>
      <c r="V47" s="38"/>
      <c r="W47" s="38"/>
      <c r="X47" s="38"/>
      <c r="Y47" s="38"/>
      <c r="Z47" s="38"/>
      <c r="AA47" s="38"/>
      <c r="AB47" s="38"/>
    </row>
    <row r="48" spans="1:28" ht="15.75" customHeight="1" x14ac:dyDescent="0.35">
      <c r="A48" s="339"/>
      <c r="B48" s="33"/>
      <c r="C48" s="33" t="s">
        <v>21</v>
      </c>
      <c r="D48" s="34">
        <v>1368</v>
      </c>
      <c r="E48" s="35">
        <v>88</v>
      </c>
      <c r="F48" s="36">
        <v>29</v>
      </c>
      <c r="G48" s="37">
        <v>21</v>
      </c>
      <c r="H48" s="31">
        <f t="shared" si="2"/>
        <v>88.489166666666662</v>
      </c>
      <c r="I48" s="37">
        <v>271</v>
      </c>
      <c r="J48" s="37">
        <v>30</v>
      </c>
      <c r="K48" s="37">
        <v>39</v>
      </c>
      <c r="L48" s="31">
        <f t="shared" si="3"/>
        <v>271.51083333333332</v>
      </c>
      <c r="M48" s="31"/>
      <c r="N48" s="31"/>
      <c r="O48" s="339"/>
      <c r="P48" s="339"/>
      <c r="Q48" s="339"/>
      <c r="R48" s="361"/>
      <c r="S48" s="330"/>
      <c r="T48" s="38"/>
      <c r="U48" s="38"/>
      <c r="V48" s="38"/>
      <c r="W48" s="38"/>
      <c r="X48" s="38"/>
      <c r="Y48" s="38"/>
      <c r="Z48" s="38"/>
      <c r="AA48" s="38"/>
      <c r="AB48" s="38"/>
    </row>
    <row r="49" spans="1:29" ht="15.75" customHeight="1" x14ac:dyDescent="0.35">
      <c r="A49" s="382">
        <v>1.48</v>
      </c>
      <c r="B49" s="23" t="s">
        <v>21</v>
      </c>
      <c r="C49" s="23" t="s">
        <v>20</v>
      </c>
      <c r="D49" s="9">
        <v>1.57</v>
      </c>
      <c r="E49" s="28">
        <v>91</v>
      </c>
      <c r="F49" s="29">
        <v>40</v>
      </c>
      <c r="G49" s="30">
        <v>34</v>
      </c>
      <c r="H49" s="31">
        <f t="shared" si="2"/>
        <v>91.676111111111112</v>
      </c>
      <c r="I49" s="30">
        <v>268</v>
      </c>
      <c r="J49" s="30">
        <v>19</v>
      </c>
      <c r="K49" s="30">
        <v>26</v>
      </c>
      <c r="L49" s="31">
        <f>I49+(J49/60+(K49/3600))</f>
        <v>268.32388888888892</v>
      </c>
      <c r="M49" s="31">
        <f>MOD((H49-H50),360)</f>
        <v>0.65083333333333826</v>
      </c>
      <c r="N49" s="31">
        <f>MOD((L50-L49),360)</f>
        <v>0.65083333333325299</v>
      </c>
      <c r="O49" s="341">
        <f>AVERAGE((M49:N51))</f>
        <v>0.6508333333333205</v>
      </c>
      <c r="P49" s="362">
        <f>ABS(O49-M49)*3600</f>
        <v>6.3948846218409017E-11</v>
      </c>
      <c r="Q49" s="375">
        <f>ABS(O49-N49)*3600</f>
        <v>2.4300561562995426E-10</v>
      </c>
      <c r="R49" s="328"/>
      <c r="S49" s="330"/>
    </row>
    <row r="50" spans="1:29" ht="15.75" customHeight="1" x14ac:dyDescent="0.35">
      <c r="A50" s="342"/>
      <c r="B50" s="23"/>
      <c r="C50" s="23" t="s">
        <v>17</v>
      </c>
      <c r="D50" s="9">
        <v>1.55</v>
      </c>
      <c r="E50" s="28">
        <v>91</v>
      </c>
      <c r="F50" s="29">
        <v>1</v>
      </c>
      <c r="G50" s="30">
        <v>31</v>
      </c>
      <c r="H50" s="31">
        <f t="shared" si="2"/>
        <v>91.025277777777774</v>
      </c>
      <c r="I50" s="30">
        <v>268</v>
      </c>
      <c r="J50" s="30">
        <v>58</v>
      </c>
      <c r="K50" s="30">
        <v>29</v>
      </c>
      <c r="L50" s="31">
        <f t="shared" ref="L50:L52" si="4">I50+(J50/60)+(K50/3600)</f>
        <v>268.97472222222217</v>
      </c>
      <c r="M50" s="31"/>
      <c r="N50" s="31"/>
      <c r="O50" s="342"/>
      <c r="P50" s="339"/>
      <c r="Q50" s="339"/>
      <c r="R50" s="328"/>
      <c r="S50" s="330"/>
    </row>
    <row r="51" spans="1:29" ht="15.75" customHeight="1" x14ac:dyDescent="0.35">
      <c r="A51" s="342"/>
      <c r="B51" s="23"/>
      <c r="C51" s="23" t="s">
        <v>20</v>
      </c>
      <c r="D51" s="9">
        <v>1.57</v>
      </c>
      <c r="E51" s="28">
        <v>91</v>
      </c>
      <c r="F51" s="29">
        <v>40</v>
      </c>
      <c r="G51" s="30">
        <v>36</v>
      </c>
      <c r="H51" s="31">
        <f t="shared" si="2"/>
        <v>91.676666666666677</v>
      </c>
      <c r="I51" s="30">
        <v>268</v>
      </c>
      <c r="J51" s="30">
        <v>19</v>
      </c>
      <c r="K51" s="30">
        <v>26</v>
      </c>
      <c r="L51" s="31">
        <f t="shared" si="4"/>
        <v>268.32388888888886</v>
      </c>
      <c r="M51" s="31">
        <f>MOD((H51-H52),360)</f>
        <v>0.65111111111112052</v>
      </c>
      <c r="N51" s="31">
        <f>MOD((L52-L51),360)</f>
        <v>0.65055555555557021</v>
      </c>
      <c r="O51" s="342"/>
      <c r="P51" s="362">
        <f>ABS(O49-M51)*3600</f>
        <v>1.0000000000800924</v>
      </c>
      <c r="Q51" s="363">
        <f>ABS(O49-N51)*3600</f>
        <v>0.99999999990103561</v>
      </c>
      <c r="R51" s="328"/>
      <c r="S51" s="330"/>
    </row>
    <row r="52" spans="1:29" ht="15.75" customHeight="1" x14ac:dyDescent="0.35">
      <c r="A52" s="339"/>
      <c r="B52" s="23"/>
      <c r="C52" s="23" t="s">
        <v>17</v>
      </c>
      <c r="D52" s="9">
        <v>1.55</v>
      </c>
      <c r="E52" s="28">
        <v>91</v>
      </c>
      <c r="F52" s="39">
        <v>1</v>
      </c>
      <c r="G52" s="40">
        <v>32</v>
      </c>
      <c r="H52" s="31">
        <f t="shared" si="2"/>
        <v>91.025555555555556</v>
      </c>
      <c r="I52" s="40">
        <v>268</v>
      </c>
      <c r="J52" s="40">
        <v>58</v>
      </c>
      <c r="K52" s="40">
        <v>28</v>
      </c>
      <c r="L52" s="31">
        <f t="shared" si="4"/>
        <v>268.97444444444443</v>
      </c>
      <c r="M52" s="31"/>
      <c r="N52" s="31"/>
      <c r="O52" s="339"/>
      <c r="P52" s="339"/>
      <c r="Q52" s="339"/>
      <c r="R52" s="328"/>
      <c r="S52" s="330"/>
    </row>
    <row r="53" spans="1:29" ht="15.75" customHeight="1" x14ac:dyDescent="0.35">
      <c r="A53" s="376">
        <v>1.5</v>
      </c>
      <c r="B53" s="41" t="s">
        <v>17</v>
      </c>
      <c r="C53" s="41" t="s">
        <v>21</v>
      </c>
      <c r="D53" s="13">
        <v>1368</v>
      </c>
      <c r="E53" s="28">
        <v>89</v>
      </c>
      <c r="F53" s="28">
        <v>6</v>
      </c>
      <c r="G53" s="42">
        <v>3</v>
      </c>
      <c r="H53" s="31">
        <f t="shared" si="2"/>
        <v>89.100833333333327</v>
      </c>
      <c r="I53" s="42">
        <v>270</v>
      </c>
      <c r="J53" s="42">
        <v>53</v>
      </c>
      <c r="K53" s="42">
        <v>57</v>
      </c>
      <c r="L53" s="31">
        <f>I53+(J53/60+(K53/3600))</f>
        <v>270.89916666666664</v>
      </c>
      <c r="M53" s="31">
        <f>MOD((H54-H53),360)</f>
        <v>1.7847222222222285</v>
      </c>
      <c r="N53" s="31">
        <f>MOD((L53-L54),360)</f>
        <v>1.7847222222221717</v>
      </c>
      <c r="O53" s="341">
        <f>AVERAGE((M53:N55))</f>
        <v>1.7843055555555338</v>
      </c>
      <c r="P53" s="343">
        <f>ABS(O53-M53)*3600</f>
        <v>1.5000000001009539</v>
      </c>
      <c r="Q53" s="374">
        <f>ABS(O53-N53)*3600</f>
        <v>1.4999999998963176</v>
      </c>
      <c r="R53" s="340"/>
      <c r="S53" s="330"/>
      <c r="T53" s="18"/>
      <c r="U53" s="18"/>
      <c r="V53" s="18"/>
      <c r="W53" s="18"/>
      <c r="X53" s="18"/>
      <c r="Y53" s="18"/>
      <c r="Z53" s="18"/>
      <c r="AA53" s="18"/>
      <c r="AB53" s="18"/>
    </row>
    <row r="54" spans="1:29" ht="15.75" customHeight="1" x14ac:dyDescent="0.35">
      <c r="A54" s="342"/>
      <c r="B54" s="41"/>
      <c r="C54" s="41" t="s">
        <v>16</v>
      </c>
      <c r="D54" s="9">
        <v>1.6</v>
      </c>
      <c r="E54" s="28">
        <v>90</v>
      </c>
      <c r="F54" s="29">
        <v>53</v>
      </c>
      <c r="G54" s="30">
        <v>8</v>
      </c>
      <c r="H54" s="31">
        <f t="shared" si="2"/>
        <v>90.885555555555555</v>
      </c>
      <c r="I54" s="30">
        <v>269</v>
      </c>
      <c r="J54" s="30">
        <v>6</v>
      </c>
      <c r="K54" s="30">
        <v>52</v>
      </c>
      <c r="L54" s="31">
        <f t="shared" ref="L54:L56" si="5">I54+(J54/60)+(K54/3600)</f>
        <v>269.11444444444447</v>
      </c>
      <c r="M54" s="31"/>
      <c r="N54" s="31"/>
      <c r="O54" s="342"/>
      <c r="P54" s="339"/>
      <c r="Q54" s="339"/>
      <c r="R54" s="340"/>
      <c r="S54" s="330"/>
      <c r="T54" s="18"/>
      <c r="U54" s="18"/>
      <c r="V54" s="18"/>
      <c r="W54" s="18"/>
      <c r="X54" s="18"/>
      <c r="Y54" s="18"/>
      <c r="Z54" s="18"/>
      <c r="AA54" s="18"/>
      <c r="AB54" s="18"/>
    </row>
    <row r="55" spans="1:29" ht="15.75" customHeight="1" x14ac:dyDescent="0.35">
      <c r="A55" s="342"/>
      <c r="B55" s="41"/>
      <c r="C55" s="41" t="s">
        <v>21</v>
      </c>
      <c r="D55" s="13">
        <v>1368</v>
      </c>
      <c r="E55" s="28">
        <v>89</v>
      </c>
      <c r="F55" s="29">
        <v>6</v>
      </c>
      <c r="G55" s="30">
        <v>6</v>
      </c>
      <c r="H55" s="31">
        <f t="shared" si="2"/>
        <v>89.101666666666659</v>
      </c>
      <c r="I55" s="30">
        <v>270</v>
      </c>
      <c r="J55" s="30">
        <v>53</v>
      </c>
      <c r="K55" s="30">
        <v>54</v>
      </c>
      <c r="L55" s="31">
        <f t="shared" si="5"/>
        <v>270.89833333333331</v>
      </c>
      <c r="M55" s="31">
        <f>MOD((H56-H55),360)</f>
        <v>1.783888888888896</v>
      </c>
      <c r="N55" s="31">
        <f>MOD((L55-L56),360)</f>
        <v>1.7838888888888391</v>
      </c>
      <c r="O55" s="342"/>
      <c r="P55" s="343">
        <f>ABS(O53-M55)*3600</f>
        <v>1.4999999998963176</v>
      </c>
      <c r="Q55" s="373">
        <f>ABS(O53-N55)*3600</f>
        <v>1.5000000001009539</v>
      </c>
      <c r="R55" s="340"/>
      <c r="S55" s="330"/>
      <c r="T55" s="18"/>
      <c r="U55" s="18"/>
      <c r="V55" s="18"/>
      <c r="W55" s="18"/>
      <c r="X55" s="18"/>
      <c r="Y55" s="18"/>
      <c r="Z55" s="18"/>
      <c r="AA55" s="18"/>
      <c r="AB55" s="18"/>
    </row>
    <row r="56" spans="1:29" ht="15.75" customHeight="1" x14ac:dyDescent="0.35">
      <c r="A56" s="339"/>
      <c r="B56" s="41"/>
      <c r="C56" s="41" t="s">
        <v>16</v>
      </c>
      <c r="D56" s="43">
        <v>1.6</v>
      </c>
      <c r="E56" s="28">
        <v>90</v>
      </c>
      <c r="F56" s="29">
        <v>53</v>
      </c>
      <c r="G56" s="30">
        <v>8</v>
      </c>
      <c r="H56" s="31">
        <f t="shared" si="2"/>
        <v>90.885555555555555</v>
      </c>
      <c r="I56" s="30">
        <v>269</v>
      </c>
      <c r="J56" s="30">
        <v>6</v>
      </c>
      <c r="K56" s="30">
        <v>52</v>
      </c>
      <c r="L56" s="31">
        <f t="shared" si="5"/>
        <v>269.11444444444447</v>
      </c>
      <c r="M56" s="44"/>
      <c r="N56" s="44"/>
      <c r="O56" s="339"/>
      <c r="P56" s="339"/>
      <c r="Q56" s="339"/>
      <c r="R56" s="340"/>
      <c r="S56" s="330"/>
      <c r="T56" s="18"/>
      <c r="U56" s="18"/>
      <c r="V56" s="18"/>
      <c r="W56" s="18"/>
      <c r="X56" s="18"/>
      <c r="Y56" s="18"/>
      <c r="Z56" s="18"/>
      <c r="AA56" s="18"/>
      <c r="AB56" s="18"/>
    </row>
    <row r="57" spans="1:29" ht="15.75" customHeight="1" x14ac:dyDescent="0.35">
      <c r="E57" s="45"/>
      <c r="F57" s="45"/>
      <c r="G57" s="45"/>
      <c r="H57" s="45"/>
      <c r="I57" s="45"/>
      <c r="J57" s="45"/>
      <c r="K57" s="45"/>
      <c r="L57" s="45"/>
      <c r="M57" s="45"/>
      <c r="N57" s="45"/>
      <c r="O57" s="45"/>
      <c r="P57" s="45"/>
      <c r="Q57" s="45"/>
      <c r="R57" s="45"/>
      <c r="S57" s="45"/>
    </row>
    <row r="58" spans="1:29" ht="15.75" customHeight="1" x14ac:dyDescent="0.3">
      <c r="N58" s="25" t="s">
        <v>23</v>
      </c>
    </row>
    <row r="59" spans="1:29" ht="15.75" customHeight="1" x14ac:dyDescent="0.3">
      <c r="A59" s="331" t="s">
        <v>25</v>
      </c>
      <c r="B59" s="332"/>
      <c r="C59" s="332"/>
      <c r="D59" s="332"/>
      <c r="E59" s="332"/>
      <c r="F59" s="332"/>
      <c r="G59" s="332"/>
      <c r="H59" s="332"/>
      <c r="I59" s="332"/>
      <c r="J59" s="332"/>
      <c r="K59" s="332"/>
      <c r="L59" s="332"/>
      <c r="M59" s="332"/>
      <c r="N59" s="332"/>
      <c r="O59" s="332"/>
      <c r="P59" s="332"/>
      <c r="Q59" s="332"/>
      <c r="R59" s="332"/>
      <c r="S59" s="332"/>
      <c r="T59" s="332"/>
      <c r="U59" s="332"/>
      <c r="V59" s="332"/>
      <c r="W59" s="332"/>
      <c r="X59" s="332"/>
      <c r="Y59" s="332"/>
      <c r="Z59" s="332"/>
      <c r="AA59" s="332"/>
      <c r="AB59" s="332"/>
    </row>
    <row r="60" spans="1:29" ht="15.75" customHeight="1" x14ac:dyDescent="0.3">
      <c r="A60" s="333"/>
      <c r="B60" s="333"/>
      <c r="C60" s="333"/>
      <c r="D60" s="333"/>
      <c r="E60" s="333"/>
      <c r="F60" s="333"/>
      <c r="G60" s="333"/>
      <c r="H60" s="333"/>
      <c r="I60" s="333"/>
      <c r="J60" s="333"/>
      <c r="K60" s="333"/>
      <c r="L60" s="333"/>
      <c r="M60" s="333"/>
      <c r="N60" s="333"/>
      <c r="O60" s="333"/>
      <c r="P60" s="333"/>
      <c r="Q60" s="333"/>
      <c r="R60" s="333"/>
      <c r="S60" s="333"/>
      <c r="T60" s="333"/>
      <c r="U60" s="333"/>
      <c r="V60" s="333"/>
      <c r="W60" s="333"/>
      <c r="X60" s="333"/>
      <c r="Y60" s="333"/>
      <c r="Z60" s="333"/>
      <c r="AA60" s="333"/>
      <c r="AB60" s="333"/>
    </row>
    <row r="61" spans="1:29" ht="15.75" customHeight="1" x14ac:dyDescent="0.3">
      <c r="A61" s="383" t="s">
        <v>0</v>
      </c>
      <c r="B61" s="369"/>
      <c r="C61" s="384" t="s">
        <v>1</v>
      </c>
      <c r="D61" s="369"/>
      <c r="E61" s="334" t="s">
        <v>26</v>
      </c>
      <c r="F61" s="329"/>
      <c r="G61" s="329"/>
      <c r="H61" s="329"/>
      <c r="I61" s="329"/>
      <c r="J61" s="329"/>
      <c r="K61" s="329"/>
      <c r="L61" s="329"/>
      <c r="M61" s="329"/>
      <c r="N61" s="329"/>
      <c r="O61" s="329"/>
      <c r="P61" s="329"/>
      <c r="Q61" s="329"/>
      <c r="R61" s="329"/>
      <c r="S61" s="329"/>
      <c r="T61" s="329"/>
      <c r="U61" s="329"/>
      <c r="V61" s="329"/>
      <c r="W61" s="330"/>
      <c r="X61" s="367" t="s">
        <v>27</v>
      </c>
      <c r="Y61" s="368"/>
      <c r="Z61" s="368"/>
      <c r="AA61" s="368"/>
      <c r="AB61" s="369"/>
    </row>
    <row r="62" spans="1:29" ht="15.75" customHeight="1" x14ac:dyDescent="0.3">
      <c r="A62" s="370"/>
      <c r="B62" s="371"/>
      <c r="C62" s="370"/>
      <c r="D62" s="371"/>
      <c r="E62" s="334" t="s">
        <v>28</v>
      </c>
      <c r="F62" s="329"/>
      <c r="G62" s="329"/>
      <c r="H62" s="329"/>
      <c r="I62" s="329"/>
      <c r="J62" s="329"/>
      <c r="K62" s="329"/>
      <c r="L62" s="330"/>
      <c r="M62" s="334" t="s">
        <v>29</v>
      </c>
      <c r="N62" s="329"/>
      <c r="O62" s="329"/>
      <c r="P62" s="329"/>
      <c r="Q62" s="330"/>
      <c r="R62" s="334" t="s">
        <v>30</v>
      </c>
      <c r="S62" s="329"/>
      <c r="T62" s="329"/>
      <c r="U62" s="329"/>
      <c r="V62" s="329"/>
      <c r="W62" s="330"/>
      <c r="X62" s="370"/>
      <c r="Y62" s="333"/>
      <c r="Z62" s="333"/>
      <c r="AA62" s="333"/>
      <c r="AB62" s="371"/>
    </row>
    <row r="63" spans="1:29" ht="15.75" customHeight="1" x14ac:dyDescent="0.3">
      <c r="A63" s="46" t="s">
        <v>8</v>
      </c>
      <c r="B63" s="46" t="s">
        <v>7</v>
      </c>
      <c r="C63" s="46" t="s">
        <v>8</v>
      </c>
      <c r="D63" s="46" t="s">
        <v>9</v>
      </c>
      <c r="E63" s="46" t="s">
        <v>3</v>
      </c>
      <c r="F63" s="46" t="s">
        <v>4</v>
      </c>
      <c r="G63" s="46" t="s">
        <v>31</v>
      </c>
      <c r="H63" s="46" t="s">
        <v>32</v>
      </c>
      <c r="I63" s="47" t="s">
        <v>33</v>
      </c>
      <c r="J63" s="46" t="s">
        <v>34</v>
      </c>
      <c r="K63" s="46" t="s">
        <v>35</v>
      </c>
      <c r="L63" s="47" t="s">
        <v>36</v>
      </c>
      <c r="M63" s="47" t="s">
        <v>32</v>
      </c>
      <c r="N63" s="46" t="s">
        <v>33</v>
      </c>
      <c r="O63" s="46" t="s">
        <v>34</v>
      </c>
      <c r="P63" s="46" t="s">
        <v>35</v>
      </c>
      <c r="Q63" s="47" t="s">
        <v>37</v>
      </c>
      <c r="R63" s="47" t="s">
        <v>38</v>
      </c>
      <c r="S63" s="46" t="s">
        <v>33</v>
      </c>
      <c r="T63" s="46" t="s">
        <v>34</v>
      </c>
      <c r="U63" s="46" t="s">
        <v>35</v>
      </c>
      <c r="V63" s="47" t="s">
        <v>37</v>
      </c>
      <c r="W63" s="47" t="s">
        <v>6</v>
      </c>
      <c r="X63" s="46" t="s">
        <v>32</v>
      </c>
      <c r="Y63" s="46" t="s">
        <v>39</v>
      </c>
      <c r="Z63" s="46" t="s">
        <v>34</v>
      </c>
      <c r="AA63" s="46" t="s">
        <v>35</v>
      </c>
      <c r="AB63" s="47"/>
    </row>
    <row r="64" spans="1:29" ht="15.75" customHeight="1" x14ac:dyDescent="0.3">
      <c r="A64" s="376" t="s">
        <v>16</v>
      </c>
      <c r="B64" s="377">
        <v>1.58</v>
      </c>
      <c r="C64" s="4" t="s">
        <v>17</v>
      </c>
      <c r="D64" s="318">
        <v>1.5</v>
      </c>
      <c r="E64" s="319">
        <v>144.06700000000001</v>
      </c>
      <c r="F64" s="319">
        <v>144.06700000000001</v>
      </c>
      <c r="G64" s="341" t="s">
        <v>40</v>
      </c>
      <c r="H64" s="322">
        <f>E65</f>
        <v>87.221999999999994</v>
      </c>
      <c r="I64" s="322">
        <f>E68</f>
        <v>87.218000000000004</v>
      </c>
      <c r="J64" s="381">
        <f t="shared" ref="J64" si="6">AVERAGE(H64:H67)</f>
        <v>87.221499999999992</v>
      </c>
      <c r="K64" s="381">
        <f>AVERAGE(I64:I67)</f>
        <v>87.218000000000004</v>
      </c>
      <c r="L64" s="341">
        <f>AVERAGE(J64:K67)</f>
        <v>87.219750000000005</v>
      </c>
      <c r="M64" s="324">
        <v>1.6879999999999999</v>
      </c>
      <c r="N64" s="325">
        <v>-1.6890000000000001</v>
      </c>
      <c r="O64" s="341">
        <f>AVERAGE(M64:M67)</f>
        <v>1.6895</v>
      </c>
      <c r="P64" s="357">
        <f t="shared" ref="P64" si="7">AVERAGE(N64:N67)</f>
        <v>-1.6897500000000001</v>
      </c>
      <c r="Q64" s="354">
        <f>(O64-P64)/2</f>
        <v>1.6896249999999999</v>
      </c>
      <c r="R64" s="49">
        <v>87.203999999999994</v>
      </c>
      <c r="S64" s="49">
        <v>87.203999999999994</v>
      </c>
      <c r="T64" s="341">
        <f t="shared" ref="T64:U64" si="8">AVERAGE(R64:R67)</f>
        <v>87.203999999999994</v>
      </c>
      <c r="U64" s="341">
        <f t="shared" si="8"/>
        <v>87.203999999999994</v>
      </c>
      <c r="V64" s="341">
        <f>AVERAGE(T64:U67)</f>
        <v>87.203999999999994</v>
      </c>
      <c r="W64" s="372">
        <f>(T64-U64)/V64</f>
        <v>0</v>
      </c>
      <c r="X64" s="318">
        <f>$B$64-$D$65+M64</f>
        <v>1.8380000000000001</v>
      </c>
      <c r="Y64" s="318">
        <f>$B$68-$D$68+N64</f>
        <v>-1.6260000000000001</v>
      </c>
      <c r="Z64" s="341">
        <f t="shared" ref="Z64:AA64" si="9">AVERAGE(X64:X67)</f>
        <v>1.8395000000000001</v>
      </c>
      <c r="AA64" s="341">
        <f t="shared" si="9"/>
        <v>-1.6267500000000001</v>
      </c>
      <c r="AB64" s="366">
        <f>IF(AND(Z64&lt;0,AA64&lt;0),(Z64+AA64)/2,IF(AND(Z64&lt;0,AA64&gt;0),(Z64-AA64)/2,IF(AND(Z64&gt;0,AA64&gt;0),(Z64+AA64)/2,IF(AND(Z64&gt;0,AA64&lt;0),(Z64-AA64)/2))))</f>
        <v>1.7331250000000002</v>
      </c>
      <c r="AC64" s="364"/>
    </row>
    <row r="65" spans="1:29" ht="15.75" customHeight="1" x14ac:dyDescent="0.3">
      <c r="A65" s="342"/>
      <c r="B65" s="378"/>
      <c r="C65" s="4" t="s">
        <v>18</v>
      </c>
      <c r="D65" s="318">
        <v>1.43</v>
      </c>
      <c r="E65" s="319">
        <v>87.221999999999994</v>
      </c>
      <c r="F65" s="319">
        <v>87.221000000000004</v>
      </c>
      <c r="G65" s="342"/>
      <c r="H65" s="322">
        <f>F65</f>
        <v>87.221000000000004</v>
      </c>
      <c r="I65" s="322">
        <f>F68</f>
        <v>87.218000000000004</v>
      </c>
      <c r="J65" s="342"/>
      <c r="K65" s="342"/>
      <c r="L65" s="342"/>
      <c r="M65" s="324">
        <v>1.6910000000000001</v>
      </c>
      <c r="N65" s="325">
        <v>-1.6910000000000001</v>
      </c>
      <c r="O65" s="342"/>
      <c r="P65" s="342"/>
      <c r="Q65" s="355"/>
      <c r="R65" s="49">
        <v>87.203999999999994</v>
      </c>
      <c r="S65" s="49">
        <v>87.203999999999994</v>
      </c>
      <c r="T65" s="342"/>
      <c r="U65" s="342"/>
      <c r="V65" s="342"/>
      <c r="W65" s="342"/>
      <c r="X65" s="318">
        <f>$B$64-$D$65+M65</f>
        <v>1.8410000000000002</v>
      </c>
      <c r="Y65" s="318">
        <f t="shared" ref="Y65:Y67" si="10">$B$68-$D$68+N65</f>
        <v>-1.6280000000000001</v>
      </c>
      <c r="Z65" s="342"/>
      <c r="AA65" s="342"/>
      <c r="AB65" s="342"/>
      <c r="AC65" s="365"/>
    </row>
    <row r="66" spans="1:29" ht="15.75" customHeight="1" x14ac:dyDescent="0.3">
      <c r="A66" s="342"/>
      <c r="B66" s="378"/>
      <c r="C66" s="4" t="s">
        <v>17</v>
      </c>
      <c r="D66" s="318">
        <v>1.5</v>
      </c>
      <c r="E66" s="319">
        <v>144.06700000000001</v>
      </c>
      <c r="F66" s="319">
        <v>144.06700000000001</v>
      </c>
      <c r="G66" s="342"/>
      <c r="H66" s="322">
        <f>E67</f>
        <v>87.221999999999994</v>
      </c>
      <c r="I66" s="322">
        <f>E70</f>
        <v>87.218000000000004</v>
      </c>
      <c r="J66" s="342"/>
      <c r="K66" s="342"/>
      <c r="L66" s="342"/>
      <c r="M66" s="324">
        <v>1.6879999999999999</v>
      </c>
      <c r="N66" s="325">
        <v>-1.6890000000000001</v>
      </c>
      <c r="O66" s="342"/>
      <c r="P66" s="342"/>
      <c r="Q66" s="355"/>
      <c r="R66" s="49">
        <v>87.203999999999994</v>
      </c>
      <c r="S66" s="49">
        <v>87.203999999999994</v>
      </c>
      <c r="T66" s="342"/>
      <c r="U66" s="342"/>
      <c r="V66" s="342"/>
      <c r="W66" s="342"/>
      <c r="X66" s="318">
        <f t="shared" ref="X66:X67" si="11">$B$64-$D$65+M66</f>
        <v>1.8380000000000001</v>
      </c>
      <c r="Y66" s="318">
        <f t="shared" si="10"/>
        <v>-1.6260000000000001</v>
      </c>
      <c r="Z66" s="342"/>
      <c r="AA66" s="342"/>
      <c r="AB66" s="342"/>
      <c r="AC66" s="365"/>
    </row>
    <row r="67" spans="1:29" ht="15.75" customHeight="1" x14ac:dyDescent="0.3">
      <c r="A67" s="339"/>
      <c r="B67" s="379"/>
      <c r="C67" s="4" t="s">
        <v>18</v>
      </c>
      <c r="D67" s="318">
        <v>1.43</v>
      </c>
      <c r="E67" s="319">
        <v>87.221999999999994</v>
      </c>
      <c r="F67" s="319">
        <v>87.221000000000004</v>
      </c>
      <c r="G67" s="339"/>
      <c r="H67" s="323">
        <f>F67</f>
        <v>87.221000000000004</v>
      </c>
      <c r="I67" s="323">
        <f>F70</f>
        <v>87.218000000000004</v>
      </c>
      <c r="J67" s="339"/>
      <c r="K67" s="339"/>
      <c r="L67" s="339"/>
      <c r="M67" s="324">
        <v>1.6910000000000001</v>
      </c>
      <c r="N67" s="325">
        <v>-1.69</v>
      </c>
      <c r="O67" s="339"/>
      <c r="P67" s="339"/>
      <c r="Q67" s="356"/>
      <c r="R67" s="49">
        <v>87.203999999999994</v>
      </c>
      <c r="S67" s="49">
        <v>87.203999999999994</v>
      </c>
      <c r="T67" s="339"/>
      <c r="U67" s="339"/>
      <c r="V67" s="339"/>
      <c r="W67" s="339"/>
      <c r="X67" s="318">
        <f t="shared" si="11"/>
        <v>1.8410000000000002</v>
      </c>
      <c r="Y67" s="318">
        <f t="shared" si="10"/>
        <v>-1.627</v>
      </c>
      <c r="Z67" s="339"/>
      <c r="AA67" s="339"/>
      <c r="AB67" s="339"/>
      <c r="AC67" s="365"/>
    </row>
    <row r="68" spans="1:29" ht="15.75" customHeight="1" x14ac:dyDescent="0.35">
      <c r="A68" s="376" t="s">
        <v>18</v>
      </c>
      <c r="B68" s="377">
        <v>1.623</v>
      </c>
      <c r="C68" s="10" t="s">
        <v>16</v>
      </c>
      <c r="D68" s="318">
        <v>1.56</v>
      </c>
      <c r="E68" s="319">
        <v>87.218000000000004</v>
      </c>
      <c r="F68" s="319">
        <v>87.218000000000004</v>
      </c>
      <c r="G68" s="341" t="s">
        <v>41</v>
      </c>
      <c r="H68" s="322">
        <f>E69</f>
        <v>62.82</v>
      </c>
      <c r="I68" s="322">
        <f>E72</f>
        <v>62.825000000000003</v>
      </c>
      <c r="J68" s="341">
        <f t="shared" ref="J68:K68" si="12">AVERAGE(H68:H71)</f>
        <v>62.82</v>
      </c>
      <c r="K68" s="341">
        <f t="shared" si="12"/>
        <v>62.825000000000003</v>
      </c>
      <c r="L68" s="341">
        <f>AVERAGE(J68:K71)</f>
        <v>62.822500000000005</v>
      </c>
      <c r="M68" s="326">
        <v>-1.05</v>
      </c>
      <c r="N68" s="325">
        <v>1.0589999999999999</v>
      </c>
      <c r="O68" s="341">
        <f t="shared" ref="O68:P68" si="13">AVERAGE(M68:M71)</f>
        <v>-1.052</v>
      </c>
      <c r="P68" s="357">
        <f t="shared" si="13"/>
        <v>1.0585</v>
      </c>
      <c r="Q68" s="354">
        <f>(O68-P68)/2</f>
        <v>-1.05525</v>
      </c>
      <c r="R68" s="50">
        <v>62.811</v>
      </c>
      <c r="S68" s="48">
        <v>62.811</v>
      </c>
      <c r="T68" s="341">
        <f t="shared" ref="T68:U68" si="14">AVERAGE(R68:R71)</f>
        <v>62.811</v>
      </c>
      <c r="U68" s="341">
        <f t="shared" si="14"/>
        <v>62.811</v>
      </c>
      <c r="V68" s="341">
        <f>AVERAGE(T68:U71)</f>
        <v>62.811</v>
      </c>
      <c r="W68" s="372">
        <f>(T68-U68)/V68</f>
        <v>0</v>
      </c>
      <c r="X68" s="318">
        <f>$B$68-$D$69+M68</f>
        <v>-1.107</v>
      </c>
      <c r="Y68" s="318">
        <f>$B$72-$D$72+N68</f>
        <v>1.2190000000000001</v>
      </c>
      <c r="Z68" s="341">
        <f t="shared" ref="Z68:AA68" si="15">AVERAGE(X68:X71)</f>
        <v>-1.109</v>
      </c>
      <c r="AA68" s="341">
        <f t="shared" si="15"/>
        <v>1.2185000000000001</v>
      </c>
      <c r="AB68" s="366">
        <f>IF(AND(Z68&lt;0,AA68&lt;0),(Z68+AA68)/2,IF(AND(Z68&lt;0,AA68&gt;0),(Z68-AA68)/2,IF(AND(Z68&gt;0,AA68&gt;0),(Z68+AA68)/2,IF(AND(Z68&gt;0,AA68&lt;0),(Z68-AA68)/2))))</f>
        <v>-1.1637500000000001</v>
      </c>
      <c r="AC68" s="364"/>
    </row>
    <row r="69" spans="1:29" ht="15.75" customHeight="1" x14ac:dyDescent="0.35">
      <c r="A69" s="342"/>
      <c r="B69" s="378"/>
      <c r="C69" s="10" t="s">
        <v>19</v>
      </c>
      <c r="D69" s="318">
        <v>1.68</v>
      </c>
      <c r="E69" s="320">
        <v>62.82</v>
      </c>
      <c r="F69" s="321">
        <v>62.82</v>
      </c>
      <c r="G69" s="342"/>
      <c r="H69" s="322">
        <f>F69</f>
        <v>62.82</v>
      </c>
      <c r="I69" s="322">
        <f>F72</f>
        <v>62.825000000000003</v>
      </c>
      <c r="J69" s="342"/>
      <c r="K69" s="342"/>
      <c r="L69" s="342"/>
      <c r="M69" s="326">
        <v>-1.054</v>
      </c>
      <c r="N69" s="325">
        <v>1.0569999999999999</v>
      </c>
      <c r="O69" s="342"/>
      <c r="P69" s="342"/>
      <c r="Q69" s="355"/>
      <c r="R69" s="50">
        <v>62.811</v>
      </c>
      <c r="S69" s="48">
        <v>62.811</v>
      </c>
      <c r="T69" s="342"/>
      <c r="U69" s="342"/>
      <c r="V69" s="342"/>
      <c r="W69" s="342"/>
      <c r="X69" s="318">
        <f t="shared" ref="X69:X71" si="16">$B$68-$D$69+M69</f>
        <v>-1.111</v>
      </c>
      <c r="Y69" s="318">
        <f t="shared" ref="Y69:Y71" si="17">$B$72-$D$72+N69</f>
        <v>1.2170000000000001</v>
      </c>
      <c r="Z69" s="342"/>
      <c r="AA69" s="342"/>
      <c r="AB69" s="342"/>
      <c r="AC69" s="365"/>
    </row>
    <row r="70" spans="1:29" ht="15.75" customHeight="1" x14ac:dyDescent="0.35">
      <c r="A70" s="342"/>
      <c r="B70" s="378"/>
      <c r="C70" s="10" t="s">
        <v>16</v>
      </c>
      <c r="D70" s="318">
        <v>1.56</v>
      </c>
      <c r="E70" s="319">
        <v>87.218000000000004</v>
      </c>
      <c r="F70" s="319">
        <v>87.218000000000004</v>
      </c>
      <c r="G70" s="342"/>
      <c r="H70" s="322">
        <f>E71</f>
        <v>62.82</v>
      </c>
      <c r="I70" s="322">
        <f>E74</f>
        <v>62.825000000000003</v>
      </c>
      <c r="J70" s="342"/>
      <c r="K70" s="342"/>
      <c r="L70" s="342"/>
      <c r="M70" s="326">
        <v>-1.05</v>
      </c>
      <c r="N70" s="325">
        <v>1.0589999999999999</v>
      </c>
      <c r="O70" s="342"/>
      <c r="P70" s="342"/>
      <c r="Q70" s="355"/>
      <c r="R70" s="50">
        <v>62.811</v>
      </c>
      <c r="S70" s="48">
        <v>62.811</v>
      </c>
      <c r="T70" s="342"/>
      <c r="U70" s="342"/>
      <c r="V70" s="342"/>
      <c r="W70" s="342"/>
      <c r="X70" s="318">
        <f t="shared" si="16"/>
        <v>-1.107</v>
      </c>
      <c r="Y70" s="318">
        <f t="shared" si="17"/>
        <v>1.2190000000000001</v>
      </c>
      <c r="Z70" s="342"/>
      <c r="AA70" s="342"/>
      <c r="AB70" s="342"/>
      <c r="AC70" s="365"/>
    </row>
    <row r="71" spans="1:29" ht="15.75" customHeight="1" x14ac:dyDescent="0.35">
      <c r="A71" s="339"/>
      <c r="B71" s="379"/>
      <c r="C71" s="10" t="s">
        <v>19</v>
      </c>
      <c r="D71" s="318">
        <v>1.68</v>
      </c>
      <c r="E71" s="320">
        <v>62.82</v>
      </c>
      <c r="F71" s="321">
        <v>62.82</v>
      </c>
      <c r="G71" s="339"/>
      <c r="H71" s="323">
        <f>F71</f>
        <v>62.82</v>
      </c>
      <c r="I71" s="323">
        <f>F74</f>
        <v>62.825000000000003</v>
      </c>
      <c r="J71" s="339"/>
      <c r="K71" s="339"/>
      <c r="L71" s="339"/>
      <c r="M71" s="326">
        <v>-1.054</v>
      </c>
      <c r="N71" s="325">
        <v>1.0589999999999999</v>
      </c>
      <c r="O71" s="339"/>
      <c r="P71" s="339"/>
      <c r="Q71" s="356"/>
      <c r="R71" s="50">
        <v>62.811</v>
      </c>
      <c r="S71" s="48">
        <v>62.811</v>
      </c>
      <c r="T71" s="339"/>
      <c r="U71" s="339"/>
      <c r="V71" s="339"/>
      <c r="W71" s="339"/>
      <c r="X71" s="318">
        <f t="shared" si="16"/>
        <v>-1.111</v>
      </c>
      <c r="Y71" s="318">
        <f t="shared" si="17"/>
        <v>1.2190000000000001</v>
      </c>
      <c r="Z71" s="339"/>
      <c r="AA71" s="339"/>
      <c r="AB71" s="339"/>
      <c r="AC71" s="365"/>
    </row>
    <row r="72" spans="1:29" ht="15.75" customHeight="1" x14ac:dyDescent="0.35">
      <c r="A72" s="376" t="s">
        <v>19</v>
      </c>
      <c r="B72" s="377">
        <v>1.58</v>
      </c>
      <c r="C72" s="4" t="s">
        <v>18</v>
      </c>
      <c r="D72" s="318">
        <v>1.42</v>
      </c>
      <c r="E72" s="320">
        <v>62.825000000000003</v>
      </c>
      <c r="F72" s="321">
        <v>62.825000000000003</v>
      </c>
      <c r="G72" s="341" t="s">
        <v>42</v>
      </c>
      <c r="H72" s="322">
        <f>E73</f>
        <v>91.97</v>
      </c>
      <c r="I72" s="322">
        <f>E76</f>
        <v>91.962999999999994</v>
      </c>
      <c r="J72" s="341">
        <f t="shared" ref="J72:K72" si="18">AVERAGE(H72:H75)</f>
        <v>91.969749999999991</v>
      </c>
      <c r="K72" s="341">
        <f t="shared" si="18"/>
        <v>91.962999999999994</v>
      </c>
      <c r="L72" s="341">
        <f>AVERAGE(J72:K75)</f>
        <v>91.966374999999999</v>
      </c>
      <c r="M72" s="324">
        <v>-0.16800000000000001</v>
      </c>
      <c r="N72" s="324">
        <v>0.16900000000000001</v>
      </c>
      <c r="O72" s="341">
        <f t="shared" ref="O72:P72" si="19">AVERAGE(M72:M75)</f>
        <v>-0.16700000000000001</v>
      </c>
      <c r="P72" s="357">
        <f t="shared" si="19"/>
        <v>0.16900000000000001</v>
      </c>
      <c r="Q72" s="354">
        <f>(O72-P72)/2</f>
        <v>-0.16800000000000001</v>
      </c>
      <c r="R72" s="48">
        <v>91.97</v>
      </c>
      <c r="S72" s="48">
        <v>91.97</v>
      </c>
      <c r="T72" s="341">
        <f t="shared" ref="T72:U72" si="20">AVERAGE(R72:R75)</f>
        <v>91.970500000000001</v>
      </c>
      <c r="U72" s="341">
        <f t="shared" si="20"/>
        <v>91.970500000000001</v>
      </c>
      <c r="V72" s="341">
        <f>AVERAGE(T72:U75)</f>
        <v>91.970500000000001</v>
      </c>
      <c r="W72" s="372">
        <f>(T72-U72)/V72</f>
        <v>0</v>
      </c>
      <c r="X72" s="318">
        <f>$B$72-$D$73+M72</f>
        <v>-0.20800000000000005</v>
      </c>
      <c r="Y72" s="318">
        <f>$B$76-$D$76+N72</f>
        <v>0.13899999999999998</v>
      </c>
      <c r="Z72" s="341">
        <f t="shared" ref="Z72:AA72" si="21">AVERAGE(X72:X75)</f>
        <v>-0.20700000000000005</v>
      </c>
      <c r="AA72" s="341">
        <f t="shared" si="21"/>
        <v>0.13899999999999998</v>
      </c>
      <c r="AB72" s="366">
        <f>IF(AND(Z72&lt;0,AA72&lt;0),(Z72+AA72)/2,IF(AND(Z72&lt;0,AA72&gt;0),(Z72-AA72)/2,IF(AND(Z72&gt;0,AA72&gt;0),(Z72+AA72)/2,IF(AND(Z72&gt;0,AA72&lt;0),(Z72-AA72)/2))))</f>
        <v>-0.17300000000000001</v>
      </c>
      <c r="AC72" s="364"/>
    </row>
    <row r="73" spans="1:29" ht="15.75" customHeight="1" x14ac:dyDescent="0.3">
      <c r="A73" s="342"/>
      <c r="B73" s="378"/>
      <c r="C73" s="4" t="s">
        <v>20</v>
      </c>
      <c r="D73" s="318">
        <v>1.62</v>
      </c>
      <c r="E73" s="319">
        <v>91.97</v>
      </c>
      <c r="F73" s="319">
        <v>91.97</v>
      </c>
      <c r="G73" s="342"/>
      <c r="H73" s="322">
        <f>F73</f>
        <v>91.97</v>
      </c>
      <c r="I73" s="322">
        <f>F76</f>
        <v>91.962999999999994</v>
      </c>
      <c r="J73" s="342"/>
      <c r="K73" s="342"/>
      <c r="L73" s="342"/>
      <c r="M73" s="324">
        <v>-0.16600000000000001</v>
      </c>
      <c r="N73" s="324">
        <v>0.16900000000000001</v>
      </c>
      <c r="O73" s="342"/>
      <c r="P73" s="342"/>
      <c r="Q73" s="355"/>
      <c r="R73" s="48">
        <v>91.97</v>
      </c>
      <c r="S73" s="48">
        <v>91.97</v>
      </c>
      <c r="T73" s="342"/>
      <c r="U73" s="342"/>
      <c r="V73" s="342"/>
      <c r="W73" s="342"/>
      <c r="X73" s="318">
        <f t="shared" ref="X73:X75" si="22">$B$72-$D$73+M73</f>
        <v>-0.20600000000000004</v>
      </c>
      <c r="Y73" s="318">
        <f t="shared" ref="Y73:Y75" si="23">$B$76-$D$76+N73</f>
        <v>0.13899999999999998</v>
      </c>
      <c r="Z73" s="342"/>
      <c r="AA73" s="342"/>
      <c r="AB73" s="342"/>
      <c r="AC73" s="365"/>
    </row>
    <row r="74" spans="1:29" ht="15.75" customHeight="1" x14ac:dyDescent="0.35">
      <c r="A74" s="342"/>
      <c r="B74" s="378"/>
      <c r="C74" s="4" t="s">
        <v>18</v>
      </c>
      <c r="D74" s="318">
        <v>1.42</v>
      </c>
      <c r="E74" s="320">
        <v>62.825000000000003</v>
      </c>
      <c r="F74" s="321">
        <v>62.825000000000003</v>
      </c>
      <c r="G74" s="342"/>
      <c r="H74" s="322">
        <f>E75</f>
        <v>91.97</v>
      </c>
      <c r="I74" s="322">
        <f>E78</f>
        <v>91.962999999999994</v>
      </c>
      <c r="J74" s="342"/>
      <c r="K74" s="342"/>
      <c r="L74" s="342"/>
      <c r="M74" s="324">
        <v>-0.16800000000000001</v>
      </c>
      <c r="N74" s="324">
        <v>0.16900000000000001</v>
      </c>
      <c r="O74" s="342"/>
      <c r="P74" s="342"/>
      <c r="Q74" s="355"/>
      <c r="R74" s="48">
        <v>91.971000000000004</v>
      </c>
      <c r="S74" s="48">
        <v>91.971000000000004</v>
      </c>
      <c r="T74" s="342"/>
      <c r="U74" s="342"/>
      <c r="V74" s="342"/>
      <c r="W74" s="342"/>
      <c r="X74" s="318">
        <f t="shared" si="22"/>
        <v>-0.20800000000000005</v>
      </c>
      <c r="Y74" s="318">
        <f t="shared" si="23"/>
        <v>0.13899999999999998</v>
      </c>
      <c r="Z74" s="342"/>
      <c r="AA74" s="342"/>
      <c r="AB74" s="342"/>
      <c r="AC74" s="365"/>
    </row>
    <row r="75" spans="1:29" ht="15.75" customHeight="1" x14ac:dyDescent="0.3">
      <c r="A75" s="339"/>
      <c r="B75" s="379"/>
      <c r="C75" s="4" t="s">
        <v>20</v>
      </c>
      <c r="D75" s="318">
        <v>1.62</v>
      </c>
      <c r="E75" s="319">
        <v>91.97</v>
      </c>
      <c r="F75" s="319">
        <v>91.968999999999994</v>
      </c>
      <c r="G75" s="339"/>
      <c r="H75" s="323">
        <f>F75</f>
        <v>91.968999999999994</v>
      </c>
      <c r="I75" s="323">
        <f>F78</f>
        <v>91.962999999999994</v>
      </c>
      <c r="J75" s="339"/>
      <c r="K75" s="339"/>
      <c r="L75" s="339"/>
      <c r="M75" s="324">
        <v>-0.16600000000000001</v>
      </c>
      <c r="N75" s="324">
        <v>0.16900000000000001</v>
      </c>
      <c r="O75" s="339"/>
      <c r="P75" s="339"/>
      <c r="Q75" s="356"/>
      <c r="R75" s="48">
        <v>91.971000000000004</v>
      </c>
      <c r="S75" s="48">
        <v>91.971000000000004</v>
      </c>
      <c r="T75" s="339"/>
      <c r="U75" s="339"/>
      <c r="V75" s="339"/>
      <c r="W75" s="339"/>
      <c r="X75" s="318">
        <f t="shared" si="22"/>
        <v>-0.20600000000000004</v>
      </c>
      <c r="Y75" s="318">
        <f t="shared" si="23"/>
        <v>0.13899999999999998</v>
      </c>
      <c r="Z75" s="339"/>
      <c r="AA75" s="339"/>
      <c r="AB75" s="339"/>
      <c r="AC75" s="365"/>
    </row>
    <row r="76" spans="1:29" ht="15.75" customHeight="1" x14ac:dyDescent="0.3">
      <c r="A76" s="376" t="s">
        <v>20</v>
      </c>
      <c r="B76" s="377">
        <v>1.53</v>
      </c>
      <c r="C76" s="21" t="s">
        <v>19</v>
      </c>
      <c r="D76" s="318">
        <v>1.56</v>
      </c>
      <c r="E76" s="319">
        <v>91.962999999999994</v>
      </c>
      <c r="F76" s="319">
        <v>91.962999999999994</v>
      </c>
      <c r="G76" s="341" t="s">
        <v>43</v>
      </c>
      <c r="H76" s="322">
        <f>E77</f>
        <v>98.072999999999993</v>
      </c>
      <c r="I76" s="322">
        <f>E80</f>
        <v>98.075999999999993</v>
      </c>
      <c r="J76" s="341">
        <f t="shared" ref="J76:K76" si="24">AVERAGE(H76:H79)</f>
        <v>98.072999999999993</v>
      </c>
      <c r="K76" s="341">
        <f t="shared" si="24"/>
        <v>98.07650000000001</v>
      </c>
      <c r="L76" s="341">
        <f>AVERAGE(J76:K79)</f>
        <v>98.074749999999995</v>
      </c>
      <c r="M76" s="324">
        <v>2.97</v>
      </c>
      <c r="N76" s="324">
        <v>-2.9689999999999999</v>
      </c>
      <c r="O76" s="341">
        <f t="shared" ref="O76:P76" si="25">AVERAGE(M76:M79)</f>
        <v>2.9690000000000003</v>
      </c>
      <c r="P76" s="357">
        <f t="shared" si="25"/>
        <v>-2.9695</v>
      </c>
      <c r="Q76" s="354">
        <f>(O76-P76)/2</f>
        <v>2.9692500000000002</v>
      </c>
      <c r="R76" s="48">
        <v>98.028000000000006</v>
      </c>
      <c r="S76" s="48">
        <v>98.028000000000006</v>
      </c>
      <c r="T76" s="341">
        <f t="shared" ref="T76:U76" si="26">AVERAGE(R76:R79)</f>
        <v>98.028000000000006</v>
      </c>
      <c r="U76" s="341">
        <f t="shared" si="26"/>
        <v>98.028000000000006</v>
      </c>
      <c r="V76" s="341">
        <f>AVERAGE(T76:U79)</f>
        <v>98.028000000000006</v>
      </c>
      <c r="W76" s="372">
        <f>(T76-U76)/V76</f>
        <v>0</v>
      </c>
      <c r="X76" s="318">
        <f>$B$76-$D$77+M76</f>
        <v>2.9800000000000004</v>
      </c>
      <c r="Y76" s="318">
        <f>$B$80-$D$80+N76</f>
        <v>-2.9689999999999999</v>
      </c>
      <c r="Z76" s="341">
        <f t="shared" ref="Z76:AA76" si="27">AVERAGE(X76:X79)</f>
        <v>2.9790000000000001</v>
      </c>
      <c r="AA76" s="341">
        <f t="shared" si="27"/>
        <v>-2.9695</v>
      </c>
      <c r="AB76" s="366">
        <f>IF(AND(Z76&lt;0,AA76&lt;0),(Z76+AA76)/2,IF(AND(Z76&lt;0,AA76&gt;0),(Z76-AA76)/2,IF(AND(Z76&gt;0,AA76&gt;0),(Z76+AA76)/2,IF(AND(Z76&gt;0,AA76&lt;0),(Z76-AA76)/2))))</f>
        <v>2.9742500000000001</v>
      </c>
      <c r="AC76" s="364"/>
    </row>
    <row r="77" spans="1:29" ht="15.75" customHeight="1" x14ac:dyDescent="0.3">
      <c r="A77" s="342"/>
      <c r="B77" s="378"/>
      <c r="C77" s="21" t="s">
        <v>21</v>
      </c>
      <c r="D77" s="318">
        <v>1.52</v>
      </c>
      <c r="E77" s="321">
        <v>98.072999999999993</v>
      </c>
      <c r="F77" s="321">
        <v>98.072999999999993</v>
      </c>
      <c r="G77" s="342"/>
      <c r="H77" s="322">
        <f>F77</f>
        <v>98.072999999999993</v>
      </c>
      <c r="I77" s="322">
        <f>F80</f>
        <v>98.078000000000003</v>
      </c>
      <c r="J77" s="342"/>
      <c r="K77" s="342"/>
      <c r="L77" s="342"/>
      <c r="M77" s="324">
        <v>2.968</v>
      </c>
      <c r="N77" s="324">
        <v>-2.97</v>
      </c>
      <c r="O77" s="342"/>
      <c r="P77" s="342"/>
      <c r="Q77" s="355"/>
      <c r="R77" s="48">
        <v>98.028000000000006</v>
      </c>
      <c r="S77" s="48">
        <v>98.028000000000006</v>
      </c>
      <c r="T77" s="342"/>
      <c r="U77" s="342"/>
      <c r="V77" s="342"/>
      <c r="W77" s="342"/>
      <c r="X77" s="318">
        <f t="shared" ref="X77:X79" si="28">$B$76-$D$77+M77</f>
        <v>2.9779999999999998</v>
      </c>
      <c r="Y77" s="318">
        <f t="shared" ref="Y77:Y79" si="29">$B$80-$D$80+N77</f>
        <v>-2.97</v>
      </c>
      <c r="Z77" s="342"/>
      <c r="AA77" s="342"/>
      <c r="AB77" s="342"/>
      <c r="AC77" s="365"/>
    </row>
    <row r="78" spans="1:29" ht="15.75" customHeight="1" x14ac:dyDescent="0.3">
      <c r="A78" s="342"/>
      <c r="B78" s="378"/>
      <c r="C78" s="21" t="s">
        <v>19</v>
      </c>
      <c r="D78" s="318">
        <v>1.56</v>
      </c>
      <c r="E78" s="319">
        <v>91.962999999999994</v>
      </c>
      <c r="F78" s="319">
        <v>91.962999999999994</v>
      </c>
      <c r="G78" s="342"/>
      <c r="H78" s="322">
        <f>E79</f>
        <v>98.072999999999993</v>
      </c>
      <c r="I78" s="322">
        <f>E82</f>
        <v>98.075999999999993</v>
      </c>
      <c r="J78" s="342"/>
      <c r="K78" s="342"/>
      <c r="L78" s="342"/>
      <c r="M78" s="324">
        <v>2.97</v>
      </c>
      <c r="N78" s="324">
        <v>-2.9689999999999999</v>
      </c>
      <c r="O78" s="342"/>
      <c r="P78" s="342"/>
      <c r="Q78" s="355"/>
      <c r="R78" s="48">
        <v>98.028000000000006</v>
      </c>
      <c r="S78" s="48">
        <v>98.028000000000006</v>
      </c>
      <c r="T78" s="342"/>
      <c r="U78" s="342"/>
      <c r="V78" s="342"/>
      <c r="W78" s="342"/>
      <c r="X78" s="318">
        <f t="shared" si="28"/>
        <v>2.9800000000000004</v>
      </c>
      <c r="Y78" s="318">
        <f t="shared" si="29"/>
        <v>-2.9689999999999999</v>
      </c>
      <c r="Z78" s="342"/>
      <c r="AA78" s="342"/>
      <c r="AB78" s="342"/>
      <c r="AC78" s="365"/>
    </row>
    <row r="79" spans="1:29" ht="15.75" customHeight="1" x14ac:dyDescent="0.3">
      <c r="A79" s="339"/>
      <c r="B79" s="379"/>
      <c r="C79" s="21" t="s">
        <v>21</v>
      </c>
      <c r="D79" s="318">
        <v>1.52</v>
      </c>
      <c r="E79" s="321">
        <v>98.072999999999993</v>
      </c>
      <c r="F79" s="321">
        <v>98.072999999999993</v>
      </c>
      <c r="G79" s="339"/>
      <c r="H79" s="323">
        <f>F79</f>
        <v>98.072999999999993</v>
      </c>
      <c r="I79" s="323">
        <f>F82</f>
        <v>98.075999999999993</v>
      </c>
      <c r="J79" s="339"/>
      <c r="K79" s="339"/>
      <c r="L79" s="339"/>
      <c r="M79" s="324">
        <v>2.968</v>
      </c>
      <c r="N79" s="324">
        <v>-2.97</v>
      </c>
      <c r="O79" s="339"/>
      <c r="P79" s="339"/>
      <c r="Q79" s="356"/>
      <c r="R79" s="48">
        <v>98.028000000000006</v>
      </c>
      <c r="S79" s="48">
        <v>98.028000000000006</v>
      </c>
      <c r="T79" s="339"/>
      <c r="U79" s="339"/>
      <c r="V79" s="339"/>
      <c r="W79" s="339"/>
      <c r="X79" s="318">
        <f t="shared" si="28"/>
        <v>2.9779999999999998</v>
      </c>
      <c r="Y79" s="318">
        <f t="shared" si="29"/>
        <v>-2.97</v>
      </c>
      <c r="Z79" s="339"/>
      <c r="AA79" s="339"/>
      <c r="AB79" s="339"/>
      <c r="AC79" s="365"/>
    </row>
    <row r="80" spans="1:29" ht="15.75" customHeight="1" x14ac:dyDescent="0.3">
      <c r="A80" s="376" t="s">
        <v>21</v>
      </c>
      <c r="B80" s="377">
        <v>1.5</v>
      </c>
      <c r="C80" s="23" t="s">
        <v>20</v>
      </c>
      <c r="D80" s="318">
        <v>1.5</v>
      </c>
      <c r="E80" s="321">
        <v>98.075999999999993</v>
      </c>
      <c r="F80" s="321">
        <v>98.078000000000003</v>
      </c>
      <c r="G80" s="341" t="s">
        <v>44</v>
      </c>
      <c r="H80" s="322">
        <f>E81</f>
        <v>65.058999999999997</v>
      </c>
      <c r="I80" s="322">
        <f>E84</f>
        <v>65.058000000000007</v>
      </c>
      <c r="J80" s="341">
        <f t="shared" ref="J80:K80" si="30">AVERAGE(H80:H83)</f>
        <v>65.058999999999997</v>
      </c>
      <c r="K80" s="341">
        <f t="shared" si="30"/>
        <v>65.058750000000003</v>
      </c>
      <c r="L80" s="341">
        <f>AVERAGE(J80:K83)</f>
        <v>65.058875</v>
      </c>
      <c r="M80" s="324">
        <v>-1.111</v>
      </c>
      <c r="N80" s="325">
        <v>1.1120000000000001</v>
      </c>
      <c r="O80" s="341">
        <f t="shared" ref="O80:P80" si="31">AVERAGE(M80:M83)</f>
        <v>-1.1105</v>
      </c>
      <c r="P80" s="357">
        <f t="shared" si="31"/>
        <v>1.1120000000000001</v>
      </c>
      <c r="Q80" s="354">
        <f>(O80-P80)/2</f>
        <v>-1.1112500000000001</v>
      </c>
      <c r="R80" s="48">
        <v>65.05</v>
      </c>
      <c r="S80" s="48">
        <v>65.05</v>
      </c>
      <c r="T80" s="341">
        <f t="shared" ref="T80:U80" si="32">AVERAGE(R80:R83)</f>
        <v>65.051500000000004</v>
      </c>
      <c r="U80" s="341">
        <f t="shared" si="32"/>
        <v>65.051500000000004</v>
      </c>
      <c r="V80" s="341">
        <f>AVERAGE(T80:U83)</f>
        <v>65.051500000000004</v>
      </c>
      <c r="W80" s="372">
        <f>(T80-U80)/V80</f>
        <v>0</v>
      </c>
      <c r="X80" s="318">
        <f>$B$80-$D$81+M80</f>
        <v>-1.1910000000000001</v>
      </c>
      <c r="Y80" s="318">
        <f>$B$84-$D$84+N80</f>
        <v>0.96199999999999997</v>
      </c>
      <c r="Z80" s="341">
        <f t="shared" ref="Z80:AA80" si="33">AVERAGE(X80:X83)</f>
        <v>-1.1905000000000001</v>
      </c>
      <c r="AA80" s="341">
        <f t="shared" si="33"/>
        <v>0.96199999999999997</v>
      </c>
      <c r="AB80" s="366">
        <f>IF(AND(Z80&lt;0,AA80&lt;0),(Z80+AA80)/2,IF(AND(Z80&lt;0,AA80&gt;0),(Z80-AA80)/2,IF(AND(Z80&gt;0,AA80&gt;0),(Z80+AA80)/2,IF(AND(Z80&gt;0,AA80&lt;0),(Z80-AA80)/2))))</f>
        <v>-1.0762499999999999</v>
      </c>
      <c r="AC80" s="364"/>
    </row>
    <row r="81" spans="1:29" ht="15.75" customHeight="1" x14ac:dyDescent="0.3">
      <c r="A81" s="342"/>
      <c r="B81" s="378"/>
      <c r="C81" s="23" t="s">
        <v>17</v>
      </c>
      <c r="D81" s="318">
        <v>1.58</v>
      </c>
      <c r="E81" s="319">
        <v>65.058999999999997</v>
      </c>
      <c r="F81" s="319">
        <v>65.058999999999997</v>
      </c>
      <c r="G81" s="342"/>
      <c r="H81" s="322">
        <f>F81</f>
        <v>65.058999999999997</v>
      </c>
      <c r="I81" s="322">
        <f>F84</f>
        <v>65.058999999999997</v>
      </c>
      <c r="J81" s="342"/>
      <c r="K81" s="342"/>
      <c r="L81" s="342"/>
      <c r="M81" s="324">
        <v>-1.1100000000000001</v>
      </c>
      <c r="N81" s="325">
        <v>1.1120000000000001</v>
      </c>
      <c r="O81" s="342"/>
      <c r="P81" s="342"/>
      <c r="Q81" s="355"/>
      <c r="R81" s="48">
        <v>65.05</v>
      </c>
      <c r="S81" s="48">
        <v>65.05</v>
      </c>
      <c r="T81" s="342"/>
      <c r="U81" s="342"/>
      <c r="V81" s="342"/>
      <c r="W81" s="342"/>
      <c r="X81" s="318">
        <f t="shared" ref="X81:X83" si="34">$B$80-$D$81+M81</f>
        <v>-1.1900000000000002</v>
      </c>
      <c r="Y81" s="318">
        <f t="shared" ref="Y81:Y83" si="35">$B$84-$D$84+N81</f>
        <v>0.96199999999999997</v>
      </c>
      <c r="Z81" s="342"/>
      <c r="AA81" s="342"/>
      <c r="AB81" s="342"/>
      <c r="AC81" s="365"/>
    </row>
    <row r="82" spans="1:29" ht="15.75" customHeight="1" x14ac:dyDescent="0.3">
      <c r="A82" s="342"/>
      <c r="B82" s="378"/>
      <c r="C82" s="23" t="s">
        <v>20</v>
      </c>
      <c r="D82" s="318">
        <v>1.5</v>
      </c>
      <c r="E82" s="321">
        <v>98.075999999999993</v>
      </c>
      <c r="F82" s="321">
        <v>98.075999999999993</v>
      </c>
      <c r="G82" s="342"/>
      <c r="H82" s="322">
        <f>E83</f>
        <v>65.058999999999997</v>
      </c>
      <c r="I82" s="322">
        <f>E86</f>
        <v>65.058999999999997</v>
      </c>
      <c r="J82" s="342"/>
      <c r="K82" s="342"/>
      <c r="L82" s="342"/>
      <c r="M82" s="324">
        <v>-1.111</v>
      </c>
      <c r="N82" s="325">
        <v>1.1120000000000001</v>
      </c>
      <c r="O82" s="342"/>
      <c r="P82" s="342"/>
      <c r="Q82" s="355"/>
      <c r="R82" s="48">
        <v>65.052999999999997</v>
      </c>
      <c r="S82" s="48">
        <v>65.052999999999997</v>
      </c>
      <c r="T82" s="342"/>
      <c r="U82" s="342"/>
      <c r="V82" s="342"/>
      <c r="W82" s="342"/>
      <c r="X82" s="318">
        <f t="shared" si="34"/>
        <v>-1.1910000000000001</v>
      </c>
      <c r="Y82" s="318">
        <f t="shared" si="35"/>
        <v>0.96199999999999997</v>
      </c>
      <c r="Z82" s="342"/>
      <c r="AA82" s="342"/>
      <c r="AB82" s="342"/>
      <c r="AC82" s="365"/>
    </row>
    <row r="83" spans="1:29" ht="15.75" customHeight="1" x14ac:dyDescent="0.3">
      <c r="A83" s="339"/>
      <c r="B83" s="379"/>
      <c r="C83" s="23" t="s">
        <v>17</v>
      </c>
      <c r="D83" s="318">
        <v>1.58</v>
      </c>
      <c r="E83" s="319">
        <v>65.058999999999997</v>
      </c>
      <c r="F83" s="319">
        <v>65.058999999999997</v>
      </c>
      <c r="G83" s="339"/>
      <c r="H83" s="323">
        <f>F83</f>
        <v>65.058999999999997</v>
      </c>
      <c r="I83" s="323">
        <f>F86</f>
        <v>65.058999999999997</v>
      </c>
      <c r="J83" s="339"/>
      <c r="K83" s="339"/>
      <c r="L83" s="339"/>
      <c r="M83" s="324">
        <v>-1.1100000000000001</v>
      </c>
      <c r="N83" s="325">
        <v>1.1120000000000001</v>
      </c>
      <c r="O83" s="339"/>
      <c r="P83" s="339"/>
      <c r="Q83" s="356"/>
      <c r="R83" s="48">
        <v>65.052999999999997</v>
      </c>
      <c r="S83" s="48">
        <v>65.052999999999997</v>
      </c>
      <c r="T83" s="339"/>
      <c r="U83" s="339"/>
      <c r="V83" s="339"/>
      <c r="W83" s="339"/>
      <c r="X83" s="318">
        <f t="shared" si="34"/>
        <v>-1.1900000000000002</v>
      </c>
      <c r="Y83" s="318">
        <f t="shared" si="35"/>
        <v>0.96199999999999997</v>
      </c>
      <c r="Z83" s="339"/>
      <c r="AA83" s="339"/>
      <c r="AB83" s="339"/>
      <c r="AC83" s="365"/>
    </row>
    <row r="84" spans="1:29" ht="15.75" customHeight="1" x14ac:dyDescent="0.3">
      <c r="A84" s="376" t="s">
        <v>17</v>
      </c>
      <c r="B84" s="377">
        <v>1.44</v>
      </c>
      <c r="C84" s="23" t="s">
        <v>21</v>
      </c>
      <c r="D84" s="318">
        <v>1.59</v>
      </c>
      <c r="E84" s="319">
        <v>65.058000000000007</v>
      </c>
      <c r="F84" s="319">
        <v>65.058999999999997</v>
      </c>
      <c r="G84" s="341" t="s">
        <v>45</v>
      </c>
      <c r="H84" s="322">
        <f>E85</f>
        <v>144.06800000000001</v>
      </c>
      <c r="I84" s="322">
        <f>E64</f>
        <v>144.06700000000001</v>
      </c>
      <c r="J84" s="341">
        <f t="shared" ref="J84:K84" si="36">AVERAGE(H84:H87)</f>
        <v>144.06800000000001</v>
      </c>
      <c r="K84" s="341">
        <f t="shared" si="36"/>
        <v>144.06700000000001</v>
      </c>
      <c r="L84" s="341">
        <f>AVERAGE(J84:K87)</f>
        <v>144.0675</v>
      </c>
      <c r="M84" s="324">
        <v>-2.2250000000000001</v>
      </c>
      <c r="N84" s="325">
        <v>2.222</v>
      </c>
      <c r="O84" s="341">
        <f t="shared" ref="O84:P84" si="37">AVERAGE(M84:M87)</f>
        <v>-2.2244999999999999</v>
      </c>
      <c r="P84" s="357">
        <f t="shared" si="37"/>
        <v>2.2225000000000001</v>
      </c>
      <c r="Q84" s="354">
        <f>(O84-P84)/2</f>
        <v>-2.2235</v>
      </c>
      <c r="R84" s="49">
        <v>144.06</v>
      </c>
      <c r="S84" s="49">
        <v>144.06</v>
      </c>
      <c r="T84" s="341">
        <f t="shared" ref="T84:U84" si="38">AVERAGE(R84:R87)</f>
        <v>144.06</v>
      </c>
      <c r="U84" s="341">
        <f t="shared" si="38"/>
        <v>144.06</v>
      </c>
      <c r="V84" s="341">
        <f>AVERAGE(T84:U87)</f>
        <v>144.06</v>
      </c>
      <c r="W84" s="372">
        <f>(T84-U84)/V84</f>
        <v>0</v>
      </c>
      <c r="X84" s="318">
        <f>$B$84-$D$85+M84</f>
        <v>-2.2949999999999999</v>
      </c>
      <c r="Y84" s="318">
        <f>$B$64-$D$64+N84</f>
        <v>2.302</v>
      </c>
      <c r="Z84" s="341">
        <f t="shared" ref="Z84:AA84" si="39">AVERAGE(X84:X87)</f>
        <v>-2.2945000000000002</v>
      </c>
      <c r="AA84" s="341">
        <f t="shared" si="39"/>
        <v>2.3025000000000002</v>
      </c>
      <c r="AB84" s="366">
        <f>IF(AND(Z84&lt;0,AA84&lt;0),(Z84+AA84)/2,IF(AND(Z84&lt;0,AA84&gt;0),(Z84-AA84)/2,IF(AND(Z84&gt;0,AA84&gt;0),(Z84+AA84)/2,IF(AND(Z84&gt;0,AA84&lt;0),(Z84-AA84)/2))))</f>
        <v>-2.2985000000000002</v>
      </c>
      <c r="AC84" s="364"/>
    </row>
    <row r="85" spans="1:29" ht="15.75" customHeight="1" x14ac:dyDescent="0.3">
      <c r="A85" s="342"/>
      <c r="B85" s="378"/>
      <c r="C85" s="23" t="s">
        <v>16</v>
      </c>
      <c r="D85" s="318">
        <v>1.51</v>
      </c>
      <c r="E85" s="319">
        <v>144.06800000000001</v>
      </c>
      <c r="F85" s="319">
        <v>144.06800000000001</v>
      </c>
      <c r="G85" s="342"/>
      <c r="H85" s="322">
        <f>F85</f>
        <v>144.06800000000001</v>
      </c>
      <c r="I85" s="322">
        <f>F64</f>
        <v>144.06700000000001</v>
      </c>
      <c r="J85" s="342"/>
      <c r="K85" s="342"/>
      <c r="L85" s="342"/>
      <c r="M85" s="324">
        <v>-2.2240000000000002</v>
      </c>
      <c r="N85" s="325">
        <v>2.2229999999999999</v>
      </c>
      <c r="O85" s="342"/>
      <c r="P85" s="342"/>
      <c r="Q85" s="355"/>
      <c r="R85" s="49">
        <v>144.06</v>
      </c>
      <c r="S85" s="49">
        <v>144.06</v>
      </c>
      <c r="T85" s="342"/>
      <c r="U85" s="342"/>
      <c r="V85" s="342"/>
      <c r="W85" s="342"/>
      <c r="X85" s="318">
        <f t="shared" ref="X85:X87" si="40">$B$84-$D$85+M85</f>
        <v>-2.2940000000000005</v>
      </c>
      <c r="Y85" s="318">
        <f t="shared" ref="Y85:Y87" si="41">$B$64-$D$64+N85</f>
        <v>2.3029999999999999</v>
      </c>
      <c r="Z85" s="342"/>
      <c r="AA85" s="342"/>
      <c r="AB85" s="342"/>
      <c r="AC85" s="365"/>
    </row>
    <row r="86" spans="1:29" ht="15.75" customHeight="1" x14ac:dyDescent="0.3">
      <c r="A86" s="342"/>
      <c r="B86" s="378"/>
      <c r="C86" s="23" t="s">
        <v>21</v>
      </c>
      <c r="D86" s="318">
        <v>1.59</v>
      </c>
      <c r="E86" s="319">
        <v>65.058999999999997</v>
      </c>
      <c r="F86" s="319">
        <v>65.058999999999997</v>
      </c>
      <c r="G86" s="342"/>
      <c r="H86" s="322">
        <f>E87</f>
        <v>144.06800000000001</v>
      </c>
      <c r="I86" s="322">
        <f>E66</f>
        <v>144.06700000000001</v>
      </c>
      <c r="J86" s="342"/>
      <c r="K86" s="342"/>
      <c r="L86" s="342"/>
      <c r="M86" s="324">
        <v>-2.2250000000000001</v>
      </c>
      <c r="N86" s="325">
        <v>2.222</v>
      </c>
      <c r="O86" s="342"/>
      <c r="P86" s="342"/>
      <c r="Q86" s="355"/>
      <c r="R86" s="49">
        <v>144.06</v>
      </c>
      <c r="S86" s="49">
        <v>144.06</v>
      </c>
      <c r="T86" s="342"/>
      <c r="U86" s="342"/>
      <c r="V86" s="342"/>
      <c r="W86" s="342"/>
      <c r="X86" s="318">
        <f t="shared" si="40"/>
        <v>-2.2949999999999999</v>
      </c>
      <c r="Y86" s="318">
        <f t="shared" si="41"/>
        <v>2.302</v>
      </c>
      <c r="Z86" s="342"/>
      <c r="AA86" s="342"/>
      <c r="AB86" s="342"/>
      <c r="AC86" s="365"/>
    </row>
    <row r="87" spans="1:29" ht="15.75" customHeight="1" x14ac:dyDescent="0.3">
      <c r="A87" s="339"/>
      <c r="B87" s="379"/>
      <c r="C87" s="23" t="s">
        <v>16</v>
      </c>
      <c r="D87" s="318">
        <v>1.51</v>
      </c>
      <c r="E87" s="319">
        <v>144.06800000000001</v>
      </c>
      <c r="F87" s="319">
        <v>144.06800000000001</v>
      </c>
      <c r="G87" s="339"/>
      <c r="H87" s="323">
        <f>F87</f>
        <v>144.06800000000001</v>
      </c>
      <c r="I87" s="323">
        <f>F66</f>
        <v>144.06700000000001</v>
      </c>
      <c r="J87" s="339"/>
      <c r="K87" s="339"/>
      <c r="L87" s="339"/>
      <c r="M87" s="324">
        <v>-2.2240000000000002</v>
      </c>
      <c r="N87" s="325">
        <v>2.2229999999999999</v>
      </c>
      <c r="O87" s="339"/>
      <c r="P87" s="339"/>
      <c r="Q87" s="356"/>
      <c r="R87" s="49">
        <v>144.06</v>
      </c>
      <c r="S87" s="49">
        <v>144.06</v>
      </c>
      <c r="T87" s="339"/>
      <c r="U87" s="339"/>
      <c r="V87" s="339"/>
      <c r="W87" s="339"/>
      <c r="X87" s="318">
        <f t="shared" si="40"/>
        <v>-2.2940000000000005</v>
      </c>
      <c r="Y87" s="318">
        <f t="shared" si="41"/>
        <v>2.3029999999999999</v>
      </c>
      <c r="Z87" s="339"/>
      <c r="AA87" s="339"/>
      <c r="AB87" s="339"/>
      <c r="AC87" s="365"/>
    </row>
    <row r="88" spans="1:29" ht="15.75" customHeight="1" x14ac:dyDescent="0.35">
      <c r="Q88" s="51"/>
    </row>
    <row r="89" spans="1:29" ht="15.75" customHeight="1" x14ac:dyDescent="0.3"/>
    <row r="90" spans="1:29" ht="15.75" customHeight="1" x14ac:dyDescent="0.3"/>
    <row r="91" spans="1:29" ht="15.75" customHeight="1" x14ac:dyDescent="0.3">
      <c r="T91" s="347" t="s">
        <v>46</v>
      </c>
      <c r="U91" s="348"/>
      <c r="V91" s="348"/>
      <c r="W91" s="348"/>
      <c r="X91" s="348"/>
      <c r="Y91" s="348"/>
      <c r="Z91" s="349"/>
    </row>
    <row r="92" spans="1:29" ht="15.75" customHeight="1" x14ac:dyDescent="0.3">
      <c r="S92" s="25" t="s">
        <v>23</v>
      </c>
      <c r="T92" s="350"/>
      <c r="U92" s="333"/>
      <c r="V92" s="333"/>
      <c r="W92" s="333"/>
      <c r="X92" s="333"/>
      <c r="Y92" s="333"/>
      <c r="Z92" s="351"/>
    </row>
    <row r="93" spans="1:29" ht="15.75" customHeight="1" x14ac:dyDescent="0.3">
      <c r="T93" s="52" t="s">
        <v>8</v>
      </c>
      <c r="U93" s="53" t="s">
        <v>47</v>
      </c>
      <c r="V93" s="54"/>
      <c r="W93" s="55"/>
      <c r="X93" s="52" t="s">
        <v>48</v>
      </c>
      <c r="Y93" s="52" t="s">
        <v>49</v>
      </c>
      <c r="Z93" s="52" t="s">
        <v>50</v>
      </c>
    </row>
    <row r="94" spans="1:29" ht="15.75" customHeight="1" x14ac:dyDescent="0.3">
      <c r="T94" s="56"/>
      <c r="U94" s="57" t="s">
        <v>51</v>
      </c>
      <c r="V94" s="57" t="s">
        <v>52</v>
      </c>
      <c r="W94" s="57" t="s">
        <v>53</v>
      </c>
      <c r="X94" s="56"/>
      <c r="Y94" s="56"/>
      <c r="Z94" s="56"/>
    </row>
    <row r="95" spans="1:29" ht="15.75" customHeight="1" x14ac:dyDescent="0.3">
      <c r="R95" t="s">
        <v>23</v>
      </c>
      <c r="T95" s="344" t="s">
        <v>16</v>
      </c>
      <c r="U95" s="345">
        <f t="shared" ref="U95:W95" si="42">Z64</f>
        <v>1.8395000000000001</v>
      </c>
      <c r="V95" s="352">
        <f t="shared" si="42"/>
        <v>-1.6267500000000001</v>
      </c>
      <c r="W95" s="352">
        <f t="shared" si="42"/>
        <v>1.7331250000000002</v>
      </c>
      <c r="X95" s="345">
        <f>V64</f>
        <v>87.203999999999994</v>
      </c>
      <c r="Y95" s="344">
        <f>$W$109/6</f>
        <v>-6.8749999999995204E-4</v>
      </c>
      <c r="Z95" s="317">
        <v>1056898</v>
      </c>
    </row>
    <row r="96" spans="1:29" ht="15.75" customHeight="1" x14ac:dyDescent="0.3">
      <c r="T96" s="339"/>
      <c r="U96" s="339"/>
      <c r="V96" s="339"/>
      <c r="W96" s="339"/>
      <c r="X96" s="339"/>
      <c r="Y96" s="339"/>
      <c r="Z96" s="57"/>
    </row>
    <row r="97" spans="1:28" ht="15.75" customHeight="1" x14ac:dyDescent="0.3">
      <c r="T97" s="344" t="s">
        <v>18</v>
      </c>
      <c r="U97" s="345">
        <f t="shared" ref="U97:W97" si="43">Z68</f>
        <v>-1.109</v>
      </c>
      <c r="V97" s="352">
        <f t="shared" si="43"/>
        <v>1.2185000000000001</v>
      </c>
      <c r="W97" s="352">
        <f t="shared" si="43"/>
        <v>-1.1637500000000001</v>
      </c>
      <c r="X97" s="345">
        <f>V68</f>
        <v>62.811</v>
      </c>
      <c r="Y97" s="344">
        <f>$W$109/6</f>
        <v>-6.8749999999995204E-4</v>
      </c>
      <c r="Z97" s="57">
        <f>Z95+(W95)-Y95</f>
        <v>1056899.7338125</v>
      </c>
    </row>
    <row r="98" spans="1:28" ht="15.75" customHeight="1" x14ac:dyDescent="0.3">
      <c r="T98" s="339"/>
      <c r="U98" s="339"/>
      <c r="V98" s="339"/>
      <c r="W98" s="339"/>
      <c r="X98" s="339"/>
      <c r="Y98" s="339"/>
      <c r="Z98" s="57"/>
    </row>
    <row r="99" spans="1:28" ht="14.25" customHeight="1" x14ac:dyDescent="0.3">
      <c r="T99" s="344" t="s">
        <v>19</v>
      </c>
      <c r="U99" s="345">
        <f t="shared" ref="U99:W99" si="44">Z72</f>
        <v>-0.20700000000000005</v>
      </c>
      <c r="V99" s="352">
        <f t="shared" si="44"/>
        <v>0.13899999999999998</v>
      </c>
      <c r="W99" s="352">
        <f t="shared" si="44"/>
        <v>-0.17300000000000001</v>
      </c>
      <c r="X99" s="345">
        <f>V72</f>
        <v>91.970500000000001</v>
      </c>
      <c r="Y99" s="344">
        <f>$W$109/6</f>
        <v>-6.8749999999995204E-4</v>
      </c>
      <c r="Z99" s="57">
        <f>Z97+(W97)-Y97</f>
        <v>1056898.57075</v>
      </c>
    </row>
    <row r="100" spans="1:28" ht="15.75" customHeight="1" x14ac:dyDescent="0.3">
      <c r="T100" s="339"/>
      <c r="U100" s="339"/>
      <c r="V100" s="339"/>
      <c r="W100" s="339"/>
      <c r="X100" s="339"/>
      <c r="Y100" s="339"/>
      <c r="Z100" s="57"/>
    </row>
    <row r="101" spans="1:28" ht="15.75" customHeight="1" x14ac:dyDescent="0.3">
      <c r="T101" s="344" t="s">
        <v>20</v>
      </c>
      <c r="U101" s="345">
        <f t="shared" ref="U101:W101" si="45">Z76</f>
        <v>2.9790000000000001</v>
      </c>
      <c r="V101" s="352">
        <f t="shared" si="45"/>
        <v>-2.9695</v>
      </c>
      <c r="W101" s="352">
        <f t="shared" si="45"/>
        <v>2.9742500000000001</v>
      </c>
      <c r="X101" s="345">
        <f>V76</f>
        <v>98.028000000000006</v>
      </c>
      <c r="Y101" s="344">
        <f>$W$109/6</f>
        <v>-6.8749999999995204E-4</v>
      </c>
      <c r="Z101" s="57">
        <f>Z99+(W99)-Y99</f>
        <v>1056898.3984375</v>
      </c>
    </row>
    <row r="102" spans="1:28" ht="15.75" customHeight="1" x14ac:dyDescent="0.3">
      <c r="T102" s="339"/>
      <c r="U102" s="339"/>
      <c r="V102" s="339"/>
      <c r="W102" s="339"/>
      <c r="X102" s="339"/>
      <c r="Y102" s="339"/>
      <c r="Z102" s="57"/>
    </row>
    <row r="103" spans="1:28" ht="15.75" customHeight="1" x14ac:dyDescent="0.3">
      <c r="T103" s="344" t="s">
        <v>21</v>
      </c>
      <c r="U103" s="345">
        <f t="shared" ref="U103:W103" si="46">Z80</f>
        <v>-1.1905000000000001</v>
      </c>
      <c r="V103" s="352">
        <f t="shared" si="46"/>
        <v>0.96199999999999997</v>
      </c>
      <c r="W103" s="352">
        <f t="shared" si="46"/>
        <v>-1.0762499999999999</v>
      </c>
      <c r="X103" s="345">
        <f>V80</f>
        <v>65.051500000000004</v>
      </c>
      <c r="Y103" s="344">
        <f>$W$109/6</f>
        <v>-6.8749999999995204E-4</v>
      </c>
      <c r="Z103" s="57">
        <f>Z101+(W101)-Y101</f>
        <v>1056901.373375</v>
      </c>
    </row>
    <row r="104" spans="1:28" ht="15.75" customHeight="1" x14ac:dyDescent="0.3">
      <c r="T104" s="339"/>
      <c r="U104" s="339"/>
      <c r="V104" s="339"/>
      <c r="W104" s="339"/>
      <c r="X104" s="339"/>
      <c r="Y104" s="339"/>
      <c r="Z104" s="57"/>
    </row>
    <row r="105" spans="1:28" ht="15.75" customHeight="1" x14ac:dyDescent="0.35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59" t="s">
        <v>17</v>
      </c>
      <c r="U105" s="345">
        <f t="shared" ref="U105:W105" si="47">Z84</f>
        <v>-2.2945000000000002</v>
      </c>
      <c r="V105" s="352">
        <f t="shared" si="47"/>
        <v>2.3025000000000002</v>
      </c>
      <c r="W105" s="352">
        <f t="shared" si="47"/>
        <v>-2.2985000000000002</v>
      </c>
      <c r="X105" s="345">
        <f>V84</f>
        <v>144.06</v>
      </c>
      <c r="Y105" s="344">
        <f>$W$109/6</f>
        <v>-6.8749999999995204E-4</v>
      </c>
      <c r="Z105" s="57">
        <f>Z103+(W103)-Y103</f>
        <v>1056900.2978125</v>
      </c>
      <c r="AA105" s="18"/>
      <c r="AB105" s="18"/>
    </row>
    <row r="106" spans="1:28" ht="15.75" customHeight="1" x14ac:dyDescent="0.35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59"/>
      <c r="U106" s="339"/>
      <c r="V106" s="339"/>
      <c r="W106" s="339"/>
      <c r="X106" s="339"/>
      <c r="Y106" s="339"/>
      <c r="Z106" s="57"/>
      <c r="AA106" s="18"/>
      <c r="AB106" s="18"/>
    </row>
    <row r="107" spans="1:28" ht="15.75" customHeight="1" x14ac:dyDescent="0.3">
      <c r="T107" s="59" t="s">
        <v>16</v>
      </c>
      <c r="U107" s="60"/>
      <c r="V107" s="60"/>
      <c r="W107" s="60"/>
      <c r="X107" s="60"/>
      <c r="Y107" s="56"/>
      <c r="Z107" s="57">
        <f>Z105+(W105)-Y105</f>
        <v>1056898</v>
      </c>
    </row>
    <row r="108" spans="1:28" ht="15.75" customHeight="1" x14ac:dyDescent="0.35">
      <c r="T108" s="59"/>
      <c r="U108" s="60"/>
      <c r="V108" s="60"/>
      <c r="W108" s="60"/>
      <c r="X108" s="60"/>
      <c r="Y108" s="56"/>
      <c r="Z108" s="61"/>
    </row>
    <row r="109" spans="1:28" ht="15.75" customHeight="1" x14ac:dyDescent="0.35">
      <c r="T109" s="59" t="s">
        <v>54</v>
      </c>
      <c r="U109" s="62">
        <f t="shared" ref="U109:Y109" si="48">SUM(U95:U106)</f>
        <v>1.7500000000000071E-2</v>
      </c>
      <c r="V109" s="63">
        <f t="shared" si="48"/>
        <v>2.5750000000000384E-2</v>
      </c>
      <c r="W109" s="63">
        <f t="shared" si="48"/>
        <v>-4.1249999999997122E-3</v>
      </c>
      <c r="X109" s="62">
        <f t="shared" si="48"/>
        <v>549.125</v>
      </c>
      <c r="Y109" s="57">
        <f t="shared" si="48"/>
        <v>-4.1249999999997122E-3</v>
      </c>
      <c r="Z109" s="61"/>
    </row>
    <row r="110" spans="1:28" ht="15.75" customHeight="1" x14ac:dyDescent="0.3"/>
    <row r="111" spans="1:28" ht="15.75" customHeight="1" x14ac:dyDescent="0.3"/>
    <row r="112" spans="1:28" ht="15.75" customHeight="1" x14ac:dyDescent="0.3">
      <c r="T112" s="353" t="s">
        <v>54</v>
      </c>
      <c r="U112" s="329"/>
      <c r="V112" s="330"/>
      <c r="X112" s="346" t="s">
        <v>55</v>
      </c>
      <c r="Y112" s="329"/>
      <c r="Z112" s="330"/>
    </row>
    <row r="113" spans="20:27" ht="15.75" customHeight="1" x14ac:dyDescent="0.35">
      <c r="T113" s="64" t="s">
        <v>56</v>
      </c>
      <c r="U113" s="65" t="s">
        <v>57</v>
      </c>
      <c r="V113" s="66">
        <f>U109</f>
        <v>1.7500000000000071E-2</v>
      </c>
      <c r="X113" s="67" t="s">
        <v>58</v>
      </c>
      <c r="Y113" s="68" t="s">
        <v>57</v>
      </c>
      <c r="Z113" s="69" t="s">
        <v>59</v>
      </c>
    </row>
    <row r="114" spans="20:27" ht="15.75" customHeight="1" x14ac:dyDescent="0.35">
      <c r="T114" s="70" t="s">
        <v>60</v>
      </c>
      <c r="U114" s="71" t="s">
        <v>57</v>
      </c>
      <c r="V114" s="72">
        <f>V109</f>
        <v>2.5750000000000384E-2</v>
      </c>
      <c r="X114" s="69"/>
      <c r="Y114" s="68" t="s">
        <v>61</v>
      </c>
      <c r="Z114" s="73">
        <f>V116</f>
        <v>-4.1249999999997122E-3</v>
      </c>
    </row>
    <row r="115" spans="20:27" ht="15.75" customHeight="1" x14ac:dyDescent="0.35">
      <c r="T115" s="74" t="s">
        <v>62</v>
      </c>
      <c r="U115" s="71" t="s">
        <v>57</v>
      </c>
      <c r="V115" s="72">
        <f>ABS(V113-V114)</f>
        <v>8.2500000000003126E-3</v>
      </c>
      <c r="X115" s="69"/>
      <c r="Y115" s="69" t="s">
        <v>63</v>
      </c>
      <c r="Z115" s="75">
        <f>Z114*1000</f>
        <v>-4.1249999999997122</v>
      </c>
    </row>
    <row r="116" spans="20:27" ht="15.75" customHeight="1" x14ac:dyDescent="0.35">
      <c r="T116" s="70" t="s">
        <v>59</v>
      </c>
      <c r="U116" s="71" t="s">
        <v>57</v>
      </c>
      <c r="V116" s="72">
        <f>W109</f>
        <v>-4.1249999999997122E-3</v>
      </c>
    </row>
    <row r="117" spans="20:27" ht="15.75" customHeight="1" x14ac:dyDescent="0.35">
      <c r="T117" s="70" t="s">
        <v>64</v>
      </c>
      <c r="U117" s="71" t="s">
        <v>57</v>
      </c>
      <c r="V117" s="72">
        <f>X109</f>
        <v>549.125</v>
      </c>
      <c r="Y117" t="s">
        <v>475</v>
      </c>
      <c r="Z117" s="327">
        <f>12*(SQRT(V117/1000))</f>
        <v>8.8923562681664983</v>
      </c>
      <c r="AA117" t="s">
        <v>476</v>
      </c>
    </row>
    <row r="118" spans="20:27" ht="15.75" customHeight="1" x14ac:dyDescent="0.35">
      <c r="T118" s="76" t="s">
        <v>65</v>
      </c>
      <c r="U118" s="77" t="s">
        <v>57</v>
      </c>
      <c r="V118" s="78">
        <f>Y109</f>
        <v>-4.1249999999997122E-3</v>
      </c>
    </row>
    <row r="119" spans="20:27" ht="15.75" customHeight="1" x14ac:dyDescent="0.3"/>
    <row r="120" spans="20:27" ht="15.75" customHeight="1" x14ac:dyDescent="0.3"/>
    <row r="121" spans="20:27" ht="15.75" customHeight="1" x14ac:dyDescent="0.3"/>
    <row r="122" spans="20:27" ht="15.75" customHeight="1" x14ac:dyDescent="0.3"/>
    <row r="123" spans="20:27" ht="15.75" customHeight="1" x14ac:dyDescent="0.3"/>
    <row r="124" spans="20:27" ht="15.75" customHeight="1" x14ac:dyDescent="0.3"/>
    <row r="125" spans="20:27" ht="15.75" customHeight="1" x14ac:dyDescent="0.3"/>
    <row r="126" spans="20:27" ht="15.75" customHeight="1" x14ac:dyDescent="0.3"/>
    <row r="127" spans="20:27" ht="15.75" customHeight="1" x14ac:dyDescent="0.3"/>
    <row r="128" spans="20:27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</sheetData>
  <mergeCells count="286">
    <mergeCell ref="R8:S8"/>
    <mergeCell ref="R9:S9"/>
    <mergeCell ref="A1:B2"/>
    <mergeCell ref="C1:D2"/>
    <mergeCell ref="E1:S1"/>
    <mergeCell ref="E2:H2"/>
    <mergeCell ref="I2:L2"/>
    <mergeCell ref="A4:A7"/>
    <mergeCell ref="A8:A11"/>
    <mergeCell ref="P10:P11"/>
    <mergeCell ref="M2:O2"/>
    <mergeCell ref="O4:O7"/>
    <mergeCell ref="P4:P5"/>
    <mergeCell ref="Q4:Q5"/>
    <mergeCell ref="R4:S4"/>
    <mergeCell ref="R5:S5"/>
    <mergeCell ref="P6:P7"/>
    <mergeCell ref="Q6:Q7"/>
    <mergeCell ref="R6:S6"/>
    <mergeCell ref="R7:S7"/>
    <mergeCell ref="P37:P38"/>
    <mergeCell ref="O37:O40"/>
    <mergeCell ref="P39:P40"/>
    <mergeCell ref="O33:O36"/>
    <mergeCell ref="Q26:Q27"/>
    <mergeCell ref="R38:S38"/>
    <mergeCell ref="R33:S33"/>
    <mergeCell ref="R39:S39"/>
    <mergeCell ref="R18:S18"/>
    <mergeCell ref="R19:S19"/>
    <mergeCell ref="R20:S20"/>
    <mergeCell ref="R21:S21"/>
    <mergeCell ref="R22:S22"/>
    <mergeCell ref="R23:S23"/>
    <mergeCell ref="R34:S34"/>
    <mergeCell ref="R35:S35"/>
    <mergeCell ref="Q39:Q40"/>
    <mergeCell ref="Q33:Q34"/>
    <mergeCell ref="Q35:Q36"/>
    <mergeCell ref="Q37:Q38"/>
    <mergeCell ref="R40:S40"/>
    <mergeCell ref="R36:S36"/>
    <mergeCell ref="R37:S37"/>
    <mergeCell ref="R10:S10"/>
    <mergeCell ref="R11:S11"/>
    <mergeCell ref="R12:S12"/>
    <mergeCell ref="R13:S13"/>
    <mergeCell ref="R14:S14"/>
    <mergeCell ref="R15:S15"/>
    <mergeCell ref="R16:S16"/>
    <mergeCell ref="R17:S17"/>
    <mergeCell ref="E31:H31"/>
    <mergeCell ref="P12:P13"/>
    <mergeCell ref="Q14:Q15"/>
    <mergeCell ref="Q16:Q17"/>
    <mergeCell ref="A12:A15"/>
    <mergeCell ref="Q12:Q13"/>
    <mergeCell ref="P14:P15"/>
    <mergeCell ref="A16:A19"/>
    <mergeCell ref="A20:A23"/>
    <mergeCell ref="O16:O19"/>
    <mergeCell ref="O20:O23"/>
    <mergeCell ref="P22:P23"/>
    <mergeCell ref="P18:P19"/>
    <mergeCell ref="P20:P21"/>
    <mergeCell ref="G64:G67"/>
    <mergeCell ref="P35:P36"/>
    <mergeCell ref="P33:P34"/>
    <mergeCell ref="R2:S2"/>
    <mergeCell ref="R3:S3"/>
    <mergeCell ref="P24:P25"/>
    <mergeCell ref="O24:O27"/>
    <mergeCell ref="P26:P27"/>
    <mergeCell ref="A24:A27"/>
    <mergeCell ref="A30:B31"/>
    <mergeCell ref="C30:D31"/>
    <mergeCell ref="A33:A36"/>
    <mergeCell ref="Q18:Q19"/>
    <mergeCell ref="Q20:Q21"/>
    <mergeCell ref="O12:O15"/>
    <mergeCell ref="P16:P17"/>
    <mergeCell ref="P31:Q31"/>
    <mergeCell ref="P2:Q2"/>
    <mergeCell ref="O8:O11"/>
    <mergeCell ref="P8:P9"/>
    <mergeCell ref="Q8:Q9"/>
    <mergeCell ref="Q10:Q11"/>
    <mergeCell ref="Q22:Q23"/>
    <mergeCell ref="M31:O31"/>
    <mergeCell ref="L80:L83"/>
    <mergeCell ref="J84:J87"/>
    <mergeCell ref="K84:K87"/>
    <mergeCell ref="L84:L87"/>
    <mergeCell ref="L72:L75"/>
    <mergeCell ref="L76:L79"/>
    <mergeCell ref="A37:A40"/>
    <mergeCell ref="A41:A44"/>
    <mergeCell ref="A45:A48"/>
    <mergeCell ref="J64:J67"/>
    <mergeCell ref="K64:K67"/>
    <mergeCell ref="L64:L67"/>
    <mergeCell ref="A68:A71"/>
    <mergeCell ref="B68:B71"/>
    <mergeCell ref="G68:G71"/>
    <mergeCell ref="J68:J71"/>
    <mergeCell ref="K68:K71"/>
    <mergeCell ref="L68:L71"/>
    <mergeCell ref="A49:A52"/>
    <mergeCell ref="A53:A56"/>
    <mergeCell ref="A61:B62"/>
    <mergeCell ref="C61:D62"/>
    <mergeCell ref="A64:A67"/>
    <mergeCell ref="B64:B67"/>
    <mergeCell ref="A76:A79"/>
    <mergeCell ref="A80:A83"/>
    <mergeCell ref="B80:B83"/>
    <mergeCell ref="A84:A87"/>
    <mergeCell ref="B84:B87"/>
    <mergeCell ref="A72:A75"/>
    <mergeCell ref="B72:B75"/>
    <mergeCell ref="J72:J75"/>
    <mergeCell ref="K72:K75"/>
    <mergeCell ref="B76:B79"/>
    <mergeCell ref="G72:G75"/>
    <mergeCell ref="G76:G79"/>
    <mergeCell ref="G80:G83"/>
    <mergeCell ref="G84:G87"/>
    <mergeCell ref="J76:J79"/>
    <mergeCell ref="K76:K79"/>
    <mergeCell ref="J80:J83"/>
    <mergeCell ref="K80:K83"/>
    <mergeCell ref="AB84:AB87"/>
    <mergeCell ref="V68:V71"/>
    <mergeCell ref="W68:W71"/>
    <mergeCell ref="Z68:Z71"/>
    <mergeCell ref="T72:T75"/>
    <mergeCell ref="U72:U75"/>
    <mergeCell ref="V72:V75"/>
    <mergeCell ref="W72:W75"/>
    <mergeCell ref="Z72:Z75"/>
    <mergeCell ref="AA76:AA79"/>
    <mergeCell ref="T76:T79"/>
    <mergeCell ref="U76:U79"/>
    <mergeCell ref="V76:V79"/>
    <mergeCell ref="W76:W79"/>
    <mergeCell ref="Z76:Z79"/>
    <mergeCell ref="AA68:AA71"/>
    <mergeCell ref="AB68:AB71"/>
    <mergeCell ref="AA80:AA83"/>
    <mergeCell ref="AB80:AB83"/>
    <mergeCell ref="Z80:Z83"/>
    <mergeCell ref="AC64:AC67"/>
    <mergeCell ref="AC68:AC71"/>
    <mergeCell ref="AC72:AC75"/>
    <mergeCell ref="AC76:AC79"/>
    <mergeCell ref="AC80:AC83"/>
    <mergeCell ref="AC84:AC87"/>
    <mergeCell ref="R51:S51"/>
    <mergeCell ref="R52:S52"/>
    <mergeCell ref="AA64:AA67"/>
    <mergeCell ref="AB64:AB67"/>
    <mergeCell ref="X61:AB62"/>
    <mergeCell ref="Z64:Z67"/>
    <mergeCell ref="AB76:AB79"/>
    <mergeCell ref="V84:V87"/>
    <mergeCell ref="W84:W87"/>
    <mergeCell ref="T68:T71"/>
    <mergeCell ref="U68:U71"/>
    <mergeCell ref="T80:T83"/>
    <mergeCell ref="U80:U83"/>
    <mergeCell ref="V80:V83"/>
    <mergeCell ref="W80:W83"/>
    <mergeCell ref="U84:U87"/>
    <mergeCell ref="AB72:AB75"/>
    <mergeCell ref="AA84:AA87"/>
    <mergeCell ref="AA72:AA75"/>
    <mergeCell ref="P68:P71"/>
    <mergeCell ref="Q68:Q71"/>
    <mergeCell ref="P51:P52"/>
    <mergeCell ref="Q51:Q52"/>
    <mergeCell ref="O64:O67"/>
    <mergeCell ref="O72:O75"/>
    <mergeCell ref="O68:O71"/>
    <mergeCell ref="Q47:Q48"/>
    <mergeCell ref="O49:O52"/>
    <mergeCell ref="R47:S47"/>
    <mergeCell ref="R48:S48"/>
    <mergeCell ref="P55:P56"/>
    <mergeCell ref="Q55:Q56"/>
    <mergeCell ref="U64:U67"/>
    <mergeCell ref="T64:T67"/>
    <mergeCell ref="P47:P48"/>
    <mergeCell ref="P53:P54"/>
    <mergeCell ref="Q53:Q54"/>
    <mergeCell ref="R53:S53"/>
    <mergeCell ref="R54:S54"/>
    <mergeCell ref="R62:W62"/>
    <mergeCell ref="V64:V67"/>
    <mergeCell ref="W64:W67"/>
    <mergeCell ref="P72:P75"/>
    <mergeCell ref="P84:P87"/>
    <mergeCell ref="Q72:Q75"/>
    <mergeCell ref="O45:O48"/>
    <mergeCell ref="P45:P46"/>
    <mergeCell ref="Q45:Q46"/>
    <mergeCell ref="O53:O56"/>
    <mergeCell ref="R49:S49"/>
    <mergeCell ref="R50:S50"/>
    <mergeCell ref="R45:S45"/>
    <mergeCell ref="R46:S46"/>
    <mergeCell ref="Q64:Q67"/>
    <mergeCell ref="P64:P67"/>
    <mergeCell ref="P49:P50"/>
    <mergeCell ref="Q49:Q50"/>
    <mergeCell ref="Q84:Q87"/>
    <mergeCell ref="O76:O79"/>
    <mergeCell ref="O80:O83"/>
    <mergeCell ref="O84:O87"/>
    <mergeCell ref="P76:P79"/>
    <mergeCell ref="Q76:Q79"/>
    <mergeCell ref="U99:U100"/>
    <mergeCell ref="V99:V100"/>
    <mergeCell ref="U97:U98"/>
    <mergeCell ref="T95:T96"/>
    <mergeCell ref="T84:T87"/>
    <mergeCell ref="P80:P83"/>
    <mergeCell ref="Q80:Q83"/>
    <mergeCell ref="U95:U96"/>
    <mergeCell ref="V95:V96"/>
    <mergeCell ref="U103:U104"/>
    <mergeCell ref="U105:U106"/>
    <mergeCell ref="V105:V106"/>
    <mergeCell ref="T97:T98"/>
    <mergeCell ref="V97:V98"/>
    <mergeCell ref="W97:W98"/>
    <mergeCell ref="T99:T100"/>
    <mergeCell ref="W99:W100"/>
    <mergeCell ref="W95:W96"/>
    <mergeCell ref="Y97:Y98"/>
    <mergeCell ref="Z84:Z87"/>
    <mergeCell ref="Y95:Y96"/>
    <mergeCell ref="X97:X98"/>
    <mergeCell ref="Y99:Y100"/>
    <mergeCell ref="X112:Z112"/>
    <mergeCell ref="X99:X100"/>
    <mergeCell ref="X101:X102"/>
    <mergeCell ref="Y101:Y102"/>
    <mergeCell ref="X103:X104"/>
    <mergeCell ref="X105:X106"/>
    <mergeCell ref="X95:X96"/>
    <mergeCell ref="Y105:Y106"/>
    <mergeCell ref="Y103:Y104"/>
    <mergeCell ref="T91:Z92"/>
    <mergeCell ref="T101:T102"/>
    <mergeCell ref="U101:U102"/>
    <mergeCell ref="V101:V102"/>
    <mergeCell ref="T103:T104"/>
    <mergeCell ref="V103:V104"/>
    <mergeCell ref="T112:V112"/>
    <mergeCell ref="W105:W106"/>
    <mergeCell ref="W101:W102"/>
    <mergeCell ref="W103:W104"/>
    <mergeCell ref="I31:L31"/>
    <mergeCell ref="A59:AB60"/>
    <mergeCell ref="E61:W61"/>
    <mergeCell ref="E62:L62"/>
    <mergeCell ref="M62:Q62"/>
    <mergeCell ref="R32:S32"/>
    <mergeCell ref="R24:S24"/>
    <mergeCell ref="R25:S25"/>
    <mergeCell ref="R26:S26"/>
    <mergeCell ref="R27:S27"/>
    <mergeCell ref="E30:S30"/>
    <mergeCell ref="R31:S31"/>
    <mergeCell ref="Q24:Q25"/>
    <mergeCell ref="R42:S42"/>
    <mergeCell ref="R43:S43"/>
    <mergeCell ref="O41:O44"/>
    <mergeCell ref="P41:P42"/>
    <mergeCell ref="P43:P44"/>
    <mergeCell ref="Q41:Q42"/>
    <mergeCell ref="R41:S41"/>
    <mergeCell ref="Q43:Q44"/>
    <mergeCell ref="R44:S44"/>
    <mergeCell ref="R55:S55"/>
    <mergeCell ref="R56:S56"/>
  </mergeCells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W300"/>
  <sheetViews>
    <sheetView zoomScale="83" workbookViewId="0">
      <selection activeCell="P7" sqref="P7"/>
    </sheetView>
  </sheetViews>
  <sheetFormatPr defaultColWidth="14.33203125" defaultRowHeight="15" customHeight="1" x14ac:dyDescent="0.3"/>
  <cols>
    <col min="1" max="2" width="8.75" customWidth="1"/>
    <col min="3" max="3" width="14.75" customWidth="1"/>
    <col min="4" max="4" width="13" customWidth="1"/>
    <col min="5" max="5" width="17.75" customWidth="1"/>
    <col min="6" max="6" width="8.75" customWidth="1"/>
    <col min="7" max="7" width="11" customWidth="1"/>
    <col min="8" max="9" width="8.75" customWidth="1"/>
    <col min="10" max="10" width="13.33203125" customWidth="1"/>
    <col min="11" max="11" width="10" customWidth="1"/>
    <col min="12" max="12" width="8.75" customWidth="1"/>
    <col min="13" max="13" width="12.25" customWidth="1"/>
    <col min="14" max="14" width="11.58203125" bestFit="1" customWidth="1"/>
    <col min="15" max="15" width="19.75" customWidth="1"/>
    <col min="16" max="17" width="8.75" customWidth="1"/>
    <col min="18" max="18" width="25.75" customWidth="1"/>
    <col min="19" max="19" width="2.33203125" customWidth="1"/>
    <col min="20" max="20" width="8.75" customWidth="1"/>
    <col min="21" max="21" width="9.25" customWidth="1"/>
    <col min="22" max="22" width="8.75" customWidth="1"/>
    <col min="23" max="23" width="13.33203125" customWidth="1"/>
  </cols>
  <sheetData>
    <row r="2" spans="1:23" ht="14.5" x14ac:dyDescent="0.35">
      <c r="B2" s="417" t="s">
        <v>66</v>
      </c>
      <c r="C2" s="329"/>
      <c r="D2" s="329"/>
      <c r="E2" s="329"/>
      <c r="F2" s="329"/>
      <c r="G2" s="329"/>
      <c r="H2" s="329"/>
      <c r="I2" s="329"/>
      <c r="J2" s="329"/>
      <c r="K2" s="329"/>
      <c r="L2" s="329"/>
      <c r="M2" s="329"/>
      <c r="N2" s="329"/>
      <c r="O2" s="329"/>
      <c r="P2" s="330"/>
      <c r="R2" s="417" t="s">
        <v>67</v>
      </c>
      <c r="S2" s="329"/>
      <c r="T2" s="329"/>
      <c r="U2" s="330"/>
    </row>
    <row r="3" spans="1:23" ht="15.5" x14ac:dyDescent="0.35">
      <c r="B3" s="418" t="s">
        <v>8</v>
      </c>
      <c r="C3" s="420" t="s">
        <v>68</v>
      </c>
      <c r="D3" s="414" t="s">
        <v>69</v>
      </c>
      <c r="E3" s="421" t="s">
        <v>70</v>
      </c>
      <c r="F3" s="414" t="s">
        <v>71</v>
      </c>
      <c r="G3" s="415" t="s">
        <v>72</v>
      </c>
      <c r="H3" s="413" t="s">
        <v>73</v>
      </c>
      <c r="I3" s="404"/>
      <c r="J3" s="336"/>
      <c r="K3" s="413" t="s">
        <v>74</v>
      </c>
      <c r="L3" s="404"/>
      <c r="M3" s="336"/>
      <c r="N3" s="424" t="s">
        <v>75</v>
      </c>
      <c r="O3" s="329"/>
      <c r="P3" s="330"/>
      <c r="R3" s="79" t="s">
        <v>76</v>
      </c>
      <c r="S3" s="422">
        <f>C20</f>
        <v>719.99541666666664</v>
      </c>
      <c r="T3" s="329"/>
      <c r="U3" s="330"/>
    </row>
    <row r="4" spans="1:23" ht="15.5" x14ac:dyDescent="0.35">
      <c r="B4" s="419"/>
      <c r="C4" s="339"/>
      <c r="D4" s="339"/>
      <c r="E4" s="339"/>
      <c r="F4" s="339"/>
      <c r="G4" s="416"/>
      <c r="H4" s="80" t="s">
        <v>77</v>
      </c>
      <c r="I4" s="80" t="s">
        <v>69</v>
      </c>
      <c r="J4" s="80" t="s">
        <v>78</v>
      </c>
      <c r="K4" s="80" t="s">
        <v>77</v>
      </c>
      <c r="L4" s="80" t="s">
        <v>69</v>
      </c>
      <c r="M4" s="80" t="s">
        <v>78</v>
      </c>
      <c r="N4" s="81" t="s">
        <v>79</v>
      </c>
      <c r="O4" s="81" t="s">
        <v>80</v>
      </c>
      <c r="P4" s="80" t="s">
        <v>81</v>
      </c>
      <c r="R4" s="79" t="s">
        <v>82</v>
      </c>
      <c r="S4" s="423">
        <f>(6-2)*180</f>
        <v>720</v>
      </c>
      <c r="T4" s="329"/>
      <c r="U4" s="330"/>
    </row>
    <row r="5" spans="1:23" ht="15.5" x14ac:dyDescent="0.35">
      <c r="A5" s="18"/>
      <c r="B5" s="83" t="s">
        <v>16</v>
      </c>
      <c r="C5" s="84"/>
      <c r="D5" s="84"/>
      <c r="E5" s="84"/>
      <c r="F5" s="84"/>
      <c r="G5" s="84"/>
      <c r="H5" s="85"/>
      <c r="I5" s="85"/>
      <c r="J5" s="85"/>
      <c r="K5" s="85"/>
      <c r="L5" s="85"/>
      <c r="M5" s="85"/>
      <c r="N5" s="86"/>
      <c r="O5" s="86"/>
      <c r="P5" s="85"/>
      <c r="Q5" s="18"/>
      <c r="R5" s="79"/>
      <c r="S5" s="82"/>
      <c r="T5" s="87"/>
      <c r="U5" s="88"/>
      <c r="V5" s="18"/>
      <c r="W5" s="18"/>
    </row>
    <row r="6" spans="1:23" ht="14.5" x14ac:dyDescent="0.35">
      <c r="B6" s="89" t="s">
        <v>18</v>
      </c>
      <c r="C6" s="73">
        <f>'Data Lapangan'!O8</f>
        <v>230.01625000000001</v>
      </c>
      <c r="D6" s="75">
        <f>C22</f>
        <v>7.6388888889293105E-4</v>
      </c>
      <c r="E6" s="75">
        <f>C6+D6</f>
        <v>230.0170138888889</v>
      </c>
      <c r="F6" s="69"/>
      <c r="G6" s="90"/>
      <c r="H6" s="91"/>
      <c r="I6" s="91"/>
      <c r="J6" s="91"/>
      <c r="K6" s="91"/>
      <c r="L6" s="91"/>
      <c r="M6" s="91"/>
      <c r="N6" s="314">
        <v>535310.50699999998</v>
      </c>
      <c r="O6" s="314">
        <v>9407739.1050000004</v>
      </c>
      <c r="P6" s="92">
        <v>1056898</v>
      </c>
      <c r="R6" s="79" t="s">
        <v>83</v>
      </c>
      <c r="S6" s="410">
        <f>2*5*SQRT(5)</f>
        <v>22.360679774997898</v>
      </c>
      <c r="T6" s="329"/>
      <c r="U6" s="330"/>
    </row>
    <row r="7" spans="1:23" ht="14.5" x14ac:dyDescent="0.35">
      <c r="B7" s="89"/>
      <c r="C7" s="73"/>
      <c r="D7" s="75"/>
      <c r="E7" s="75"/>
      <c r="F7" s="26">
        <f>'Data Lapangan'!V68</f>
        <v>62.811</v>
      </c>
      <c r="G7" s="93">
        <f>G17+180-E6</f>
        <v>199.72898611111108</v>
      </c>
      <c r="H7" s="94">
        <f>F7*SIN(RADIANS(G7))</f>
        <v>-21.203203995887353</v>
      </c>
      <c r="I7" s="94">
        <f>(F7/F$20)*S$12</f>
        <v>3.5164398659843631E-2</v>
      </c>
      <c r="J7" s="94">
        <f>H7-I7</f>
        <v>-21.238368394547198</v>
      </c>
      <c r="K7" s="94">
        <f>F7*COS(RADIANS(G7))</f>
        <v>-59.12398719055394</v>
      </c>
      <c r="L7" s="94">
        <f>(F7/F$20)*S$13</f>
        <v>-5.941049834001514E-2</v>
      </c>
      <c r="M7" s="94">
        <f>K7-L7</f>
        <v>-59.064576692213926</v>
      </c>
      <c r="N7" s="315"/>
      <c r="O7" s="316"/>
      <c r="P7" s="69"/>
      <c r="R7" s="79"/>
      <c r="S7" s="410"/>
      <c r="T7" s="329"/>
      <c r="U7" s="330"/>
    </row>
    <row r="8" spans="1:23" ht="14.5" x14ac:dyDescent="0.35">
      <c r="B8" s="89" t="s">
        <v>19</v>
      </c>
      <c r="C8" s="73">
        <f>'Data Lapangan'!O12</f>
        <v>119.30374999999998</v>
      </c>
      <c r="D8" s="75">
        <f>C22</f>
        <v>7.6388888889293105E-4</v>
      </c>
      <c r="E8" s="75">
        <f>C8+D8</f>
        <v>119.30451388888888</v>
      </c>
      <c r="F8" s="96"/>
      <c r="G8" s="93"/>
      <c r="H8" s="94"/>
      <c r="I8" s="94"/>
      <c r="J8" s="94"/>
      <c r="K8" s="94"/>
      <c r="L8" s="94"/>
      <c r="M8" s="94"/>
      <c r="N8" s="315">
        <f>N6+J7</f>
        <v>535289.26863160543</v>
      </c>
      <c r="O8" s="316">
        <f>O6+M7</f>
        <v>9407680.0404233076</v>
      </c>
      <c r="P8" s="69"/>
      <c r="R8" s="97" t="s">
        <v>84</v>
      </c>
      <c r="S8" s="411">
        <f>(S4-S3)*3600</f>
        <v>16.500000000087311</v>
      </c>
      <c r="T8" s="329"/>
      <c r="U8" s="330"/>
    </row>
    <row r="9" spans="1:23" ht="14.5" x14ac:dyDescent="0.35">
      <c r="B9" s="89"/>
      <c r="C9" s="73"/>
      <c r="D9" s="75"/>
      <c r="E9" s="75"/>
      <c r="F9" s="98">
        <f>'Data Lapangan'!V72</f>
        <v>91.970500000000001</v>
      </c>
      <c r="G9" s="93">
        <f>G7+180-E8</f>
        <v>260.42447222222222</v>
      </c>
      <c r="H9" s="99">
        <f>F9*SIN(RADIANS(G9))</f>
        <v>-90.689091351848461</v>
      </c>
      <c r="I9" s="94">
        <f>(F9/F$20)*S$12</f>
        <v>5.1489187036429108E-2</v>
      </c>
      <c r="J9" s="94">
        <f>H9-I9</f>
        <v>-90.740580538884885</v>
      </c>
      <c r="K9" s="94">
        <f>F9*COS(RADIANS(G9))</f>
        <v>-15.299071214491633</v>
      </c>
      <c r="L9" s="94">
        <f>(F9/F$20)*S$13</f>
        <v>-8.6991342879119291E-2</v>
      </c>
      <c r="M9" s="94">
        <f>K9-L9</f>
        <v>-15.212079871612513</v>
      </c>
      <c r="N9" s="315"/>
      <c r="O9" s="316"/>
      <c r="P9" s="69"/>
      <c r="R9" s="97" t="s">
        <v>85</v>
      </c>
      <c r="S9" s="412">
        <f>S8/6</f>
        <v>2.7500000000145519</v>
      </c>
      <c r="T9" s="329"/>
      <c r="U9" s="330"/>
    </row>
    <row r="10" spans="1:23" ht="14.5" x14ac:dyDescent="0.35">
      <c r="B10" s="89" t="s">
        <v>20</v>
      </c>
      <c r="C10" s="73">
        <f>'Data Lapangan'!O16</f>
        <v>88.863472222222242</v>
      </c>
      <c r="D10" s="75">
        <f>C22</f>
        <v>7.6388888889293105E-4</v>
      </c>
      <c r="E10" s="75">
        <f>C10+D10</f>
        <v>88.86423611111114</v>
      </c>
      <c r="F10" s="96"/>
      <c r="G10" s="93"/>
      <c r="H10" s="99"/>
      <c r="I10" s="94"/>
      <c r="J10" s="94"/>
      <c r="K10" s="94"/>
      <c r="L10" s="94"/>
      <c r="M10" s="94"/>
      <c r="N10" s="315">
        <f>N8+J9</f>
        <v>535198.52805106656</v>
      </c>
      <c r="O10" s="316">
        <f>O8+M9</f>
        <v>9407664.8283434361</v>
      </c>
      <c r="P10" s="69"/>
      <c r="R10" s="100"/>
      <c r="S10" s="406"/>
      <c r="T10" s="329"/>
      <c r="U10" s="329"/>
    </row>
    <row r="11" spans="1:23" ht="14.5" x14ac:dyDescent="0.35">
      <c r="B11" s="89"/>
      <c r="C11" s="73"/>
      <c r="D11" s="75"/>
      <c r="E11" s="75"/>
      <c r="F11" s="98">
        <f>'Data Lapangan'!V76</f>
        <v>98.028000000000006</v>
      </c>
      <c r="G11" s="93">
        <f>G9+180-E10</f>
        <v>351.56023611111107</v>
      </c>
      <c r="H11" s="99">
        <f>F11*SIN(RADIANS(G11))</f>
        <v>-14.38752632913009</v>
      </c>
      <c r="I11" s="94">
        <f>(F11/F$20)*S$12</f>
        <v>5.488044565167171E-2</v>
      </c>
      <c r="J11" s="94">
        <f>H11-I11</f>
        <v>-14.442406774781761</v>
      </c>
      <c r="K11" s="94">
        <f>F11*COS(RADIANS(G11))</f>
        <v>96.966426510048251</v>
      </c>
      <c r="L11" s="94">
        <f>(F11/F$20)*S$13</f>
        <v>-9.2720898111397748E-2</v>
      </c>
      <c r="M11" s="94">
        <f>K11-L11</f>
        <v>97.059147408159646</v>
      </c>
      <c r="N11" s="315"/>
      <c r="O11" s="316"/>
      <c r="P11" s="69"/>
      <c r="R11" s="407" t="s">
        <v>86</v>
      </c>
      <c r="S11" s="329"/>
      <c r="T11" s="329"/>
      <c r="U11" s="330"/>
    </row>
    <row r="12" spans="1:23" ht="14.5" x14ac:dyDescent="0.35">
      <c r="B12" s="89" t="s">
        <v>21</v>
      </c>
      <c r="C12" s="73">
        <f>'Data Lapangan'!O20</f>
        <v>89.93152777777776</v>
      </c>
      <c r="D12" s="75">
        <f>C22</f>
        <v>7.6388888889293105E-4</v>
      </c>
      <c r="E12" s="75">
        <f>C12+D12</f>
        <v>89.932291666666657</v>
      </c>
      <c r="F12" s="101"/>
      <c r="G12" s="93"/>
      <c r="H12" s="99"/>
      <c r="I12" s="94"/>
      <c r="J12" s="94"/>
      <c r="K12" s="94"/>
      <c r="L12" s="94"/>
      <c r="M12" s="94"/>
      <c r="N12" s="315">
        <f>N10+J11</f>
        <v>535184.08564429183</v>
      </c>
      <c r="O12" s="316">
        <f>O10+M11</f>
        <v>9407761.8874908444</v>
      </c>
      <c r="P12" s="69"/>
      <c r="R12" s="102" t="s">
        <v>87</v>
      </c>
      <c r="S12" s="408">
        <f>SUM(H7:H17)</f>
        <v>0.30742466150971381</v>
      </c>
      <c r="T12" s="329"/>
      <c r="U12" s="330"/>
    </row>
    <row r="13" spans="1:23" ht="14.5" x14ac:dyDescent="0.35">
      <c r="B13" s="89"/>
      <c r="C13" s="73"/>
      <c r="D13" s="75"/>
      <c r="E13" s="75"/>
      <c r="F13" s="98">
        <f>'Data Lapangan'!V80</f>
        <v>65.051500000000004</v>
      </c>
      <c r="G13" s="93">
        <f>G11+180-E12-360</f>
        <v>81.627944444444438</v>
      </c>
      <c r="H13" s="99">
        <f>F13*SIN(RADIANS(G13))</f>
        <v>64.358276302115726</v>
      </c>
      <c r="I13" s="94">
        <f>(F13/F$20)*S$12</f>
        <v>3.6418730467924702E-2</v>
      </c>
      <c r="J13" s="94">
        <f>H13-I13</f>
        <v>64.321857571647797</v>
      </c>
      <c r="K13" s="94">
        <f>F13*COS(RADIANS(G13))</f>
        <v>9.4715322768034991</v>
      </c>
      <c r="L13" s="94">
        <f>(F13/F$20)*S$13</f>
        <v>-6.1529700733398529E-2</v>
      </c>
      <c r="M13" s="94">
        <f>K13-L13</f>
        <v>9.5330619775368977</v>
      </c>
      <c r="N13" s="315"/>
      <c r="O13" s="316"/>
      <c r="P13" s="69"/>
      <c r="R13" s="102" t="s">
        <v>88</v>
      </c>
      <c r="S13" s="408">
        <f>SUM(K7:K18)</f>
        <v>-0.51939612330580331</v>
      </c>
      <c r="T13" s="329"/>
      <c r="U13" s="330"/>
    </row>
    <row r="14" spans="1:23" ht="14.5" x14ac:dyDescent="0.35">
      <c r="B14" s="89" t="s">
        <v>17</v>
      </c>
      <c r="C14" s="73">
        <f>'Data Lapangan'!O24</f>
        <v>170.69416666666666</v>
      </c>
      <c r="D14" s="75">
        <f>C22</f>
        <v>7.6388888889293105E-4</v>
      </c>
      <c r="E14" s="75">
        <f>C14+D14</f>
        <v>170.69493055555554</v>
      </c>
      <c r="F14" s="96"/>
      <c r="G14" s="93"/>
      <c r="H14" s="99"/>
      <c r="I14" s="94"/>
      <c r="J14" s="94"/>
      <c r="K14" s="94"/>
      <c r="L14" s="94"/>
      <c r="M14" s="94"/>
      <c r="N14" s="315">
        <f>N12+J13</f>
        <v>535248.40750186343</v>
      </c>
      <c r="O14" s="316">
        <f>O12+M13</f>
        <v>9407771.4205528218</v>
      </c>
      <c r="P14" s="69"/>
      <c r="R14" s="102" t="s">
        <v>89</v>
      </c>
      <c r="S14" s="408">
        <f>((S12^2)+(S13^2))^0.5</f>
        <v>0.60355799672397625</v>
      </c>
      <c r="T14" s="329"/>
      <c r="U14" s="330"/>
    </row>
    <row r="15" spans="1:23" ht="14.5" x14ac:dyDescent="0.35">
      <c r="A15" s="18"/>
      <c r="B15" s="74"/>
      <c r="C15" s="73"/>
      <c r="D15" s="75"/>
      <c r="E15" s="75"/>
      <c r="F15" s="98">
        <v>144.06</v>
      </c>
      <c r="G15" s="93">
        <f>G13+180-E14</f>
        <v>90.933013888888894</v>
      </c>
      <c r="H15" s="99">
        <f>F15*SIN(RADIANS(G15))</f>
        <v>144.04089993828947</v>
      </c>
      <c r="I15" s="94">
        <f>(F15/F$20)*S$12</f>
        <v>8.0651211904556111E-2</v>
      </c>
      <c r="J15" s="94">
        <f>H15-I15</f>
        <v>143.96024872638492</v>
      </c>
      <c r="K15" s="94">
        <f>F15*COS(RADIANS(G15))</f>
        <v>-2.3457930359865569</v>
      </c>
      <c r="L15" s="94">
        <f>(F15/F$20)*S$13</f>
        <v>-0.13626078856987758</v>
      </c>
      <c r="M15" s="94">
        <f>K15-L15</f>
        <v>-2.2095322474166794</v>
      </c>
      <c r="N15" s="315"/>
      <c r="O15" s="316"/>
      <c r="P15" s="69"/>
      <c r="Q15" s="18"/>
      <c r="R15" s="103"/>
      <c r="S15" s="104"/>
      <c r="T15" s="77"/>
      <c r="U15" s="105"/>
      <c r="V15" s="18"/>
      <c r="W15" s="18"/>
    </row>
    <row r="16" spans="1:23" ht="14.5" x14ac:dyDescent="0.35">
      <c r="A16" s="18"/>
      <c r="B16" s="74" t="s">
        <v>16</v>
      </c>
      <c r="C16" s="73">
        <f>'Data Lapangan'!O4</f>
        <v>21.186249999999987</v>
      </c>
      <c r="D16" s="75">
        <f>C22</f>
        <v>7.6388888889293105E-4</v>
      </c>
      <c r="E16" s="106">
        <f>C16+D16</f>
        <v>21.187013888888881</v>
      </c>
      <c r="F16" s="96"/>
      <c r="G16" s="93"/>
      <c r="H16" s="99"/>
      <c r="I16" s="94"/>
      <c r="J16" s="94"/>
      <c r="K16" s="94"/>
      <c r="L16" s="94"/>
      <c r="M16" s="94"/>
      <c r="N16" s="315">
        <f>N14+J15</f>
        <v>535392.36775058985</v>
      </c>
      <c r="O16" s="316">
        <f>O14+M15</f>
        <v>9407769.211020574</v>
      </c>
      <c r="P16" s="69"/>
      <c r="Q16" s="18"/>
      <c r="R16" s="103"/>
      <c r="S16" s="104"/>
      <c r="T16" s="77"/>
      <c r="U16" s="105"/>
      <c r="V16" s="18"/>
      <c r="W16" s="18"/>
    </row>
    <row r="17" spans="2:23" ht="14.5" x14ac:dyDescent="0.35">
      <c r="B17" s="74"/>
      <c r="C17" s="69"/>
      <c r="D17" s="75"/>
      <c r="E17" s="75"/>
      <c r="F17" s="98">
        <f>'Data Lapangan'!V64</f>
        <v>87.203999999999994</v>
      </c>
      <c r="G17" s="93">
        <v>249.74600000000001</v>
      </c>
      <c r="H17" s="99">
        <f>F17*SIN(RADIANS(G17))</f>
        <v>-81.811929902029576</v>
      </c>
      <c r="I17" s="94">
        <f>(F17/F$20)*S$12</f>
        <v>4.8820687789288567E-2</v>
      </c>
      <c r="J17" s="94">
        <f>H17-I17</f>
        <v>-81.860750589818863</v>
      </c>
      <c r="K17" s="94">
        <f>F17*COS(RADIANS(G17))</f>
        <v>-30.188503469125433</v>
      </c>
      <c r="L17" s="94">
        <f>(F17/F$20)*S$13</f>
        <v>-8.248289467199503E-2</v>
      </c>
      <c r="M17" s="94">
        <f>K17-L17</f>
        <v>-30.106020574453439</v>
      </c>
      <c r="N17" s="315"/>
      <c r="O17" s="316"/>
      <c r="P17" s="69"/>
      <c r="R17" s="107" t="s">
        <v>90</v>
      </c>
      <c r="S17" s="108">
        <v>1</v>
      </c>
      <c r="T17" s="108" t="s">
        <v>91</v>
      </c>
      <c r="U17" s="109">
        <f>F20/S14</f>
        <v>909.81314634313435</v>
      </c>
    </row>
    <row r="18" spans="2:23" ht="14.25" customHeight="1" x14ac:dyDescent="0.35">
      <c r="B18" s="110" t="s">
        <v>18</v>
      </c>
      <c r="C18" s="69"/>
      <c r="D18" s="75"/>
      <c r="E18" s="75"/>
      <c r="F18" s="99"/>
      <c r="G18" s="93"/>
      <c r="H18" s="99"/>
      <c r="I18" s="94"/>
      <c r="J18" s="94"/>
      <c r="K18" s="94"/>
      <c r="L18" s="94"/>
      <c r="M18" s="94"/>
      <c r="N18" s="315">
        <f>N16+J17</f>
        <v>535310.50699999998</v>
      </c>
      <c r="O18" s="316">
        <f>O16+M17</f>
        <v>9407739.1050000004</v>
      </c>
      <c r="P18" s="69"/>
      <c r="R18" s="409" t="s">
        <v>92</v>
      </c>
      <c r="S18" s="368"/>
      <c r="T18" s="368"/>
      <c r="U18" s="369"/>
    </row>
    <row r="19" spans="2:23" ht="14.5" x14ac:dyDescent="0.35">
      <c r="B19" s="110"/>
      <c r="D19" s="111"/>
      <c r="E19" s="112"/>
      <c r="F19" s="99"/>
      <c r="G19" s="113"/>
      <c r="H19" s="99"/>
      <c r="I19" s="94"/>
      <c r="J19" s="94"/>
      <c r="K19" s="94"/>
      <c r="L19" s="94"/>
      <c r="M19" s="94"/>
      <c r="N19" s="95"/>
      <c r="O19" s="69"/>
      <c r="P19" s="69"/>
      <c r="R19" s="370"/>
      <c r="S19" s="333"/>
      <c r="T19" s="333"/>
      <c r="U19" s="371"/>
    </row>
    <row r="20" spans="2:23" ht="14.5" x14ac:dyDescent="0.35">
      <c r="B20" s="69" t="s">
        <v>93</v>
      </c>
      <c r="C20" s="114">
        <f>SUM(C6:C16)</f>
        <v>719.99541666666664</v>
      </c>
      <c r="D20" s="114">
        <f>SUM(D6:D14)</f>
        <v>3.8194444444646551E-3</v>
      </c>
      <c r="E20" s="93">
        <f>SUM(E6:E18)</f>
        <v>719.99999999999989</v>
      </c>
      <c r="F20" s="115">
        <f>SUM(F7:F19)</f>
        <v>549.125</v>
      </c>
      <c r="G20" s="113"/>
      <c r="H20" s="99">
        <f>SUM(H7:H17)</f>
        <v>0.30742466150971381</v>
      </c>
      <c r="I20" s="94"/>
      <c r="J20" s="94">
        <f>SUM(J7:J18)</f>
        <v>0</v>
      </c>
      <c r="K20" s="113">
        <f>SUM(K7:K17)</f>
        <v>-0.51939612330580331</v>
      </c>
      <c r="L20" s="94"/>
      <c r="M20" s="116">
        <f>SUM(M7:M19)</f>
        <v>0</v>
      </c>
      <c r="N20" s="69"/>
      <c r="O20" s="69"/>
      <c r="P20" s="69"/>
      <c r="W20" s="112">
        <f>S3-S4</f>
        <v>-4.5833333333575865E-3</v>
      </c>
    </row>
    <row r="21" spans="2:23" ht="15.75" customHeight="1" x14ac:dyDescent="0.3">
      <c r="B21" s="117" t="s">
        <v>94</v>
      </c>
      <c r="C21" s="118">
        <f>S4-C20</f>
        <v>4.5833333333575865E-3</v>
      </c>
      <c r="W21" s="25">
        <f>W20/5</f>
        <v>-9.1666666667151726E-4</v>
      </c>
    </row>
    <row r="22" spans="2:23" ht="15.75" customHeight="1" x14ac:dyDescent="0.35">
      <c r="B22" s="117" t="s">
        <v>95</v>
      </c>
      <c r="C22" s="119">
        <f>C21/6</f>
        <v>7.6388888889293105E-4</v>
      </c>
      <c r="N22" s="18" t="s">
        <v>96</v>
      </c>
      <c r="O22" s="18" t="str">
        <f>CONCATENATE(N22,N6,",",O6)</f>
        <v>PO535310,507,9407739,105</v>
      </c>
    </row>
    <row r="23" spans="2:23" ht="15.75" customHeight="1" x14ac:dyDescent="0.3">
      <c r="N23" s="25" t="s">
        <v>96</v>
      </c>
      <c r="O23" s="25" t="str">
        <f>CONCATENATE(N23,N8,",",O8)</f>
        <v>PO535289,268631605,9407680,04042331</v>
      </c>
    </row>
    <row r="24" spans="2:23" ht="15.75" customHeight="1" x14ac:dyDescent="0.3">
      <c r="N24" s="25" t="s">
        <v>96</v>
      </c>
      <c r="O24" s="25" t="str">
        <f>CONCATENATE(N24,N10,",",O10)</f>
        <v>PO535198,528051067,9407664,82834344</v>
      </c>
    </row>
    <row r="25" spans="2:23" ht="15.75" customHeight="1" x14ac:dyDescent="0.3">
      <c r="N25" s="25" t="s">
        <v>96</v>
      </c>
      <c r="O25" s="25" t="str">
        <f>CONCATENATE(N25,N12,",",O12)</f>
        <v>PO535184,085644292,9407761,88749084</v>
      </c>
    </row>
    <row r="26" spans="2:23" ht="15.75" customHeight="1" x14ac:dyDescent="0.3">
      <c r="N26" s="25" t="s">
        <v>96</v>
      </c>
      <c r="O26" s="25" t="str">
        <f>CONCATENATE(N26,N14,",",O14)</f>
        <v>PO535248,407501863,9407771,42055282</v>
      </c>
    </row>
    <row r="27" spans="2:23" ht="15.75" customHeight="1" x14ac:dyDescent="0.3">
      <c r="N27" s="25" t="s">
        <v>96</v>
      </c>
      <c r="O27" s="25" t="str">
        <f>CONCATENATE(N27,N16,",",O16)</f>
        <v>PO535392,36775059,9407769,21102057</v>
      </c>
    </row>
    <row r="28" spans="2:23" ht="15.75" customHeight="1" x14ac:dyDescent="0.3">
      <c r="N28" s="25" t="s">
        <v>96</v>
      </c>
      <c r="O28" s="25" t="str">
        <f>CONCATENATE(N28,N18,",",O18)</f>
        <v>PO535310,507,9407739,105</v>
      </c>
    </row>
    <row r="29" spans="2:23" ht="15.75" customHeight="1" x14ac:dyDescent="0.3"/>
    <row r="30" spans="2:23" ht="15.75" customHeight="1" x14ac:dyDescent="0.3"/>
    <row r="31" spans="2:23" ht="15.75" customHeight="1" x14ac:dyDescent="0.3"/>
    <row r="32" spans="2:23" ht="15.75" customHeight="1" x14ac:dyDescent="0.3"/>
    <row r="33" spans="20:21" ht="15.75" customHeight="1" x14ac:dyDescent="0.3"/>
    <row r="34" spans="20:21" ht="15.75" customHeight="1" x14ac:dyDescent="0.3">
      <c r="T34" s="120"/>
      <c r="U34" s="120"/>
    </row>
    <row r="35" spans="20:21" ht="15.75" customHeight="1" x14ac:dyDescent="0.3"/>
    <row r="36" spans="20:21" ht="15.75" customHeight="1" x14ac:dyDescent="0.3"/>
    <row r="37" spans="20:21" ht="15.75" customHeight="1" x14ac:dyDescent="0.3"/>
    <row r="38" spans="20:21" ht="15.75" customHeight="1" x14ac:dyDescent="0.3"/>
    <row r="39" spans="20:21" ht="15.75" customHeight="1" x14ac:dyDescent="0.3"/>
    <row r="40" spans="20:21" ht="15.75" customHeight="1" x14ac:dyDescent="0.3"/>
    <row r="41" spans="20:21" ht="15.75" customHeight="1" x14ac:dyDescent="0.3"/>
    <row r="42" spans="20:21" ht="15.75" customHeight="1" x14ac:dyDescent="0.3"/>
    <row r="43" spans="20:21" ht="15.75" customHeight="1" x14ac:dyDescent="0.3"/>
    <row r="44" spans="20:21" ht="15.75" customHeight="1" x14ac:dyDescent="0.3"/>
    <row r="45" spans="20:21" ht="15.75" customHeight="1" x14ac:dyDescent="0.3"/>
    <row r="46" spans="20:21" ht="15.75" customHeight="1" x14ac:dyDescent="0.3"/>
    <row r="47" spans="20:21" ht="15.75" customHeight="1" x14ac:dyDescent="0.3"/>
    <row r="48" spans="20:21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spans="7:7" ht="15.75" customHeight="1" x14ac:dyDescent="0.3"/>
    <row r="66" spans="7:7" ht="15.75" customHeight="1" x14ac:dyDescent="0.3"/>
    <row r="67" spans="7:7" ht="15.75" customHeight="1" x14ac:dyDescent="0.3"/>
    <row r="68" spans="7:7" ht="15.75" customHeight="1" x14ac:dyDescent="0.3"/>
    <row r="69" spans="7:7" ht="15.75" customHeight="1" x14ac:dyDescent="0.3"/>
    <row r="70" spans="7:7" ht="15.75" customHeight="1" x14ac:dyDescent="0.3"/>
    <row r="71" spans="7:7" ht="15.75" customHeight="1" x14ac:dyDescent="0.3"/>
    <row r="72" spans="7:7" ht="15.75" customHeight="1" x14ac:dyDescent="0.3"/>
    <row r="73" spans="7:7" ht="15.75" customHeight="1" x14ac:dyDescent="0.3"/>
    <row r="74" spans="7:7" ht="15.75" customHeight="1" x14ac:dyDescent="0.3"/>
    <row r="75" spans="7:7" ht="15.75" customHeight="1" x14ac:dyDescent="0.3"/>
    <row r="76" spans="7:7" ht="15.75" customHeight="1" x14ac:dyDescent="0.3"/>
    <row r="77" spans="7:7" ht="15.75" customHeight="1" x14ac:dyDescent="0.3"/>
    <row r="78" spans="7:7" ht="15.75" customHeight="1" x14ac:dyDescent="0.3"/>
    <row r="79" spans="7:7" ht="15.75" customHeight="1" x14ac:dyDescent="0.3"/>
    <row r="80" spans="7:7" ht="15.75" customHeight="1" x14ac:dyDescent="0.3">
      <c r="G80" s="25" t="s">
        <v>97</v>
      </c>
    </row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spans="7:7" ht="15.75" customHeight="1" x14ac:dyDescent="0.3"/>
    <row r="98" spans="7:7" ht="15.75" customHeight="1" x14ac:dyDescent="0.3"/>
    <row r="99" spans="7:7" ht="15.75" customHeight="1" x14ac:dyDescent="0.3"/>
    <row r="100" spans="7:7" ht="15.75" customHeight="1" x14ac:dyDescent="0.3">
      <c r="G100" s="25" t="s">
        <v>98</v>
      </c>
    </row>
    <row r="101" spans="7:7" ht="15.75" customHeight="1" x14ac:dyDescent="0.3"/>
    <row r="102" spans="7:7" ht="15.75" customHeight="1" x14ac:dyDescent="0.3"/>
    <row r="103" spans="7:7" ht="15.75" customHeight="1" x14ac:dyDescent="0.3"/>
    <row r="104" spans="7:7" ht="15.75" customHeight="1" x14ac:dyDescent="0.3"/>
    <row r="105" spans="7:7" ht="15.75" customHeight="1" x14ac:dyDescent="0.3"/>
    <row r="106" spans="7:7" ht="15.75" customHeight="1" x14ac:dyDescent="0.3"/>
    <row r="107" spans="7:7" ht="15.75" customHeight="1" x14ac:dyDescent="0.3"/>
    <row r="108" spans="7:7" ht="15.75" customHeight="1" x14ac:dyDescent="0.3"/>
    <row r="109" spans="7:7" ht="15.75" customHeight="1" x14ac:dyDescent="0.3"/>
    <row r="110" spans="7:7" ht="15.75" customHeight="1" x14ac:dyDescent="0.3"/>
    <row r="111" spans="7:7" ht="15.75" customHeight="1" x14ac:dyDescent="0.3"/>
    <row r="112" spans="7:7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</sheetData>
  <mergeCells count="23">
    <mergeCell ref="H3:J3"/>
    <mergeCell ref="K3:M3"/>
    <mergeCell ref="F3:F4"/>
    <mergeCell ref="G3:G4"/>
    <mergeCell ref="R2:U2"/>
    <mergeCell ref="B2:P2"/>
    <mergeCell ref="B3:B4"/>
    <mergeCell ref="C3:C4"/>
    <mergeCell ref="D3:D4"/>
    <mergeCell ref="E3:E4"/>
    <mergeCell ref="S3:U3"/>
    <mergeCell ref="S4:U4"/>
    <mergeCell ref="N3:P3"/>
    <mergeCell ref="R18:U19"/>
    <mergeCell ref="S6:U6"/>
    <mergeCell ref="S7:U7"/>
    <mergeCell ref="S8:U8"/>
    <mergeCell ref="S9:U9"/>
    <mergeCell ref="S10:U10"/>
    <mergeCell ref="R11:U11"/>
    <mergeCell ref="S12:U12"/>
    <mergeCell ref="S13:U13"/>
    <mergeCell ref="S14:U14"/>
  </mergeCells>
  <pageMargins left="0.7" right="0.7" top="0.75" bottom="0.75" header="0" footer="0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4:AF341"/>
  <sheetViews>
    <sheetView workbookViewId="0"/>
  </sheetViews>
  <sheetFormatPr defaultColWidth="14.33203125" defaultRowHeight="15" customHeight="1" x14ac:dyDescent="0.3"/>
  <cols>
    <col min="1" max="31" width="8.75" customWidth="1"/>
    <col min="32" max="32" width="12.58203125" customWidth="1"/>
  </cols>
  <sheetData>
    <row r="4" spans="2:32" ht="14.5" x14ac:dyDescent="0.35"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</row>
    <row r="5" spans="2:32" ht="15.5" x14ac:dyDescent="0.35">
      <c r="B5" s="18"/>
      <c r="C5" s="425" t="s">
        <v>99</v>
      </c>
      <c r="D5" s="425" t="s">
        <v>100</v>
      </c>
      <c r="E5" s="427" t="s">
        <v>101</v>
      </c>
      <c r="F5" s="428" t="s">
        <v>2</v>
      </c>
      <c r="G5" s="429"/>
      <c r="H5" s="430"/>
      <c r="I5" s="431" t="s">
        <v>102</v>
      </c>
      <c r="J5" s="431" t="s">
        <v>103</v>
      </c>
      <c r="K5" s="425" t="s">
        <v>104</v>
      </c>
      <c r="L5" s="436" t="s">
        <v>105</v>
      </c>
      <c r="M5" s="429"/>
      <c r="N5" s="430"/>
      <c r="O5" s="436" t="s">
        <v>22</v>
      </c>
      <c r="P5" s="429"/>
      <c r="Q5" s="430"/>
      <c r="R5" s="437" t="s">
        <v>106</v>
      </c>
      <c r="S5" s="431" t="s">
        <v>107</v>
      </c>
      <c r="T5" s="431" t="s">
        <v>108</v>
      </c>
      <c r="U5" s="431" t="s">
        <v>109</v>
      </c>
      <c r="V5" s="431" t="s">
        <v>110</v>
      </c>
      <c r="W5" s="427" t="s">
        <v>111</v>
      </c>
      <c r="X5" s="18"/>
      <c r="Y5" s="18"/>
      <c r="Z5" s="18"/>
      <c r="AA5" s="18"/>
      <c r="AB5" s="18"/>
      <c r="AC5" s="18"/>
      <c r="AD5" s="18"/>
      <c r="AE5" s="18"/>
      <c r="AF5" s="18"/>
    </row>
    <row r="6" spans="2:32" ht="15.5" x14ac:dyDescent="0.35">
      <c r="B6" s="18"/>
      <c r="C6" s="426"/>
      <c r="D6" s="426"/>
      <c r="E6" s="426"/>
      <c r="F6" s="121" t="s">
        <v>10</v>
      </c>
      <c r="G6" s="121" t="s">
        <v>14</v>
      </c>
      <c r="H6" s="121" t="s">
        <v>12</v>
      </c>
      <c r="I6" s="426"/>
      <c r="J6" s="426"/>
      <c r="K6" s="426"/>
      <c r="L6" s="122" t="s">
        <v>112</v>
      </c>
      <c r="M6" s="122" t="s">
        <v>113</v>
      </c>
      <c r="N6" s="123" t="s">
        <v>114</v>
      </c>
      <c r="O6" s="122" t="s">
        <v>10</v>
      </c>
      <c r="P6" s="122" t="s">
        <v>11</v>
      </c>
      <c r="Q6" s="123" t="s">
        <v>12</v>
      </c>
      <c r="R6" s="339"/>
      <c r="S6" s="426"/>
      <c r="T6" s="426"/>
      <c r="U6" s="426"/>
      <c r="V6" s="426"/>
      <c r="W6" s="426"/>
      <c r="X6" s="18"/>
      <c r="Y6" s="18"/>
      <c r="Z6" s="18"/>
      <c r="AA6" s="18"/>
      <c r="AB6" s="18"/>
      <c r="AC6" s="18"/>
      <c r="AD6" s="18"/>
      <c r="AE6" s="18"/>
      <c r="AF6" s="18"/>
    </row>
    <row r="7" spans="2:32" ht="14.5" x14ac:dyDescent="0.35">
      <c r="B7" s="18"/>
      <c r="C7" s="124" t="s">
        <v>16</v>
      </c>
      <c r="D7" s="125"/>
      <c r="E7" s="126"/>
      <c r="F7" s="127">
        <v>0</v>
      </c>
      <c r="G7" s="126">
        <v>0</v>
      </c>
      <c r="H7" s="128">
        <v>0</v>
      </c>
      <c r="I7" s="129">
        <f t="shared" ref="I7:I72" si="0">F7+G7/60+H7/3600</f>
        <v>0</v>
      </c>
      <c r="J7" s="130"/>
      <c r="K7" s="131">
        <f>'Data Lapangan'!H5</f>
        <v>255.72916666666666</v>
      </c>
      <c r="L7" s="132"/>
      <c r="M7" s="132"/>
      <c r="N7" s="132"/>
      <c r="O7" s="133"/>
      <c r="P7" s="126"/>
      <c r="Q7" s="127"/>
      <c r="R7" s="127"/>
      <c r="S7" s="134"/>
      <c r="T7" s="134"/>
      <c r="U7" s="92">
        <v>535238.19999999995</v>
      </c>
      <c r="V7" s="92">
        <v>9407742.7799999993</v>
      </c>
      <c r="W7" s="58">
        <f>'Data Lapangan'!Z97</f>
        <v>1056899.7338125</v>
      </c>
      <c r="X7" s="18"/>
      <c r="Y7" s="18"/>
      <c r="Z7" s="135" t="str">
        <f t="shared" ref="Z7:Z72" si="1">CONCATENATE("po ",U7,",",V7)</f>
        <v>po 535238,2,9407742,78</v>
      </c>
      <c r="AA7" s="135"/>
      <c r="AB7" s="135"/>
      <c r="AC7" s="135"/>
      <c r="AD7" s="18"/>
      <c r="AE7" s="18"/>
      <c r="AF7" s="18"/>
    </row>
    <row r="8" spans="2:32" ht="14.5" x14ac:dyDescent="0.35">
      <c r="B8" s="18"/>
      <c r="C8" s="136" t="s">
        <v>115</v>
      </c>
      <c r="D8" s="432">
        <v>1.44</v>
      </c>
      <c r="E8" s="137">
        <v>175</v>
      </c>
      <c r="F8" s="138">
        <v>187</v>
      </c>
      <c r="G8" s="139">
        <v>2</v>
      </c>
      <c r="H8" s="138">
        <v>2</v>
      </c>
      <c r="I8" s="134">
        <f t="shared" si="0"/>
        <v>187.0338888888889</v>
      </c>
      <c r="J8" s="140">
        <f t="shared" ref="J8:J72" si="2">IF((I8-$H$5)&lt;0,(I8-$H$5)+360,(I8-$H$5))</f>
        <v>187.0338888888889</v>
      </c>
      <c r="K8" s="141">
        <f t="shared" ref="K8:K61" si="3">IF($K$7+I8&gt;=360,$K$7+I8-360,IF($K$7+I8&lt;360,$K$7+I8))</f>
        <v>82.763055555555525</v>
      </c>
      <c r="L8" s="142">
        <v>8.5649999999999995</v>
      </c>
      <c r="M8" s="143">
        <v>-0.108</v>
      </c>
      <c r="N8" s="143">
        <v>8.5640000000000001</v>
      </c>
      <c r="O8" s="144">
        <v>90</v>
      </c>
      <c r="P8" s="145">
        <v>43</v>
      </c>
      <c r="Q8" s="138">
        <v>25</v>
      </c>
      <c r="R8" s="138"/>
      <c r="S8" s="134">
        <f t="shared" ref="S8:S72" si="4">(SIN(RADIANS((K8)))*L8)</f>
        <v>8.4967684686018661</v>
      </c>
      <c r="T8" s="134">
        <f t="shared" ref="T8:T72" si="5">COS(RADIANS(K8))*L8</f>
        <v>1.0789581043641523</v>
      </c>
      <c r="U8" s="134">
        <f t="shared" ref="U8:V8" si="6">U$7+S8</f>
        <v>535246.6967684686</v>
      </c>
      <c r="V8" s="134">
        <f t="shared" si="6"/>
        <v>9407743.8589581028</v>
      </c>
      <c r="W8" s="146"/>
      <c r="X8" s="18"/>
      <c r="Y8" s="18"/>
      <c r="Z8" s="135" t="str">
        <f t="shared" si="1"/>
        <v>po 535246,696768469,9407743,8589581</v>
      </c>
      <c r="AA8" s="135"/>
      <c r="AB8" s="135"/>
      <c r="AC8" s="135"/>
      <c r="AD8" s="18"/>
      <c r="AE8" s="18"/>
      <c r="AF8" s="18"/>
    </row>
    <row r="9" spans="2:32" ht="14.5" x14ac:dyDescent="0.35">
      <c r="B9" s="18"/>
      <c r="C9" s="147" t="s">
        <v>116</v>
      </c>
      <c r="D9" s="433"/>
      <c r="E9" s="137">
        <v>175</v>
      </c>
      <c r="F9" s="148">
        <v>186</v>
      </c>
      <c r="G9" s="145">
        <v>19</v>
      </c>
      <c r="H9" s="148">
        <v>19</v>
      </c>
      <c r="I9" s="134">
        <f t="shared" si="0"/>
        <v>186.32194444444445</v>
      </c>
      <c r="J9" s="140">
        <f t="shared" si="2"/>
        <v>186.32194444444445</v>
      </c>
      <c r="K9" s="141">
        <f t="shared" si="3"/>
        <v>82.05111111111114</v>
      </c>
      <c r="L9" s="149">
        <v>8.5180000000000007</v>
      </c>
      <c r="M9" s="150">
        <v>0.13100000000000001</v>
      </c>
      <c r="N9" s="150">
        <v>8.5169999999999995</v>
      </c>
      <c r="O9" s="151">
        <v>89</v>
      </c>
      <c r="P9" s="152">
        <v>7</v>
      </c>
      <c r="Q9" s="148">
        <v>9</v>
      </c>
      <c r="R9" s="153"/>
      <c r="S9" s="134">
        <f t="shared" si="4"/>
        <v>8.4361575660087347</v>
      </c>
      <c r="T9" s="134">
        <f t="shared" si="5"/>
        <v>1.1779514087913834</v>
      </c>
      <c r="U9" s="134">
        <f t="shared" ref="U9:V9" si="7">U$7+S9</f>
        <v>535246.63615756598</v>
      </c>
      <c r="V9" s="134">
        <f t="shared" si="7"/>
        <v>9407743.9579514079</v>
      </c>
      <c r="W9" s="146">
        <f t="shared" ref="W9:W61" si="8">(D9+M9-E9)+$W$7</f>
        <v>1056724.8648125001</v>
      </c>
      <c r="X9" s="18"/>
      <c r="Y9" s="18"/>
      <c r="Z9" s="135" t="str">
        <f t="shared" si="1"/>
        <v>po 535246,636157566,9407743,95795141</v>
      </c>
      <c r="AA9" s="135"/>
      <c r="AB9" s="135"/>
      <c r="AC9" s="135"/>
      <c r="AD9" s="18"/>
      <c r="AE9" s="18"/>
      <c r="AF9" s="18"/>
    </row>
    <row r="10" spans="2:32" ht="14.5" x14ac:dyDescent="0.35">
      <c r="B10" s="18"/>
      <c r="C10" s="136" t="s">
        <v>117</v>
      </c>
      <c r="D10" s="433"/>
      <c r="E10" s="137">
        <v>175</v>
      </c>
      <c r="F10" s="154">
        <v>244</v>
      </c>
      <c r="G10" s="152">
        <v>55</v>
      </c>
      <c r="H10" s="154">
        <v>57</v>
      </c>
      <c r="I10" s="134">
        <f t="shared" si="0"/>
        <v>244.9325</v>
      </c>
      <c r="J10" s="140">
        <f t="shared" si="2"/>
        <v>244.9325</v>
      </c>
      <c r="K10" s="141">
        <f t="shared" si="3"/>
        <v>140.66166666666663</v>
      </c>
      <c r="L10" s="155">
        <v>11.362</v>
      </c>
      <c r="M10" s="156">
        <v>4.0000000000000001E-3</v>
      </c>
      <c r="N10" s="156">
        <v>11.362</v>
      </c>
      <c r="O10" s="157">
        <v>89</v>
      </c>
      <c r="P10" s="158">
        <v>58</v>
      </c>
      <c r="Q10" s="154">
        <v>53</v>
      </c>
      <c r="R10" s="159"/>
      <c r="S10" s="134">
        <f t="shared" si="4"/>
        <v>7.2023543379125741</v>
      </c>
      <c r="T10" s="134">
        <f t="shared" si="5"/>
        <v>-8.787555746119164</v>
      </c>
      <c r="U10" s="134">
        <f t="shared" ref="U10:V10" si="9">U$7+S10</f>
        <v>535245.40235433786</v>
      </c>
      <c r="V10" s="134">
        <f t="shared" si="9"/>
        <v>9407733.9924442526</v>
      </c>
      <c r="W10" s="146">
        <f t="shared" si="8"/>
        <v>1056724.7378125</v>
      </c>
      <c r="X10" s="18"/>
      <c r="Y10" s="18"/>
      <c r="Z10" s="135" t="str">
        <f t="shared" si="1"/>
        <v>po 535245,402354338,9407733,99244425</v>
      </c>
      <c r="AA10" s="135"/>
      <c r="AB10" s="135"/>
      <c r="AC10" s="135"/>
      <c r="AD10" s="18"/>
      <c r="AE10" s="18"/>
      <c r="AF10" s="18"/>
    </row>
    <row r="11" spans="2:32" ht="14.5" x14ac:dyDescent="0.35">
      <c r="B11" s="18"/>
      <c r="C11" s="136" t="s">
        <v>118</v>
      </c>
      <c r="D11" s="433"/>
      <c r="E11" s="137">
        <v>175</v>
      </c>
      <c r="F11" s="160">
        <v>225</v>
      </c>
      <c r="G11" s="158">
        <v>10</v>
      </c>
      <c r="H11" s="160">
        <v>11</v>
      </c>
      <c r="I11" s="134">
        <f t="shared" si="0"/>
        <v>225.16972222222222</v>
      </c>
      <c r="J11" s="140">
        <f t="shared" si="2"/>
        <v>225.16972222222222</v>
      </c>
      <c r="K11" s="141">
        <f t="shared" si="3"/>
        <v>120.89888888888891</v>
      </c>
      <c r="L11" s="161">
        <v>11.439</v>
      </c>
      <c r="M11" s="162">
        <v>0.246</v>
      </c>
      <c r="N11" s="162">
        <v>11.430999999999999</v>
      </c>
      <c r="O11" s="163">
        <v>88</v>
      </c>
      <c r="P11" s="145">
        <v>45</v>
      </c>
      <c r="Q11" s="160">
        <v>59</v>
      </c>
      <c r="R11" s="159"/>
      <c r="S11" s="134">
        <f t="shared" si="4"/>
        <v>9.8155183742752801</v>
      </c>
      <c r="T11" s="134">
        <f t="shared" si="5"/>
        <v>-5.8742080354941777</v>
      </c>
      <c r="U11" s="134">
        <f t="shared" ref="U11:V11" si="10">U$7+S11</f>
        <v>535248.01551837428</v>
      </c>
      <c r="V11" s="134">
        <f t="shared" si="10"/>
        <v>9407736.9057919644</v>
      </c>
      <c r="W11" s="146">
        <f t="shared" si="8"/>
        <v>1056724.9798125001</v>
      </c>
      <c r="X11" s="18"/>
      <c r="Y11" s="18"/>
      <c r="Z11" s="135" t="str">
        <f t="shared" si="1"/>
        <v>po 535248,015518374,9407736,90579196</v>
      </c>
      <c r="AA11" s="135"/>
      <c r="AB11" s="135"/>
      <c r="AC11" s="135"/>
      <c r="AD11" s="18"/>
      <c r="AE11" s="18"/>
      <c r="AF11" s="18"/>
    </row>
    <row r="12" spans="2:32" ht="14.5" x14ac:dyDescent="0.35">
      <c r="B12" s="18"/>
      <c r="C12" s="147" t="s">
        <v>119</v>
      </c>
      <c r="D12" s="433"/>
      <c r="E12" s="137">
        <v>175</v>
      </c>
      <c r="F12" s="148">
        <v>235</v>
      </c>
      <c r="G12" s="145">
        <v>34</v>
      </c>
      <c r="H12" s="148">
        <v>34</v>
      </c>
      <c r="I12" s="134">
        <f t="shared" si="0"/>
        <v>235.57611111111112</v>
      </c>
      <c r="J12" s="140">
        <f t="shared" si="2"/>
        <v>235.57611111111112</v>
      </c>
      <c r="K12" s="141">
        <f t="shared" si="3"/>
        <v>131.30527777777775</v>
      </c>
      <c r="L12" s="149">
        <v>11.448</v>
      </c>
      <c r="M12" s="150">
        <v>1.2E-2</v>
      </c>
      <c r="N12" s="150">
        <v>11.448</v>
      </c>
      <c r="O12" s="151">
        <v>89</v>
      </c>
      <c r="P12" s="158">
        <v>56</v>
      </c>
      <c r="Q12" s="148">
        <v>31</v>
      </c>
      <c r="R12" s="153"/>
      <c r="S12" s="134">
        <f t="shared" si="4"/>
        <v>8.5997757736658667</v>
      </c>
      <c r="T12" s="134">
        <f t="shared" si="5"/>
        <v>-7.5564912917748828</v>
      </c>
      <c r="U12" s="134">
        <f t="shared" ref="U12:V12" si="11">U$7+S12</f>
        <v>535246.79977577366</v>
      </c>
      <c r="V12" s="134">
        <f t="shared" si="11"/>
        <v>9407735.2235087082</v>
      </c>
      <c r="W12" s="146">
        <f t="shared" si="8"/>
        <v>1056724.7458125001</v>
      </c>
      <c r="X12" s="18"/>
      <c r="Y12" s="18"/>
      <c r="Z12" s="135" t="str">
        <f t="shared" si="1"/>
        <v>po 535246,799775774,9407735,22350871</v>
      </c>
      <c r="AA12" s="135"/>
      <c r="AB12" s="135"/>
      <c r="AC12" s="135"/>
      <c r="AD12" s="18"/>
      <c r="AE12" s="18"/>
      <c r="AF12" s="18"/>
    </row>
    <row r="13" spans="2:32" ht="14.5" x14ac:dyDescent="0.35">
      <c r="B13" s="18"/>
      <c r="C13" s="136" t="s">
        <v>120</v>
      </c>
      <c r="D13" s="433"/>
      <c r="E13" s="137">
        <v>175</v>
      </c>
      <c r="F13" s="160">
        <v>235</v>
      </c>
      <c r="G13" s="158">
        <v>17</v>
      </c>
      <c r="H13" s="160">
        <v>18</v>
      </c>
      <c r="I13" s="134">
        <f t="shared" si="0"/>
        <v>235.28833333333333</v>
      </c>
      <c r="J13" s="140">
        <f t="shared" si="2"/>
        <v>235.28833333333333</v>
      </c>
      <c r="K13" s="141">
        <f t="shared" si="3"/>
        <v>131.01749999999998</v>
      </c>
      <c r="L13" s="161">
        <v>11.404999999999999</v>
      </c>
      <c r="M13" s="162">
        <v>0.224</v>
      </c>
      <c r="N13" s="162">
        <v>11.403</v>
      </c>
      <c r="O13" s="163">
        <v>89</v>
      </c>
      <c r="P13" s="145">
        <v>52</v>
      </c>
      <c r="Q13" s="160">
        <v>28</v>
      </c>
      <c r="R13" s="159"/>
      <c r="S13" s="134">
        <f t="shared" si="4"/>
        <v>8.6051770062423625</v>
      </c>
      <c r="T13" s="134">
        <f t="shared" si="5"/>
        <v>-7.4849818764802452</v>
      </c>
      <c r="U13" s="134">
        <f t="shared" ref="U13:V13" si="12">U$7+S13</f>
        <v>535246.80517700617</v>
      </c>
      <c r="V13" s="134">
        <f t="shared" si="12"/>
        <v>9407735.2950181235</v>
      </c>
      <c r="W13" s="146">
        <f t="shared" si="8"/>
        <v>1056724.9578125</v>
      </c>
      <c r="X13" s="18"/>
      <c r="Y13" s="18"/>
      <c r="Z13" s="135" t="str">
        <f t="shared" si="1"/>
        <v>po 535246,805177006,9407735,29501812</v>
      </c>
      <c r="AA13" s="135"/>
      <c r="AB13" s="135"/>
      <c r="AC13" s="135"/>
      <c r="AD13" s="18"/>
      <c r="AE13" s="18"/>
      <c r="AF13" s="18"/>
    </row>
    <row r="14" spans="2:32" ht="14.5" x14ac:dyDescent="0.35">
      <c r="B14" s="18"/>
      <c r="C14" s="147" t="s">
        <v>121</v>
      </c>
      <c r="D14" s="433"/>
      <c r="E14" s="137">
        <v>175</v>
      </c>
      <c r="F14" s="148">
        <v>245</v>
      </c>
      <c r="G14" s="145">
        <v>33</v>
      </c>
      <c r="H14" s="148">
        <v>34</v>
      </c>
      <c r="I14" s="134">
        <f t="shared" si="0"/>
        <v>245.55944444444447</v>
      </c>
      <c r="J14" s="140">
        <f t="shared" si="2"/>
        <v>245.55944444444447</v>
      </c>
      <c r="K14" s="141">
        <f t="shared" si="3"/>
        <v>141.28861111111109</v>
      </c>
      <c r="L14" s="149">
        <v>18.114999999999998</v>
      </c>
      <c r="M14" s="150">
        <v>-0.28499999999999998</v>
      </c>
      <c r="N14" s="150">
        <v>18.113</v>
      </c>
      <c r="O14" s="151">
        <v>90</v>
      </c>
      <c r="P14" s="158">
        <v>54</v>
      </c>
      <c r="Q14" s="148">
        <v>0</v>
      </c>
      <c r="R14" s="153"/>
      <c r="S14" s="134">
        <f t="shared" si="4"/>
        <v>11.329080657017471</v>
      </c>
      <c r="T14" s="134">
        <f t="shared" si="5"/>
        <v>-14.135245185945397</v>
      </c>
      <c r="U14" s="134">
        <f t="shared" ref="U14:V14" si="13">U$7+S14</f>
        <v>535249.52908065694</v>
      </c>
      <c r="V14" s="134">
        <f t="shared" si="13"/>
        <v>9407728.644754814</v>
      </c>
      <c r="W14" s="146">
        <f t="shared" si="8"/>
        <v>1056724.4488125001</v>
      </c>
      <c r="X14" s="18"/>
      <c r="Y14" s="18"/>
      <c r="Z14" s="135" t="str">
        <f t="shared" si="1"/>
        <v>po 535249,529080657,9407728,64475481</v>
      </c>
      <c r="AA14" s="135"/>
      <c r="AB14" s="135"/>
      <c r="AC14" s="135"/>
      <c r="AD14" s="18"/>
      <c r="AE14" s="18"/>
      <c r="AF14" s="18"/>
    </row>
    <row r="15" spans="2:32" ht="14.5" x14ac:dyDescent="0.35">
      <c r="B15" s="18"/>
      <c r="C15" s="136" t="s">
        <v>122</v>
      </c>
      <c r="D15" s="433"/>
      <c r="E15" s="137">
        <v>175</v>
      </c>
      <c r="F15" s="160">
        <v>245</v>
      </c>
      <c r="G15" s="158">
        <v>44</v>
      </c>
      <c r="H15" s="160">
        <v>43</v>
      </c>
      <c r="I15" s="134">
        <f t="shared" si="0"/>
        <v>245.74527777777777</v>
      </c>
      <c r="J15" s="140">
        <f t="shared" si="2"/>
        <v>245.74527777777777</v>
      </c>
      <c r="K15" s="141">
        <f t="shared" si="3"/>
        <v>141.47444444444443</v>
      </c>
      <c r="L15" s="161">
        <v>18.148</v>
      </c>
      <c r="M15" s="162">
        <v>-0.13800000000000001</v>
      </c>
      <c r="N15" s="162">
        <v>18.146999999999998</v>
      </c>
      <c r="O15" s="163">
        <v>90</v>
      </c>
      <c r="P15" s="145">
        <v>26</v>
      </c>
      <c r="Q15" s="160">
        <v>14</v>
      </c>
      <c r="R15" s="159"/>
      <c r="S15" s="134">
        <f t="shared" si="4"/>
        <v>11.303729344420795</v>
      </c>
      <c r="T15" s="134">
        <f t="shared" si="5"/>
        <v>-14.197732456560809</v>
      </c>
      <c r="U15" s="134">
        <f t="shared" ref="U15:V15" si="14">U$7+S15</f>
        <v>535249.50372934435</v>
      </c>
      <c r="V15" s="134">
        <f t="shared" si="14"/>
        <v>9407728.5822675433</v>
      </c>
      <c r="W15" s="146">
        <f t="shared" si="8"/>
        <v>1056724.5958125</v>
      </c>
      <c r="X15" s="18"/>
      <c r="Y15" s="18"/>
      <c r="Z15" s="135" t="str">
        <f t="shared" si="1"/>
        <v>po 535249,503729344,9407728,58226754</v>
      </c>
      <c r="AA15" s="135"/>
      <c r="AB15" s="135"/>
      <c r="AC15" s="135"/>
      <c r="AD15" s="18"/>
      <c r="AE15" s="18"/>
      <c r="AF15" s="18"/>
    </row>
    <row r="16" spans="2:32" ht="14.5" x14ac:dyDescent="0.35">
      <c r="B16" s="18"/>
      <c r="C16" s="147" t="s">
        <v>123</v>
      </c>
      <c r="D16" s="433"/>
      <c r="E16" s="137">
        <v>175</v>
      </c>
      <c r="F16" s="148">
        <v>255</v>
      </c>
      <c r="G16" s="145">
        <v>54</v>
      </c>
      <c r="H16" s="148">
        <v>53</v>
      </c>
      <c r="I16" s="134">
        <f t="shared" si="0"/>
        <v>255.91472222222222</v>
      </c>
      <c r="J16" s="140">
        <f t="shared" si="2"/>
        <v>255.91472222222222</v>
      </c>
      <c r="K16" s="141">
        <f t="shared" si="3"/>
        <v>151.64388888888891</v>
      </c>
      <c r="L16" s="149">
        <v>17.125</v>
      </c>
      <c r="M16" s="150">
        <v>-0.154</v>
      </c>
      <c r="N16" s="150">
        <v>17.123999999999999</v>
      </c>
      <c r="O16" s="151">
        <v>91</v>
      </c>
      <c r="P16" s="158">
        <v>30</v>
      </c>
      <c r="Q16" s="148">
        <v>59</v>
      </c>
      <c r="R16" s="153"/>
      <c r="S16" s="134">
        <f t="shared" si="4"/>
        <v>8.133523097170885</v>
      </c>
      <c r="T16" s="134">
        <f t="shared" si="5"/>
        <v>-15.070216555437673</v>
      </c>
      <c r="U16" s="134">
        <f t="shared" ref="U16:V16" si="15">U$7+S16</f>
        <v>535246.3335230971</v>
      </c>
      <c r="V16" s="134">
        <f t="shared" si="15"/>
        <v>9407727.7097834442</v>
      </c>
      <c r="W16" s="146">
        <f t="shared" si="8"/>
        <v>1056724.5798124999</v>
      </c>
      <c r="X16" s="18"/>
      <c r="Y16" s="18"/>
      <c r="Z16" s="135" t="str">
        <f t="shared" si="1"/>
        <v>po 535246,333523097,9407727,70978344</v>
      </c>
      <c r="AA16" s="135"/>
      <c r="AB16" s="135"/>
      <c r="AC16" s="135"/>
      <c r="AD16" s="18"/>
      <c r="AE16" s="18"/>
      <c r="AF16" s="18"/>
    </row>
    <row r="17" spans="2:32" ht="14.5" x14ac:dyDescent="0.35">
      <c r="B17" s="18"/>
      <c r="C17" s="136" t="s">
        <v>124</v>
      </c>
      <c r="D17" s="433"/>
      <c r="E17" s="137">
        <v>175</v>
      </c>
      <c r="F17" s="160">
        <v>284</v>
      </c>
      <c r="G17" s="158">
        <v>35</v>
      </c>
      <c r="H17" s="160">
        <v>35</v>
      </c>
      <c r="I17" s="134">
        <f t="shared" si="0"/>
        <v>284.59305555555551</v>
      </c>
      <c r="J17" s="140">
        <f t="shared" si="2"/>
        <v>284.59305555555551</v>
      </c>
      <c r="K17" s="141">
        <f t="shared" si="3"/>
        <v>180.32222222222219</v>
      </c>
      <c r="L17" s="161">
        <v>17.312000000000001</v>
      </c>
      <c r="M17" s="162">
        <v>-5.5E-2</v>
      </c>
      <c r="N17" s="162">
        <v>17.312000000000001</v>
      </c>
      <c r="O17" s="163">
        <v>90</v>
      </c>
      <c r="P17" s="145">
        <v>10</v>
      </c>
      <c r="Q17" s="160">
        <v>51</v>
      </c>
      <c r="R17" s="159"/>
      <c r="S17" s="134">
        <f t="shared" si="4"/>
        <v>-9.7359382380919915E-2</v>
      </c>
      <c r="T17" s="134">
        <f t="shared" si="5"/>
        <v>-17.311726232547187</v>
      </c>
      <c r="U17" s="134">
        <f t="shared" ref="U17:V17" si="16">U$7+S17</f>
        <v>535238.10264061752</v>
      </c>
      <c r="V17" s="134">
        <f t="shared" si="16"/>
        <v>9407725.4682737663</v>
      </c>
      <c r="W17" s="146">
        <f t="shared" si="8"/>
        <v>1056724.6788125001</v>
      </c>
      <c r="X17" s="18"/>
      <c r="Y17" s="18"/>
      <c r="Z17" s="135" t="str">
        <f t="shared" si="1"/>
        <v>po 535238,102640618,9407725,46827377</v>
      </c>
      <c r="AA17" s="135"/>
      <c r="AB17" s="135"/>
      <c r="AC17" s="135"/>
      <c r="AD17" s="18"/>
      <c r="AE17" s="18"/>
      <c r="AF17" s="18"/>
    </row>
    <row r="18" spans="2:32" ht="14.5" x14ac:dyDescent="0.35">
      <c r="B18" s="18"/>
      <c r="C18" s="147" t="s">
        <v>125</v>
      </c>
      <c r="D18" s="433"/>
      <c r="E18" s="137">
        <v>175</v>
      </c>
      <c r="F18" s="148">
        <v>260</v>
      </c>
      <c r="G18" s="145">
        <v>54</v>
      </c>
      <c r="H18" s="148">
        <v>55</v>
      </c>
      <c r="I18" s="134">
        <f t="shared" si="0"/>
        <v>260.91527777777776</v>
      </c>
      <c r="J18" s="140">
        <f t="shared" si="2"/>
        <v>260.91527777777776</v>
      </c>
      <c r="K18" s="141">
        <f t="shared" si="3"/>
        <v>156.64444444444439</v>
      </c>
      <c r="L18" s="149">
        <v>18.812999999999999</v>
      </c>
      <c r="M18" s="150">
        <v>1E-3</v>
      </c>
      <c r="N18" s="150">
        <v>18.812999999999999</v>
      </c>
      <c r="O18" s="151">
        <v>89</v>
      </c>
      <c r="P18" s="158">
        <v>59</v>
      </c>
      <c r="Q18" s="148">
        <v>47</v>
      </c>
      <c r="R18" s="153"/>
      <c r="S18" s="134">
        <f t="shared" si="4"/>
        <v>7.4581479700866176</v>
      </c>
      <c r="T18" s="134">
        <f t="shared" si="5"/>
        <v>-17.271508268136074</v>
      </c>
      <c r="U18" s="134">
        <f t="shared" ref="U18:V18" si="17">U$7+S18</f>
        <v>535245.6581479701</v>
      </c>
      <c r="V18" s="134">
        <f t="shared" si="17"/>
        <v>9407725.5084917303</v>
      </c>
      <c r="W18" s="146">
        <f t="shared" si="8"/>
        <v>1056724.7348125</v>
      </c>
      <c r="X18" s="18"/>
      <c r="Y18" s="18"/>
      <c r="Z18" s="135" t="str">
        <f t="shared" si="1"/>
        <v>po 535245,65814797,9407725,50849173</v>
      </c>
      <c r="AA18" s="135"/>
      <c r="AB18" s="135"/>
      <c r="AC18" s="135"/>
      <c r="AD18" s="18"/>
      <c r="AE18" s="18"/>
      <c r="AF18" s="18"/>
    </row>
    <row r="19" spans="2:32" ht="14.5" x14ac:dyDescent="0.35">
      <c r="B19" s="18"/>
      <c r="C19" s="136" t="s">
        <v>126</v>
      </c>
      <c r="D19" s="433"/>
      <c r="E19" s="137">
        <v>175</v>
      </c>
      <c r="F19" s="160">
        <v>266</v>
      </c>
      <c r="G19" s="158">
        <v>10</v>
      </c>
      <c r="H19" s="160">
        <v>11</v>
      </c>
      <c r="I19" s="134">
        <f t="shared" si="0"/>
        <v>266.16972222222222</v>
      </c>
      <c r="J19" s="140">
        <f t="shared" si="2"/>
        <v>266.16972222222222</v>
      </c>
      <c r="K19" s="141">
        <f t="shared" si="3"/>
        <v>161.89888888888891</v>
      </c>
      <c r="L19" s="161">
        <v>22.196999999999999</v>
      </c>
      <c r="M19" s="162">
        <v>7.0999999999999994E-2</v>
      </c>
      <c r="N19" s="162">
        <v>22.196999999999999</v>
      </c>
      <c r="O19" s="163">
        <v>89</v>
      </c>
      <c r="P19" s="145">
        <v>49</v>
      </c>
      <c r="Q19" s="160">
        <v>2</v>
      </c>
      <c r="R19" s="159"/>
      <c r="S19" s="134">
        <f t="shared" si="4"/>
        <v>6.8964938627692005</v>
      </c>
      <c r="T19" s="134">
        <f t="shared" si="5"/>
        <v>-21.098463958326128</v>
      </c>
      <c r="U19" s="134">
        <f t="shared" ref="U19:V19" si="18">U$7+S19</f>
        <v>535245.09649386269</v>
      </c>
      <c r="V19" s="134">
        <f t="shared" si="18"/>
        <v>9407721.6815360412</v>
      </c>
      <c r="W19" s="146">
        <f t="shared" si="8"/>
        <v>1056724.8048125</v>
      </c>
      <c r="X19" s="18"/>
      <c r="Y19" s="18"/>
      <c r="Z19" s="135" t="str">
        <f t="shared" si="1"/>
        <v>po 535245,096493863,9407721,68153604</v>
      </c>
      <c r="AA19" s="135"/>
      <c r="AB19" s="135"/>
      <c r="AC19" s="135"/>
      <c r="AD19" s="18"/>
      <c r="AE19" s="18"/>
      <c r="AF19" s="18"/>
    </row>
    <row r="20" spans="2:32" ht="14.5" x14ac:dyDescent="0.35">
      <c r="B20" s="18"/>
      <c r="C20" s="147" t="s">
        <v>127</v>
      </c>
      <c r="D20" s="433"/>
      <c r="E20" s="137">
        <v>175</v>
      </c>
      <c r="F20" s="148">
        <v>266</v>
      </c>
      <c r="G20" s="145">
        <v>57</v>
      </c>
      <c r="H20" s="148">
        <v>57</v>
      </c>
      <c r="I20" s="134">
        <f t="shared" si="0"/>
        <v>266.96583333333331</v>
      </c>
      <c r="J20" s="140">
        <f t="shared" si="2"/>
        <v>266.96583333333331</v>
      </c>
      <c r="K20" s="141">
        <f t="shared" si="3"/>
        <v>162.69499999999994</v>
      </c>
      <c r="L20" s="149">
        <v>28.687999999999999</v>
      </c>
      <c r="M20" s="150">
        <v>0.12</v>
      </c>
      <c r="N20" s="150">
        <v>28.687999999999999</v>
      </c>
      <c r="O20" s="151">
        <v>89</v>
      </c>
      <c r="P20" s="158">
        <v>45</v>
      </c>
      <c r="Q20" s="148">
        <v>40</v>
      </c>
      <c r="R20" s="153"/>
      <c r="S20" s="134">
        <f t="shared" si="4"/>
        <v>8.5334805989845339</v>
      </c>
      <c r="T20" s="134">
        <f t="shared" si="5"/>
        <v>-27.38943323376288</v>
      </c>
      <c r="U20" s="134">
        <f t="shared" ref="U20:V20" si="19">U$7+S20</f>
        <v>535246.73348059889</v>
      </c>
      <c r="V20" s="134">
        <f t="shared" si="19"/>
        <v>9407715.3905667663</v>
      </c>
      <c r="W20" s="146">
        <f t="shared" si="8"/>
        <v>1056724.8538125001</v>
      </c>
      <c r="X20" s="18"/>
      <c r="Y20" s="18"/>
      <c r="Z20" s="135" t="str">
        <f t="shared" si="1"/>
        <v>po 535246,733480599,9407715,39056677</v>
      </c>
      <c r="AA20" s="135"/>
      <c r="AB20" s="135"/>
      <c r="AC20" s="135"/>
      <c r="AD20" s="18"/>
      <c r="AE20" s="18"/>
      <c r="AF20" s="18"/>
    </row>
    <row r="21" spans="2:32" ht="15.75" customHeight="1" x14ac:dyDescent="0.35">
      <c r="B21" s="18"/>
      <c r="C21" s="136" t="s">
        <v>128</v>
      </c>
      <c r="D21" s="433"/>
      <c r="E21" s="137">
        <v>175</v>
      </c>
      <c r="F21" s="160">
        <v>271</v>
      </c>
      <c r="G21" s="158">
        <v>46</v>
      </c>
      <c r="H21" s="160">
        <v>47</v>
      </c>
      <c r="I21" s="134">
        <f t="shared" si="0"/>
        <v>271.77972222222223</v>
      </c>
      <c r="J21" s="140">
        <f t="shared" si="2"/>
        <v>271.77972222222223</v>
      </c>
      <c r="K21" s="141">
        <f t="shared" si="3"/>
        <v>167.50888888888892</v>
      </c>
      <c r="L21" s="161">
        <v>28.76</v>
      </c>
      <c r="M21" s="162">
        <v>0.19700000000000001</v>
      </c>
      <c r="N21" s="162">
        <v>28.759</v>
      </c>
      <c r="O21" s="163">
        <v>89</v>
      </c>
      <c r="P21" s="158">
        <v>36</v>
      </c>
      <c r="Q21" s="160">
        <v>22</v>
      </c>
      <c r="R21" s="159"/>
      <c r="S21" s="134">
        <f t="shared" si="4"/>
        <v>6.2204471480552392</v>
      </c>
      <c r="T21" s="134">
        <f t="shared" si="5"/>
        <v>-28.079238545200109</v>
      </c>
      <c r="U21" s="134">
        <f t="shared" ref="U21:V21" si="20">U$7+S21</f>
        <v>535244.42044714803</v>
      </c>
      <c r="V21" s="134">
        <f t="shared" si="20"/>
        <v>9407714.7007614542</v>
      </c>
      <c r="W21" s="146">
        <f t="shared" si="8"/>
        <v>1056724.9308125</v>
      </c>
      <c r="X21" s="18"/>
      <c r="Y21" s="18"/>
      <c r="Z21" s="135" t="str">
        <f t="shared" si="1"/>
        <v>po 535244,420447148,9407714,70076145</v>
      </c>
      <c r="AA21" s="135"/>
      <c r="AB21" s="135"/>
      <c r="AC21" s="135"/>
      <c r="AD21" s="18"/>
      <c r="AE21" s="18"/>
      <c r="AF21" s="18"/>
    </row>
    <row r="22" spans="2:32" ht="15.75" customHeight="1" x14ac:dyDescent="0.35">
      <c r="B22" s="18"/>
      <c r="C22" s="136" t="s">
        <v>129</v>
      </c>
      <c r="D22" s="433"/>
      <c r="E22" s="137">
        <v>175</v>
      </c>
      <c r="F22" s="160">
        <v>280</v>
      </c>
      <c r="G22" s="158">
        <v>48</v>
      </c>
      <c r="H22" s="148">
        <v>50</v>
      </c>
      <c r="I22" s="134">
        <f t="shared" si="0"/>
        <v>280.81388888888893</v>
      </c>
      <c r="J22" s="140">
        <f t="shared" si="2"/>
        <v>280.81388888888893</v>
      </c>
      <c r="K22" s="141">
        <f t="shared" si="3"/>
        <v>176.54305555555561</v>
      </c>
      <c r="L22" s="161">
        <v>29.53</v>
      </c>
      <c r="M22" s="162">
        <v>1.4630000000000001</v>
      </c>
      <c r="N22" s="162">
        <v>29.498999999999999</v>
      </c>
      <c r="O22" s="163">
        <v>87</v>
      </c>
      <c r="P22" s="145">
        <v>9</v>
      </c>
      <c r="Q22" s="160">
        <v>38</v>
      </c>
      <c r="R22" s="159"/>
      <c r="S22" s="134">
        <f t="shared" si="4"/>
        <v>1.7806136061735214</v>
      </c>
      <c r="T22" s="134">
        <f t="shared" si="5"/>
        <v>-29.476266981853549</v>
      </c>
      <c r="U22" s="134">
        <f t="shared" ref="U22:V22" si="21">U$7+S22</f>
        <v>535239.98061360617</v>
      </c>
      <c r="V22" s="134">
        <f t="shared" si="21"/>
        <v>9407713.3037330173</v>
      </c>
      <c r="W22" s="146">
        <f t="shared" si="8"/>
        <v>1056726.1968125</v>
      </c>
      <c r="X22" s="18"/>
      <c r="Y22" s="18"/>
      <c r="Z22" s="135" t="str">
        <f t="shared" si="1"/>
        <v>po 535239,980613606,9407713,30373302</v>
      </c>
      <c r="AA22" s="135"/>
      <c r="AB22" s="135"/>
      <c r="AC22" s="135"/>
      <c r="AD22" s="18"/>
      <c r="AE22" s="18"/>
      <c r="AF22" s="18"/>
    </row>
    <row r="23" spans="2:32" ht="15.75" customHeight="1" x14ac:dyDescent="0.35">
      <c r="B23" s="18"/>
      <c r="C23" s="147" t="s">
        <v>130</v>
      </c>
      <c r="D23" s="433"/>
      <c r="E23" s="137">
        <v>175</v>
      </c>
      <c r="F23" s="148">
        <v>270</v>
      </c>
      <c r="G23" s="145">
        <v>30</v>
      </c>
      <c r="H23" s="160">
        <v>31</v>
      </c>
      <c r="I23" s="134">
        <f t="shared" si="0"/>
        <v>270.50861111111112</v>
      </c>
      <c r="J23" s="140">
        <f t="shared" si="2"/>
        <v>270.50861111111112</v>
      </c>
      <c r="K23" s="141">
        <f t="shared" si="3"/>
        <v>166.23777777777775</v>
      </c>
      <c r="L23" s="149">
        <v>42.334000000000003</v>
      </c>
      <c r="M23" s="162">
        <v>0.224</v>
      </c>
      <c r="N23" s="150">
        <v>42.332999999999998</v>
      </c>
      <c r="O23" s="151">
        <v>89</v>
      </c>
      <c r="P23" s="158">
        <v>41</v>
      </c>
      <c r="Q23" s="148">
        <v>53</v>
      </c>
      <c r="R23" s="153"/>
      <c r="S23" s="134">
        <f t="shared" si="4"/>
        <v>10.070966143328292</v>
      </c>
      <c r="T23" s="134">
        <f t="shared" si="5"/>
        <v>-41.118647800480204</v>
      </c>
      <c r="U23" s="134">
        <f t="shared" ref="U23:V23" si="22">U$7+S23</f>
        <v>535248.27096614323</v>
      </c>
      <c r="V23" s="134">
        <f t="shared" si="22"/>
        <v>9407701.6613521986</v>
      </c>
      <c r="W23" s="146">
        <f t="shared" si="8"/>
        <v>1056724.9578125</v>
      </c>
      <c r="X23" s="18"/>
      <c r="Y23" s="18"/>
      <c r="Z23" s="135" t="str">
        <f t="shared" si="1"/>
        <v>po 535248,270966143,9407701,6613522</v>
      </c>
      <c r="AA23" s="135"/>
      <c r="AB23" s="135"/>
      <c r="AC23" s="135"/>
      <c r="AD23" s="18"/>
      <c r="AE23" s="18"/>
      <c r="AF23" s="18"/>
    </row>
    <row r="24" spans="2:32" ht="15.75" customHeight="1" x14ac:dyDescent="0.35">
      <c r="B24" s="18"/>
      <c r="C24" s="136" t="s">
        <v>131</v>
      </c>
      <c r="D24" s="433"/>
      <c r="E24" s="137">
        <v>175</v>
      </c>
      <c r="F24" s="160">
        <v>275</v>
      </c>
      <c r="G24" s="158">
        <v>52</v>
      </c>
      <c r="H24" s="148">
        <v>53</v>
      </c>
      <c r="I24" s="134">
        <f t="shared" si="0"/>
        <v>275.88138888888892</v>
      </c>
      <c r="J24" s="140">
        <f t="shared" si="2"/>
        <v>275.88138888888892</v>
      </c>
      <c r="K24" s="141">
        <f t="shared" si="3"/>
        <v>171.61055555555561</v>
      </c>
      <c r="L24" s="161">
        <v>42.584000000000003</v>
      </c>
      <c r="M24" s="162">
        <v>0.30199999999999999</v>
      </c>
      <c r="N24" s="162">
        <v>42.582999999999998</v>
      </c>
      <c r="O24" s="163">
        <v>89</v>
      </c>
      <c r="P24" s="145">
        <v>35</v>
      </c>
      <c r="Q24" s="160">
        <v>40</v>
      </c>
      <c r="R24" s="159"/>
      <c r="S24" s="134">
        <f t="shared" si="4"/>
        <v>6.2130385274420226</v>
      </c>
      <c r="T24" s="134">
        <f t="shared" si="5"/>
        <v>-42.128318364925526</v>
      </c>
      <c r="U24" s="134">
        <f t="shared" ref="U24:V24" si="23">U$7+S24</f>
        <v>535244.41303852736</v>
      </c>
      <c r="V24" s="134">
        <f t="shared" si="23"/>
        <v>9407700.6516816337</v>
      </c>
      <c r="W24" s="146">
        <f t="shared" si="8"/>
        <v>1056725.0358124999</v>
      </c>
      <c r="X24" s="18"/>
      <c r="Y24" s="18"/>
      <c r="Z24" s="135" t="str">
        <f t="shared" si="1"/>
        <v>po 535244,413038527,9407700,65168163</v>
      </c>
      <c r="AA24" s="135"/>
      <c r="AB24" s="135"/>
      <c r="AC24" s="135"/>
      <c r="AD24" s="18"/>
      <c r="AE24" s="18"/>
      <c r="AF24" s="18"/>
    </row>
    <row r="25" spans="2:32" ht="15.75" customHeight="1" x14ac:dyDescent="0.35">
      <c r="B25" s="18"/>
      <c r="C25" s="147" t="s">
        <v>132</v>
      </c>
      <c r="D25" s="433"/>
      <c r="E25" s="137">
        <v>175</v>
      </c>
      <c r="F25" s="148">
        <v>275</v>
      </c>
      <c r="G25" s="145">
        <v>13</v>
      </c>
      <c r="H25" s="160">
        <v>13</v>
      </c>
      <c r="I25" s="134">
        <f t="shared" si="0"/>
        <v>275.22027777777777</v>
      </c>
      <c r="J25" s="140">
        <f t="shared" si="2"/>
        <v>275.22027777777777</v>
      </c>
      <c r="K25" s="141">
        <f t="shared" si="3"/>
        <v>170.94944444444445</v>
      </c>
      <c r="L25" s="149">
        <v>50.087000000000003</v>
      </c>
      <c r="M25" s="162">
        <v>1.409</v>
      </c>
      <c r="N25" s="150">
        <v>50.067</v>
      </c>
      <c r="O25" s="151">
        <v>88</v>
      </c>
      <c r="P25" s="158">
        <v>23</v>
      </c>
      <c r="Q25" s="148">
        <v>18</v>
      </c>
      <c r="R25" s="153"/>
      <c r="S25" s="134">
        <f t="shared" si="4"/>
        <v>7.8789806935910942</v>
      </c>
      <c r="T25" s="134">
        <f t="shared" si="5"/>
        <v>-49.463413066932809</v>
      </c>
      <c r="U25" s="134">
        <f t="shared" ref="U25:V25" si="24">U$7+S25</f>
        <v>535246.07898069359</v>
      </c>
      <c r="V25" s="134">
        <f t="shared" si="24"/>
        <v>9407693.3165869322</v>
      </c>
      <c r="W25" s="146">
        <f t="shared" si="8"/>
        <v>1056726.1428125</v>
      </c>
      <c r="X25" s="18"/>
      <c r="Y25" s="18"/>
      <c r="Z25" s="135" t="str">
        <f t="shared" si="1"/>
        <v>po 535246,078980694,9407693,31658693</v>
      </c>
      <c r="AA25" s="135"/>
      <c r="AB25" s="135"/>
      <c r="AC25" s="135"/>
      <c r="AD25" s="18"/>
      <c r="AE25" s="18"/>
      <c r="AF25" s="18"/>
    </row>
    <row r="26" spans="2:32" ht="15.75" customHeight="1" x14ac:dyDescent="0.35">
      <c r="B26" s="18"/>
      <c r="C26" s="136" t="s">
        <v>133</v>
      </c>
      <c r="D26" s="433"/>
      <c r="E26" s="137">
        <v>175</v>
      </c>
      <c r="F26" s="160">
        <v>316</v>
      </c>
      <c r="G26" s="158">
        <v>23</v>
      </c>
      <c r="H26" s="148">
        <v>23</v>
      </c>
      <c r="I26" s="134">
        <f t="shared" si="0"/>
        <v>316.38972222222219</v>
      </c>
      <c r="J26" s="140">
        <f t="shared" si="2"/>
        <v>316.38972222222219</v>
      </c>
      <c r="K26" s="141">
        <f t="shared" si="3"/>
        <v>212.11888888888882</v>
      </c>
      <c r="L26" s="161">
        <v>42.704999999999998</v>
      </c>
      <c r="M26" s="162">
        <v>1.4</v>
      </c>
      <c r="N26" s="162">
        <v>42.682000000000002</v>
      </c>
      <c r="O26" s="163">
        <v>88</v>
      </c>
      <c r="P26" s="145">
        <v>7</v>
      </c>
      <c r="Q26" s="160">
        <v>20</v>
      </c>
      <c r="R26" s="159"/>
      <c r="S26" s="134">
        <f t="shared" si="4"/>
        <v>-22.70530147894334</v>
      </c>
      <c r="T26" s="134">
        <f t="shared" si="5"/>
        <v>-36.16885828651899</v>
      </c>
      <c r="U26" s="134">
        <f t="shared" ref="U26:V26" si="25">U$7+S26</f>
        <v>535215.49469852098</v>
      </c>
      <c r="V26" s="134">
        <f t="shared" si="25"/>
        <v>9407706.6111417133</v>
      </c>
      <c r="W26" s="146">
        <f t="shared" si="8"/>
        <v>1056726.1338124999</v>
      </c>
      <c r="X26" s="18"/>
      <c r="Y26" s="18"/>
      <c r="Z26" s="135" t="str">
        <f t="shared" si="1"/>
        <v>po 535215,494698521,9407706,61114171</v>
      </c>
      <c r="AA26" s="135"/>
      <c r="AB26" s="135"/>
      <c r="AC26" s="135"/>
      <c r="AD26" s="18"/>
      <c r="AE26" s="18"/>
      <c r="AF26" s="18"/>
    </row>
    <row r="27" spans="2:32" ht="15.75" customHeight="1" x14ac:dyDescent="0.35">
      <c r="B27" s="18"/>
      <c r="C27" s="147" t="s">
        <v>134</v>
      </c>
      <c r="D27" s="433"/>
      <c r="E27" s="137">
        <v>175</v>
      </c>
      <c r="F27" s="148">
        <v>316</v>
      </c>
      <c r="G27" s="145">
        <v>31</v>
      </c>
      <c r="H27" s="160">
        <v>33</v>
      </c>
      <c r="I27" s="134">
        <f t="shared" si="0"/>
        <v>316.52583333333331</v>
      </c>
      <c r="J27" s="140">
        <f t="shared" si="2"/>
        <v>316.52583333333331</v>
      </c>
      <c r="K27" s="141">
        <f t="shared" si="3"/>
        <v>212.255</v>
      </c>
      <c r="L27" s="149">
        <v>42.677</v>
      </c>
      <c r="M27" s="162">
        <v>1.147</v>
      </c>
      <c r="N27" s="150">
        <v>42.661999999999999</v>
      </c>
      <c r="O27" s="151">
        <v>88</v>
      </c>
      <c r="P27" s="158">
        <v>27</v>
      </c>
      <c r="Q27" s="148">
        <v>38</v>
      </c>
      <c r="R27" s="153"/>
      <c r="S27" s="134">
        <f t="shared" si="4"/>
        <v>-22.776216328464869</v>
      </c>
      <c r="T27" s="134">
        <f t="shared" si="5"/>
        <v>-36.09113878445747</v>
      </c>
      <c r="U27" s="134">
        <f t="shared" ref="U27:V27" si="26">U$7+S27</f>
        <v>535215.42378367146</v>
      </c>
      <c r="V27" s="134">
        <f t="shared" si="26"/>
        <v>9407706.6888612155</v>
      </c>
      <c r="W27" s="146">
        <f t="shared" si="8"/>
        <v>1056725.8808125001</v>
      </c>
      <c r="X27" s="18"/>
      <c r="Y27" s="18"/>
      <c r="Z27" s="135" t="str">
        <f t="shared" si="1"/>
        <v>po 535215,423783671,9407706,68886122</v>
      </c>
      <c r="AA27" s="135"/>
      <c r="AB27" s="135"/>
      <c r="AC27" s="135"/>
      <c r="AD27" s="18"/>
      <c r="AE27" s="18"/>
      <c r="AF27" s="18"/>
    </row>
    <row r="28" spans="2:32" ht="15.75" customHeight="1" x14ac:dyDescent="0.35">
      <c r="B28" s="18"/>
      <c r="C28" s="136" t="s">
        <v>135</v>
      </c>
      <c r="D28" s="433"/>
      <c r="E28" s="137">
        <v>175</v>
      </c>
      <c r="F28" s="160">
        <v>318</v>
      </c>
      <c r="G28" s="158">
        <v>38</v>
      </c>
      <c r="H28" s="148">
        <v>39</v>
      </c>
      <c r="I28" s="134">
        <f t="shared" si="0"/>
        <v>318.64416666666665</v>
      </c>
      <c r="J28" s="140">
        <f t="shared" si="2"/>
        <v>318.64416666666665</v>
      </c>
      <c r="K28" s="141">
        <f t="shared" si="3"/>
        <v>214.37333333333333</v>
      </c>
      <c r="L28" s="161">
        <v>41.149000000000001</v>
      </c>
      <c r="M28" s="162">
        <v>1.1299999999999999</v>
      </c>
      <c r="N28" s="162">
        <v>41.133000000000003</v>
      </c>
      <c r="O28" s="163">
        <v>88</v>
      </c>
      <c r="P28" s="145">
        <v>25</v>
      </c>
      <c r="Q28" s="160">
        <v>39</v>
      </c>
      <c r="R28" s="159"/>
      <c r="S28" s="134">
        <f t="shared" si="4"/>
        <v>-23.232022451146875</v>
      </c>
      <c r="T28" s="134">
        <f t="shared" si="5"/>
        <v>-33.96341169301764</v>
      </c>
      <c r="U28" s="134">
        <f t="shared" ref="U28:V28" si="27">U$7+S28</f>
        <v>535214.96797754883</v>
      </c>
      <c r="V28" s="134">
        <f t="shared" si="27"/>
        <v>9407708.8165883068</v>
      </c>
      <c r="W28" s="146">
        <f t="shared" si="8"/>
        <v>1056725.8638124999</v>
      </c>
      <c r="X28" s="18"/>
      <c r="Y28" s="18"/>
      <c r="Z28" s="135" t="str">
        <f t="shared" si="1"/>
        <v>po 535214,967977549,9407708,81658831</v>
      </c>
      <c r="AA28" s="135"/>
      <c r="AB28" s="135"/>
      <c r="AC28" s="135"/>
      <c r="AD28" s="18"/>
      <c r="AE28" s="18"/>
      <c r="AF28" s="18"/>
    </row>
    <row r="29" spans="2:32" ht="15.75" customHeight="1" x14ac:dyDescent="0.35">
      <c r="B29" s="18"/>
      <c r="C29" s="147" t="s">
        <v>136</v>
      </c>
      <c r="D29" s="433"/>
      <c r="E29" s="137">
        <v>175</v>
      </c>
      <c r="F29" s="148">
        <v>324</v>
      </c>
      <c r="G29" s="145">
        <v>23</v>
      </c>
      <c r="H29" s="160">
        <v>24</v>
      </c>
      <c r="I29" s="134">
        <f t="shared" si="0"/>
        <v>324.39</v>
      </c>
      <c r="J29" s="140">
        <f t="shared" si="2"/>
        <v>324.39</v>
      </c>
      <c r="K29" s="141">
        <f t="shared" si="3"/>
        <v>220.11916666666662</v>
      </c>
      <c r="L29" s="149">
        <v>46.917999999999999</v>
      </c>
      <c r="M29" s="162">
        <v>1.147</v>
      </c>
      <c r="N29" s="150">
        <v>46.904000000000003</v>
      </c>
      <c r="O29" s="151">
        <v>88</v>
      </c>
      <c r="P29" s="158">
        <v>35</v>
      </c>
      <c r="Q29" s="148">
        <v>54</v>
      </c>
      <c r="R29" s="153"/>
      <c r="S29" s="134">
        <f t="shared" si="4"/>
        <v>-30.232996270212251</v>
      </c>
      <c r="T29" s="134">
        <f t="shared" si="5"/>
        <v>-35.878470710515685</v>
      </c>
      <c r="U29" s="134">
        <f t="shared" ref="U29:V29" si="28">U$7+S29</f>
        <v>535207.96700372978</v>
      </c>
      <c r="V29" s="134">
        <f t="shared" si="28"/>
        <v>9407706.9015292879</v>
      </c>
      <c r="W29" s="146">
        <f t="shared" si="8"/>
        <v>1056725.8808125001</v>
      </c>
      <c r="X29" s="18"/>
      <c r="Y29" s="18"/>
      <c r="Z29" s="135" t="str">
        <f t="shared" si="1"/>
        <v>po 535207,96700373,9407706,90152929</v>
      </c>
      <c r="AA29" s="135"/>
      <c r="AB29" s="135"/>
      <c r="AC29" s="135"/>
      <c r="AD29" s="18"/>
      <c r="AE29" s="18"/>
      <c r="AF29" s="18"/>
    </row>
    <row r="30" spans="2:32" ht="15.75" customHeight="1" x14ac:dyDescent="0.35">
      <c r="B30" s="18"/>
      <c r="C30" s="136" t="s">
        <v>137</v>
      </c>
      <c r="D30" s="433"/>
      <c r="E30" s="137">
        <v>175</v>
      </c>
      <c r="F30" s="160">
        <v>322</v>
      </c>
      <c r="G30" s="158">
        <v>17</v>
      </c>
      <c r="H30" s="148">
        <v>18</v>
      </c>
      <c r="I30" s="134">
        <f t="shared" si="0"/>
        <v>322.28833333333336</v>
      </c>
      <c r="J30" s="140">
        <f t="shared" si="2"/>
        <v>322.28833333333336</v>
      </c>
      <c r="K30" s="141">
        <f t="shared" si="3"/>
        <v>218.01750000000004</v>
      </c>
      <c r="L30" s="161">
        <v>48.218000000000004</v>
      </c>
      <c r="M30" s="162">
        <v>1.359</v>
      </c>
      <c r="N30" s="162">
        <v>48.198999999999998</v>
      </c>
      <c r="O30" s="163">
        <v>88</v>
      </c>
      <c r="P30" s="145">
        <v>23</v>
      </c>
      <c r="Q30" s="160">
        <v>19</v>
      </c>
      <c r="R30" s="159"/>
      <c r="S30" s="134">
        <f t="shared" si="4"/>
        <v>-29.697568942577902</v>
      </c>
      <c r="T30" s="134">
        <f t="shared" si="5"/>
        <v>-37.987233683184051</v>
      </c>
      <c r="U30" s="134">
        <f t="shared" ref="U30:V30" si="29">U$7+S30</f>
        <v>535208.50243105739</v>
      </c>
      <c r="V30" s="134">
        <f t="shared" si="29"/>
        <v>9407704.7927663159</v>
      </c>
      <c r="W30" s="146">
        <f t="shared" si="8"/>
        <v>1056726.0928125</v>
      </c>
      <c r="X30" s="18"/>
      <c r="Y30" s="18"/>
      <c r="Z30" s="135" t="str">
        <f t="shared" si="1"/>
        <v>po 535208,502431057,9407704,79276632</v>
      </c>
      <c r="AA30" s="135"/>
      <c r="AB30" s="135"/>
      <c r="AC30" s="135"/>
      <c r="AD30" s="18"/>
      <c r="AE30" s="18"/>
      <c r="AF30" s="18"/>
    </row>
    <row r="31" spans="2:32" ht="15.75" customHeight="1" x14ac:dyDescent="0.35">
      <c r="B31" s="18"/>
      <c r="C31" s="147" t="s">
        <v>138</v>
      </c>
      <c r="D31" s="433"/>
      <c r="E31" s="137">
        <v>175</v>
      </c>
      <c r="F31" s="148">
        <v>375</v>
      </c>
      <c r="G31" s="145">
        <v>41</v>
      </c>
      <c r="H31" s="148">
        <v>43</v>
      </c>
      <c r="I31" s="134">
        <f t="shared" si="0"/>
        <v>375.69527777777779</v>
      </c>
      <c r="J31" s="140">
        <f t="shared" si="2"/>
        <v>375.69527777777779</v>
      </c>
      <c r="K31" s="141">
        <f t="shared" si="3"/>
        <v>271.42444444444448</v>
      </c>
      <c r="L31" s="149">
        <v>39.478999999999999</v>
      </c>
      <c r="M31" s="162">
        <v>0.34499999999999997</v>
      </c>
      <c r="N31" s="150">
        <v>39.476999999999997</v>
      </c>
      <c r="O31" s="151">
        <v>89</v>
      </c>
      <c r="P31" s="158">
        <v>29</v>
      </c>
      <c r="Q31" s="148">
        <v>59</v>
      </c>
      <c r="R31" s="153"/>
      <c r="S31" s="134">
        <f t="shared" si="4"/>
        <v>-39.466800008017614</v>
      </c>
      <c r="T31" s="134">
        <f t="shared" si="5"/>
        <v>0.98139600933610927</v>
      </c>
      <c r="U31" s="134">
        <f t="shared" ref="U31:V31" si="30">U$7+S31</f>
        <v>535198.73319999198</v>
      </c>
      <c r="V31" s="134">
        <f t="shared" si="30"/>
        <v>9407743.7613960095</v>
      </c>
      <c r="W31" s="146">
        <f t="shared" si="8"/>
        <v>1056725.0788125</v>
      </c>
      <c r="X31" s="18"/>
      <c r="Y31" s="18"/>
      <c r="Z31" s="135" t="str">
        <f t="shared" si="1"/>
        <v>po 535198,733199992,9407743,76139601</v>
      </c>
      <c r="AA31" s="135"/>
      <c r="AB31" s="135"/>
      <c r="AC31" s="135"/>
      <c r="AD31" s="18"/>
      <c r="AE31" s="18"/>
      <c r="AF31" s="18"/>
    </row>
    <row r="32" spans="2:32" ht="15.75" customHeight="1" x14ac:dyDescent="0.35">
      <c r="B32" s="18"/>
      <c r="C32" s="136" t="s">
        <v>139</v>
      </c>
      <c r="D32" s="433"/>
      <c r="E32" s="137">
        <v>175</v>
      </c>
      <c r="F32" s="160">
        <v>335</v>
      </c>
      <c r="G32" s="158">
        <v>22</v>
      </c>
      <c r="H32" s="148">
        <v>55</v>
      </c>
      <c r="I32" s="134">
        <f t="shared" si="0"/>
        <v>335.38194444444446</v>
      </c>
      <c r="J32" s="140">
        <f t="shared" si="2"/>
        <v>335.38194444444446</v>
      </c>
      <c r="K32" s="141">
        <f t="shared" si="3"/>
        <v>231.11111111111109</v>
      </c>
      <c r="L32" s="161">
        <v>39.603999999999999</v>
      </c>
      <c r="M32" s="162">
        <v>0.63100000000000001</v>
      </c>
      <c r="N32" s="162">
        <v>39.598999999999997</v>
      </c>
      <c r="O32" s="163">
        <v>89</v>
      </c>
      <c r="P32" s="145">
        <v>5</v>
      </c>
      <c r="Q32" s="160">
        <v>15</v>
      </c>
      <c r="R32" s="159"/>
      <c r="S32" s="134">
        <f t="shared" si="4"/>
        <v>-30.826363971844419</v>
      </c>
      <c r="T32" s="134">
        <f t="shared" si="5"/>
        <v>-24.863871385513804</v>
      </c>
      <c r="U32" s="134">
        <f t="shared" ref="U32:V32" si="31">U$7+S32</f>
        <v>535207.37363602815</v>
      </c>
      <c r="V32" s="134">
        <f t="shared" si="31"/>
        <v>9407717.9161286131</v>
      </c>
      <c r="W32" s="146">
        <f t="shared" si="8"/>
        <v>1056725.3648125001</v>
      </c>
      <c r="X32" s="18"/>
      <c r="Y32" s="18"/>
      <c r="Z32" s="135" t="str">
        <f t="shared" si="1"/>
        <v>po 535207,373636028,9407717,91612861</v>
      </c>
      <c r="AA32" s="135"/>
      <c r="AB32" s="135"/>
      <c r="AC32" s="135"/>
      <c r="AD32" s="18"/>
      <c r="AE32" s="18"/>
      <c r="AF32" s="18"/>
    </row>
    <row r="33" spans="2:32" ht="15.75" customHeight="1" x14ac:dyDescent="0.35">
      <c r="B33" s="18"/>
      <c r="C33" s="147" t="s">
        <v>140</v>
      </c>
      <c r="D33" s="433"/>
      <c r="E33" s="137">
        <v>175</v>
      </c>
      <c r="F33" s="148">
        <v>345</v>
      </c>
      <c r="G33" s="145">
        <v>0</v>
      </c>
      <c r="H33" s="148">
        <v>0</v>
      </c>
      <c r="I33" s="134">
        <f t="shared" si="0"/>
        <v>345</v>
      </c>
      <c r="J33" s="140">
        <f t="shared" si="2"/>
        <v>345</v>
      </c>
      <c r="K33" s="141">
        <f t="shared" si="3"/>
        <v>240.72916666666663</v>
      </c>
      <c r="L33" s="149">
        <v>36.677999999999997</v>
      </c>
      <c r="M33" s="162">
        <v>0.6</v>
      </c>
      <c r="N33" s="150">
        <v>36.673000000000002</v>
      </c>
      <c r="O33" s="151">
        <v>89</v>
      </c>
      <c r="P33" s="145">
        <v>3</v>
      </c>
      <c r="Q33" s="148">
        <v>47</v>
      </c>
      <c r="R33" s="153"/>
      <c r="S33" s="134">
        <f t="shared" si="4"/>
        <v>-31.994889936274706</v>
      </c>
      <c r="T33" s="134">
        <f t="shared" si="5"/>
        <v>-17.933284751145489</v>
      </c>
      <c r="U33" s="134">
        <f t="shared" ref="U33:V33" si="32">U$7+S33</f>
        <v>535206.20511006366</v>
      </c>
      <c r="V33" s="134">
        <f t="shared" si="32"/>
        <v>9407724.8467152473</v>
      </c>
      <c r="W33" s="146">
        <f t="shared" si="8"/>
        <v>1056725.3338125001</v>
      </c>
      <c r="X33" s="18"/>
      <c r="Y33" s="18"/>
      <c r="Z33" s="135" t="str">
        <f t="shared" si="1"/>
        <v>po 535206,205110064,9407724,84671525</v>
      </c>
      <c r="AA33" s="135"/>
      <c r="AB33" s="135"/>
      <c r="AC33" s="135"/>
      <c r="AD33" s="18"/>
      <c r="AE33" s="18"/>
      <c r="AF33" s="18"/>
    </row>
    <row r="34" spans="2:32" ht="15.75" customHeight="1" x14ac:dyDescent="0.35">
      <c r="B34" s="18"/>
      <c r="C34" s="136" t="s">
        <v>141</v>
      </c>
      <c r="D34" s="433"/>
      <c r="E34" s="137">
        <v>175</v>
      </c>
      <c r="F34" s="148">
        <v>345</v>
      </c>
      <c r="G34" s="145">
        <v>17</v>
      </c>
      <c r="H34" s="148">
        <v>19</v>
      </c>
      <c r="I34" s="134">
        <f t="shared" si="0"/>
        <v>345.28861111111115</v>
      </c>
      <c r="J34" s="140">
        <f t="shared" si="2"/>
        <v>345.28861111111115</v>
      </c>
      <c r="K34" s="141">
        <f t="shared" si="3"/>
        <v>241.01777777777784</v>
      </c>
      <c r="L34" s="149">
        <v>36.645000000000003</v>
      </c>
      <c r="M34" s="162">
        <v>0.84099999999999997</v>
      </c>
      <c r="N34" s="150">
        <v>36.634999999999998</v>
      </c>
      <c r="O34" s="151">
        <v>88</v>
      </c>
      <c r="P34" s="145">
        <v>41</v>
      </c>
      <c r="Q34" s="148">
        <v>4</v>
      </c>
      <c r="R34" s="153"/>
      <c r="S34" s="134">
        <f t="shared" si="4"/>
        <v>-32.055950026132876</v>
      </c>
      <c r="T34" s="134">
        <f t="shared" si="5"/>
        <v>-17.75590304439827</v>
      </c>
      <c r="U34" s="134">
        <f t="shared" ref="U34:V34" si="33">U$7+S34</f>
        <v>535206.14404997381</v>
      </c>
      <c r="V34" s="134">
        <f t="shared" si="33"/>
        <v>9407725.0240969546</v>
      </c>
      <c r="W34" s="146">
        <f t="shared" si="8"/>
        <v>1056725.5748125</v>
      </c>
      <c r="X34" s="18"/>
      <c r="Y34" s="18"/>
      <c r="Z34" s="135" t="str">
        <f t="shared" si="1"/>
        <v>po 535206,144049974,9407725,02409695</v>
      </c>
      <c r="AA34" s="135"/>
      <c r="AB34" s="135"/>
      <c r="AC34" s="135"/>
      <c r="AD34" s="18"/>
      <c r="AE34" s="18"/>
      <c r="AF34" s="18"/>
    </row>
    <row r="35" spans="2:32" ht="15.75" customHeight="1" x14ac:dyDescent="0.35">
      <c r="B35" s="18"/>
      <c r="C35" s="147" t="s">
        <v>142</v>
      </c>
      <c r="D35" s="433"/>
      <c r="E35" s="137">
        <v>175</v>
      </c>
      <c r="F35" s="148">
        <v>347</v>
      </c>
      <c r="G35" s="145">
        <v>7</v>
      </c>
      <c r="H35" s="148">
        <v>8</v>
      </c>
      <c r="I35" s="134">
        <f t="shared" si="0"/>
        <v>347.11888888888888</v>
      </c>
      <c r="J35" s="140">
        <f t="shared" si="2"/>
        <v>347.11888888888888</v>
      </c>
      <c r="K35" s="141">
        <f t="shared" si="3"/>
        <v>242.84805555555556</v>
      </c>
      <c r="L35" s="149">
        <v>36.219000000000001</v>
      </c>
      <c r="M35" s="162">
        <v>0.61</v>
      </c>
      <c r="N35" s="150">
        <v>36.213999999999999</v>
      </c>
      <c r="O35" s="151">
        <v>89</v>
      </c>
      <c r="P35" s="145">
        <v>2</v>
      </c>
      <c r="Q35" s="148">
        <v>6</v>
      </c>
      <c r="R35" s="153"/>
      <c r="S35" s="134">
        <f t="shared" si="4"/>
        <v>-32.227645956790809</v>
      </c>
      <c r="T35" s="134">
        <f t="shared" si="5"/>
        <v>-16.528605418599156</v>
      </c>
      <c r="U35" s="134">
        <f t="shared" ref="U35:V35" si="34">U$7+S35</f>
        <v>535205.97235404316</v>
      </c>
      <c r="V35" s="134">
        <f t="shared" si="34"/>
        <v>9407726.251394581</v>
      </c>
      <c r="W35" s="146">
        <f t="shared" si="8"/>
        <v>1056725.3438125001</v>
      </c>
      <c r="X35" s="18"/>
      <c r="Y35" s="18"/>
      <c r="Z35" s="135" t="str">
        <f t="shared" si="1"/>
        <v>po 535205,972354043,9407726,25139458</v>
      </c>
      <c r="AA35" s="135"/>
      <c r="AB35" s="135"/>
      <c r="AC35" s="135"/>
      <c r="AD35" s="18"/>
      <c r="AE35" s="18"/>
      <c r="AF35" s="18"/>
    </row>
    <row r="36" spans="2:32" ht="15.75" customHeight="1" x14ac:dyDescent="0.35">
      <c r="B36" s="18"/>
      <c r="C36" s="136" t="s">
        <v>143</v>
      </c>
      <c r="D36" s="433"/>
      <c r="E36" s="137">
        <v>175</v>
      </c>
      <c r="F36" s="148">
        <v>346</v>
      </c>
      <c r="G36" s="145">
        <v>45</v>
      </c>
      <c r="H36" s="148">
        <v>45</v>
      </c>
      <c r="I36" s="134">
        <f t="shared" si="0"/>
        <v>346.76249999999999</v>
      </c>
      <c r="J36" s="140">
        <f t="shared" si="2"/>
        <v>346.76249999999999</v>
      </c>
      <c r="K36" s="141">
        <f t="shared" si="3"/>
        <v>242.49166666666667</v>
      </c>
      <c r="L36" s="149">
        <v>36.323999999999998</v>
      </c>
      <c r="M36" s="162">
        <v>0.84899999999999998</v>
      </c>
      <c r="N36" s="150">
        <v>36.249000000000002</v>
      </c>
      <c r="O36" s="151">
        <v>88</v>
      </c>
      <c r="P36" s="145">
        <v>39</v>
      </c>
      <c r="Q36" s="148">
        <v>25</v>
      </c>
      <c r="R36" s="153"/>
      <c r="S36" s="134">
        <f t="shared" si="4"/>
        <v>-32.217341694109884</v>
      </c>
      <c r="T36" s="134">
        <f t="shared" si="5"/>
        <v>-16.777242626992336</v>
      </c>
      <c r="U36" s="134">
        <f t="shared" ref="U36:V36" si="35">U$7+S36</f>
        <v>535205.98265830579</v>
      </c>
      <c r="V36" s="134">
        <f t="shared" si="35"/>
        <v>9407726.0027573723</v>
      </c>
      <c r="W36" s="146">
        <f t="shared" si="8"/>
        <v>1056725.5828125</v>
      </c>
      <c r="X36" s="18"/>
      <c r="Y36" s="18"/>
      <c r="Z36" s="135" t="str">
        <f t="shared" si="1"/>
        <v>po 535205,982658306,9407726,00275737</v>
      </c>
      <c r="AA36" s="135"/>
      <c r="AB36" s="135"/>
      <c r="AC36" s="135"/>
      <c r="AD36" s="18"/>
      <c r="AE36" s="18"/>
      <c r="AF36" s="18"/>
    </row>
    <row r="37" spans="2:32" ht="15.75" customHeight="1" x14ac:dyDescent="0.35">
      <c r="B37" s="18"/>
      <c r="C37" s="147" t="s">
        <v>144</v>
      </c>
      <c r="D37" s="433"/>
      <c r="E37" s="137">
        <v>175</v>
      </c>
      <c r="F37" s="148">
        <v>358</v>
      </c>
      <c r="G37" s="145">
        <v>12</v>
      </c>
      <c r="H37" s="148">
        <v>14</v>
      </c>
      <c r="I37" s="134">
        <f t="shared" si="0"/>
        <v>358.20388888888886</v>
      </c>
      <c r="J37" s="140">
        <f t="shared" si="2"/>
        <v>358.20388888888886</v>
      </c>
      <c r="K37" s="141">
        <f t="shared" si="3"/>
        <v>253.93305555555548</v>
      </c>
      <c r="L37" s="149">
        <v>35.267000000000003</v>
      </c>
      <c r="M37" s="162">
        <v>0.42499999999999999</v>
      </c>
      <c r="N37" s="150">
        <v>35.264000000000003</v>
      </c>
      <c r="O37" s="151">
        <v>89</v>
      </c>
      <c r="P37" s="145">
        <v>15</v>
      </c>
      <c r="Q37" s="148">
        <v>38</v>
      </c>
      <c r="R37" s="153"/>
      <c r="S37" s="134">
        <f t="shared" si="4"/>
        <v>-33.889435181136641</v>
      </c>
      <c r="T37" s="134">
        <f t="shared" si="5"/>
        <v>-9.7605057299065354</v>
      </c>
      <c r="U37" s="134">
        <f t="shared" ref="U37:V37" si="36">U$7+S37</f>
        <v>535204.31056481879</v>
      </c>
      <c r="V37" s="134">
        <f t="shared" si="36"/>
        <v>9407733.019494269</v>
      </c>
      <c r="W37" s="146">
        <f t="shared" si="8"/>
        <v>1056725.1588125001</v>
      </c>
      <c r="X37" s="18"/>
      <c r="Y37" s="18"/>
      <c r="Z37" s="135" t="str">
        <f t="shared" si="1"/>
        <v>po 535204,310564819,9407733,01949427</v>
      </c>
      <c r="AA37" s="135"/>
      <c r="AB37" s="135"/>
      <c r="AC37" s="135"/>
      <c r="AD37" s="18"/>
      <c r="AE37" s="18"/>
      <c r="AF37" s="18"/>
    </row>
    <row r="38" spans="2:32" ht="15.75" customHeight="1" x14ac:dyDescent="0.35">
      <c r="B38" s="18"/>
      <c r="C38" s="136" t="s">
        <v>145</v>
      </c>
      <c r="D38" s="433"/>
      <c r="E38" s="137">
        <v>175</v>
      </c>
      <c r="F38" s="148">
        <v>358</v>
      </c>
      <c r="G38" s="145">
        <v>34</v>
      </c>
      <c r="H38" s="148">
        <v>36</v>
      </c>
      <c r="I38" s="134">
        <f t="shared" si="0"/>
        <v>358.57666666666665</v>
      </c>
      <c r="J38" s="140">
        <f t="shared" si="2"/>
        <v>358.57666666666665</v>
      </c>
      <c r="K38" s="141">
        <f t="shared" si="3"/>
        <v>254.30583333333334</v>
      </c>
      <c r="L38" s="149">
        <v>35.270000000000003</v>
      </c>
      <c r="M38" s="162">
        <v>0.73099999999999998</v>
      </c>
      <c r="N38" s="150">
        <v>35.262</v>
      </c>
      <c r="O38" s="151">
        <v>88</v>
      </c>
      <c r="P38" s="145">
        <v>48</v>
      </c>
      <c r="Q38" s="148">
        <v>45</v>
      </c>
      <c r="R38" s="153"/>
      <c r="S38" s="134">
        <f t="shared" si="4"/>
        <v>-33.955109411371147</v>
      </c>
      <c r="T38" s="134">
        <f t="shared" si="5"/>
        <v>-9.5406207796880267</v>
      </c>
      <c r="U38" s="134">
        <f t="shared" ref="U38:V38" si="37">U$7+S38</f>
        <v>535204.24489058857</v>
      </c>
      <c r="V38" s="134">
        <f t="shared" si="37"/>
        <v>9407733.2393792197</v>
      </c>
      <c r="W38" s="146">
        <f t="shared" si="8"/>
        <v>1056725.4648124999</v>
      </c>
      <c r="X38" s="18"/>
      <c r="Y38" s="18"/>
      <c r="Z38" s="135" t="str">
        <f t="shared" si="1"/>
        <v>po 535204,244890589,9407733,23937922</v>
      </c>
      <c r="AA38" s="135"/>
      <c r="AB38" s="135"/>
      <c r="AC38" s="135"/>
      <c r="AD38" s="18"/>
      <c r="AE38" s="18"/>
      <c r="AF38" s="18"/>
    </row>
    <row r="39" spans="2:32" ht="15.75" customHeight="1" x14ac:dyDescent="0.35">
      <c r="B39" s="18"/>
      <c r="C39" s="147" t="s">
        <v>146</v>
      </c>
      <c r="D39" s="433"/>
      <c r="E39" s="137">
        <v>175</v>
      </c>
      <c r="F39" s="148">
        <v>358</v>
      </c>
      <c r="G39" s="145">
        <v>46</v>
      </c>
      <c r="H39" s="148">
        <v>48</v>
      </c>
      <c r="I39" s="134">
        <f t="shared" si="0"/>
        <v>358.78</v>
      </c>
      <c r="J39" s="140">
        <f t="shared" si="2"/>
        <v>358.78</v>
      </c>
      <c r="K39" s="141">
        <f t="shared" si="3"/>
        <v>254.5091666666666</v>
      </c>
      <c r="L39" s="149">
        <v>55.323999999999998</v>
      </c>
      <c r="M39" s="162">
        <v>0.86499999999999999</v>
      </c>
      <c r="N39" s="150">
        <v>55.317</v>
      </c>
      <c r="O39" s="151">
        <v>48</v>
      </c>
      <c r="P39" s="145">
        <v>6</v>
      </c>
      <c r="Q39" s="148">
        <v>16</v>
      </c>
      <c r="R39" s="153"/>
      <c r="S39" s="134">
        <f t="shared" si="4"/>
        <v>-53.314255892550719</v>
      </c>
      <c r="T39" s="134">
        <f t="shared" si="5"/>
        <v>-14.776166438681601</v>
      </c>
      <c r="U39" s="134">
        <f t="shared" ref="U39:V39" si="38">U$7+S39</f>
        <v>535184.88574410742</v>
      </c>
      <c r="V39" s="134">
        <f t="shared" si="38"/>
        <v>9407728.0038335603</v>
      </c>
      <c r="W39" s="146">
        <f t="shared" si="8"/>
        <v>1056725.5988125</v>
      </c>
      <c r="X39" s="18"/>
      <c r="Y39" s="18"/>
      <c r="Z39" s="135" t="str">
        <f t="shared" si="1"/>
        <v>po 535184,885744107,9407728,00383356</v>
      </c>
      <c r="AA39" s="135"/>
      <c r="AB39" s="135"/>
      <c r="AC39" s="135"/>
      <c r="AD39" s="18"/>
      <c r="AE39" s="18"/>
      <c r="AF39" s="18"/>
    </row>
    <row r="40" spans="2:32" ht="15.75" customHeight="1" x14ac:dyDescent="0.35">
      <c r="B40" s="18"/>
      <c r="C40" s="136" t="s">
        <v>147</v>
      </c>
      <c r="D40" s="433"/>
      <c r="E40" s="137">
        <v>175</v>
      </c>
      <c r="F40" s="148">
        <v>359</v>
      </c>
      <c r="G40" s="145">
        <v>0</v>
      </c>
      <c r="H40" s="148">
        <v>1</v>
      </c>
      <c r="I40" s="134">
        <f t="shared" si="0"/>
        <v>359.0002777777778</v>
      </c>
      <c r="J40" s="140">
        <f t="shared" si="2"/>
        <v>359.0002777777778</v>
      </c>
      <c r="K40" s="141">
        <f t="shared" si="3"/>
        <v>254.72944444444443</v>
      </c>
      <c r="L40" s="149">
        <v>55.347000000000001</v>
      </c>
      <c r="M40" s="162">
        <v>1.1659999999999999</v>
      </c>
      <c r="N40" s="150">
        <v>55.335000000000001</v>
      </c>
      <c r="O40" s="151">
        <v>88</v>
      </c>
      <c r="P40" s="145">
        <v>47</v>
      </c>
      <c r="Q40" s="148">
        <v>36</v>
      </c>
      <c r="R40" s="153"/>
      <c r="S40" s="134">
        <f t="shared" si="4"/>
        <v>-53.392857720703546</v>
      </c>
      <c r="T40" s="134">
        <f t="shared" si="5"/>
        <v>-14.577144899352135</v>
      </c>
      <c r="U40" s="134">
        <f t="shared" ref="U40:V40" si="39">U$7+S40</f>
        <v>535184.80714227923</v>
      </c>
      <c r="V40" s="134">
        <f t="shared" si="39"/>
        <v>9407728.2028551009</v>
      </c>
      <c r="W40" s="146">
        <f t="shared" si="8"/>
        <v>1056725.8998125</v>
      </c>
      <c r="X40" s="18"/>
      <c r="Y40" s="18"/>
      <c r="Z40" s="135" t="str">
        <f t="shared" si="1"/>
        <v>po 535184,807142279,9407728,2028551</v>
      </c>
      <c r="AA40" s="135"/>
      <c r="AB40" s="135"/>
      <c r="AC40" s="135"/>
      <c r="AD40" s="18"/>
      <c r="AE40" s="18"/>
      <c r="AF40" s="18"/>
    </row>
    <row r="41" spans="2:32" ht="15.75" customHeight="1" x14ac:dyDescent="0.35">
      <c r="B41" s="18"/>
      <c r="C41" s="164" t="s">
        <v>148</v>
      </c>
      <c r="D41" s="433"/>
      <c r="E41" s="137">
        <v>175</v>
      </c>
      <c r="F41" s="148">
        <v>351</v>
      </c>
      <c r="G41" s="145">
        <v>44</v>
      </c>
      <c r="H41" s="148">
        <v>44</v>
      </c>
      <c r="I41" s="134">
        <f t="shared" si="0"/>
        <v>351.7455555555556</v>
      </c>
      <c r="J41" s="140">
        <f t="shared" si="2"/>
        <v>351.7455555555556</v>
      </c>
      <c r="K41" s="141">
        <f t="shared" si="3"/>
        <v>247.47472222222223</v>
      </c>
      <c r="L41" s="149">
        <v>56.139000000000003</v>
      </c>
      <c r="M41" s="162">
        <v>0.996</v>
      </c>
      <c r="N41" s="150">
        <v>56.13</v>
      </c>
      <c r="O41" s="151">
        <v>88</v>
      </c>
      <c r="P41" s="145">
        <v>59</v>
      </c>
      <c r="Q41" s="148">
        <v>1</v>
      </c>
      <c r="R41" s="153"/>
      <c r="S41" s="134">
        <f t="shared" si="4"/>
        <v>-51.856189943541843</v>
      </c>
      <c r="T41" s="134">
        <f t="shared" si="5"/>
        <v>-21.506345239005849</v>
      </c>
      <c r="U41" s="134">
        <f t="shared" ref="U41:V41" si="40">U$7+S41</f>
        <v>535186.34381005645</v>
      </c>
      <c r="V41" s="134">
        <f t="shared" si="40"/>
        <v>9407721.2736547608</v>
      </c>
      <c r="W41" s="146">
        <f t="shared" si="8"/>
        <v>1056725.7298125001</v>
      </c>
      <c r="X41" s="18"/>
      <c r="Y41" s="18"/>
      <c r="Z41" s="135" t="str">
        <f t="shared" si="1"/>
        <v>po 535186,343810056,9407721,27365476</v>
      </c>
      <c r="AA41" s="135"/>
      <c r="AB41" s="135"/>
      <c r="AC41" s="135"/>
      <c r="AD41" s="18"/>
      <c r="AE41" s="18"/>
      <c r="AF41" s="18"/>
    </row>
    <row r="42" spans="2:32" ht="15.75" customHeight="1" x14ac:dyDescent="0.35">
      <c r="B42" s="18"/>
      <c r="C42" s="165" t="s">
        <v>149</v>
      </c>
      <c r="D42" s="433"/>
      <c r="E42" s="137">
        <v>175</v>
      </c>
      <c r="F42" s="148">
        <v>351</v>
      </c>
      <c r="G42" s="145">
        <v>32</v>
      </c>
      <c r="H42" s="148">
        <v>36</v>
      </c>
      <c r="I42" s="134">
        <f t="shared" si="0"/>
        <v>351.54333333333335</v>
      </c>
      <c r="J42" s="140">
        <f t="shared" si="2"/>
        <v>351.54333333333335</v>
      </c>
      <c r="K42" s="141">
        <f t="shared" si="3"/>
        <v>247.27250000000004</v>
      </c>
      <c r="L42" s="149">
        <v>56.085000000000001</v>
      </c>
      <c r="M42" s="162">
        <v>1.248</v>
      </c>
      <c r="N42" s="150">
        <v>56.070999999999998</v>
      </c>
      <c r="O42" s="151">
        <v>88</v>
      </c>
      <c r="P42" s="145">
        <v>43</v>
      </c>
      <c r="Q42" s="148">
        <v>29</v>
      </c>
      <c r="R42" s="153"/>
      <c r="S42" s="134">
        <f t="shared" si="4"/>
        <v>-51.730154634256195</v>
      </c>
      <c r="T42" s="134">
        <f t="shared" si="5"/>
        <v>-21.668371570469763</v>
      </c>
      <c r="U42" s="134">
        <f t="shared" ref="U42:V42" si="41">U$7+S42</f>
        <v>535186.46984536573</v>
      </c>
      <c r="V42" s="134">
        <f t="shared" si="41"/>
        <v>9407721.1116284281</v>
      </c>
      <c r="W42" s="146">
        <f t="shared" si="8"/>
        <v>1056725.9818124999</v>
      </c>
      <c r="X42" s="18"/>
      <c r="Y42" s="18"/>
      <c r="Z42" s="135" t="str">
        <f t="shared" si="1"/>
        <v>po 535186,469845366,9407721,11162843</v>
      </c>
      <c r="AA42" s="18"/>
      <c r="AB42" s="18"/>
      <c r="AC42" s="18"/>
      <c r="AD42" s="18"/>
      <c r="AE42" s="18"/>
      <c r="AF42" s="18"/>
    </row>
    <row r="43" spans="2:32" ht="15.75" customHeight="1" x14ac:dyDescent="0.35">
      <c r="B43" s="18"/>
      <c r="C43" s="166" t="s">
        <v>150</v>
      </c>
      <c r="D43" s="433"/>
      <c r="E43" s="137">
        <v>175</v>
      </c>
      <c r="F43" s="148">
        <v>350</v>
      </c>
      <c r="G43" s="145">
        <v>19</v>
      </c>
      <c r="H43" s="148">
        <v>21</v>
      </c>
      <c r="I43" s="134">
        <f t="shared" si="0"/>
        <v>350.32249999999999</v>
      </c>
      <c r="J43" s="140">
        <f t="shared" si="2"/>
        <v>350.32249999999999</v>
      </c>
      <c r="K43" s="141">
        <f t="shared" si="3"/>
        <v>246.05166666666662</v>
      </c>
      <c r="L43" s="149">
        <v>56.347999999999999</v>
      </c>
      <c r="M43" s="162">
        <v>1.03</v>
      </c>
      <c r="N43" s="150">
        <v>56.338999999999999</v>
      </c>
      <c r="O43" s="151">
        <v>88</v>
      </c>
      <c r="P43" s="145">
        <v>57</v>
      </c>
      <c r="Q43" s="148">
        <v>11</v>
      </c>
      <c r="R43" s="153"/>
      <c r="S43" s="134">
        <f t="shared" si="4"/>
        <v>-51.497105618784651</v>
      </c>
      <c r="T43" s="134">
        <f t="shared" si="5"/>
        <v>-22.872367977272013</v>
      </c>
      <c r="U43" s="134">
        <f t="shared" ref="U43:V43" si="42">U$7+S43</f>
        <v>535186.70289438113</v>
      </c>
      <c r="V43" s="134">
        <f t="shared" si="42"/>
        <v>9407719.9076320212</v>
      </c>
      <c r="W43" s="146">
        <f t="shared" si="8"/>
        <v>1056725.7638125001</v>
      </c>
      <c r="X43" s="18"/>
      <c r="Y43" s="18"/>
      <c r="Z43" s="135" t="str">
        <f t="shared" si="1"/>
        <v>po 535186,702894381,9407719,90763202</v>
      </c>
      <c r="AA43" s="18"/>
      <c r="AB43" s="18"/>
      <c r="AC43" s="18"/>
      <c r="AD43" s="18"/>
      <c r="AE43" s="18"/>
      <c r="AF43" s="18"/>
    </row>
    <row r="44" spans="2:32" ht="15.75" customHeight="1" x14ac:dyDescent="0.35">
      <c r="B44" s="18"/>
      <c r="C44" s="165" t="s">
        <v>151</v>
      </c>
      <c r="D44" s="433"/>
      <c r="E44" s="137">
        <v>175</v>
      </c>
      <c r="F44" s="148">
        <v>350</v>
      </c>
      <c r="G44" s="145">
        <v>32</v>
      </c>
      <c r="H44" s="148">
        <v>34</v>
      </c>
      <c r="I44" s="134">
        <f t="shared" si="0"/>
        <v>350.54277777777781</v>
      </c>
      <c r="J44" s="140">
        <f t="shared" si="2"/>
        <v>350.54277777777781</v>
      </c>
      <c r="K44" s="141">
        <f t="shared" si="3"/>
        <v>246.27194444444444</v>
      </c>
      <c r="L44" s="149">
        <v>56.378</v>
      </c>
      <c r="M44" s="162">
        <v>1.23</v>
      </c>
      <c r="N44" s="150">
        <v>56.365000000000002</v>
      </c>
      <c r="O44" s="151">
        <v>88</v>
      </c>
      <c r="P44" s="145">
        <v>45</v>
      </c>
      <c r="Q44" s="148">
        <v>2</v>
      </c>
      <c r="R44" s="153"/>
      <c r="S44" s="134">
        <f t="shared" si="4"/>
        <v>-51.612123266714008</v>
      </c>
      <c r="T44" s="134">
        <f t="shared" si="5"/>
        <v>-22.686286957135984</v>
      </c>
      <c r="U44" s="134">
        <f t="shared" ref="U44:V44" si="43">U$7+S44</f>
        <v>535186.58787673328</v>
      </c>
      <c r="V44" s="134">
        <f t="shared" si="43"/>
        <v>9407720.0937130414</v>
      </c>
      <c r="W44" s="146">
        <f t="shared" si="8"/>
        <v>1056725.9638125</v>
      </c>
      <c r="X44" s="18"/>
      <c r="Y44" s="18"/>
      <c r="Z44" s="135" t="str">
        <f t="shared" si="1"/>
        <v>po 535186,587876733,9407720,09371304</v>
      </c>
      <c r="AA44" s="18"/>
      <c r="AB44" s="18"/>
      <c r="AC44" s="18"/>
      <c r="AD44" s="18"/>
      <c r="AE44" s="18"/>
      <c r="AF44" s="18"/>
    </row>
    <row r="45" spans="2:32" ht="15.75" customHeight="1" x14ac:dyDescent="0.35">
      <c r="B45" s="18"/>
      <c r="C45" s="166" t="s">
        <v>152</v>
      </c>
      <c r="D45" s="433"/>
      <c r="E45" s="137">
        <v>175</v>
      </c>
      <c r="F45" s="148">
        <v>343</v>
      </c>
      <c r="G45" s="145">
        <v>50</v>
      </c>
      <c r="H45" s="148">
        <v>52</v>
      </c>
      <c r="I45" s="134">
        <f t="shared" si="0"/>
        <v>343.84777777777776</v>
      </c>
      <c r="J45" s="140">
        <f t="shared" si="2"/>
        <v>343.84777777777776</v>
      </c>
      <c r="K45" s="141">
        <f t="shared" si="3"/>
        <v>239.57694444444439</v>
      </c>
      <c r="L45" s="149">
        <v>57.972999999999999</v>
      </c>
      <c r="M45" s="162">
        <v>0.89500000000000002</v>
      </c>
      <c r="N45" s="150">
        <v>56.966000000000001</v>
      </c>
      <c r="O45" s="151">
        <v>89</v>
      </c>
      <c r="P45" s="145">
        <v>9</v>
      </c>
      <c r="Q45" s="148">
        <v>56</v>
      </c>
      <c r="R45" s="153"/>
      <c r="S45" s="134">
        <f t="shared" si="4"/>
        <v>-49.99069610800332</v>
      </c>
      <c r="T45" s="134">
        <f t="shared" si="5"/>
        <v>-29.356413807501447</v>
      </c>
      <c r="U45" s="134">
        <f t="shared" ref="U45:V45" si="44">U$7+S45</f>
        <v>535188.20930389198</v>
      </c>
      <c r="V45" s="134">
        <f t="shared" si="44"/>
        <v>9407713.4235861916</v>
      </c>
      <c r="W45" s="146">
        <f t="shared" si="8"/>
        <v>1056725.6288125</v>
      </c>
      <c r="X45" s="18"/>
      <c r="Y45" s="18"/>
      <c r="Z45" s="135" t="str">
        <f t="shared" si="1"/>
        <v>po 535188,209303892,9407713,42358619</v>
      </c>
      <c r="AA45" s="18"/>
      <c r="AB45" s="18"/>
      <c r="AC45" s="18"/>
      <c r="AD45" s="18"/>
      <c r="AE45" s="18"/>
      <c r="AF45" s="18"/>
    </row>
    <row r="46" spans="2:32" ht="15.75" customHeight="1" x14ac:dyDescent="0.35">
      <c r="B46" s="18"/>
      <c r="C46" s="165" t="s">
        <v>153</v>
      </c>
      <c r="D46" s="433"/>
      <c r="E46" s="137">
        <v>175</v>
      </c>
      <c r="F46" s="148">
        <v>342</v>
      </c>
      <c r="G46" s="145">
        <v>54</v>
      </c>
      <c r="H46" s="148">
        <v>55</v>
      </c>
      <c r="I46" s="134">
        <f t="shared" si="0"/>
        <v>342.91527777777776</v>
      </c>
      <c r="J46" s="140">
        <f t="shared" si="2"/>
        <v>342.91527777777776</v>
      </c>
      <c r="K46" s="141">
        <f t="shared" si="3"/>
        <v>238.64444444444439</v>
      </c>
      <c r="L46" s="149">
        <v>54.037999999999997</v>
      </c>
      <c r="M46" s="162">
        <v>0.83099999999999996</v>
      </c>
      <c r="N46" s="150">
        <v>54.832000000000001</v>
      </c>
      <c r="O46" s="151">
        <v>89</v>
      </c>
      <c r="P46" s="145">
        <v>7</v>
      </c>
      <c r="Q46" s="148">
        <v>55</v>
      </c>
      <c r="R46" s="153"/>
      <c r="S46" s="134">
        <f t="shared" si="4"/>
        <v>-46.146003462260609</v>
      </c>
      <c r="T46" s="134">
        <f t="shared" si="5"/>
        <v>-28.118531406548097</v>
      </c>
      <c r="U46" s="134">
        <f t="shared" ref="U46:V46" si="45">U$7+S46</f>
        <v>535192.0539965377</v>
      </c>
      <c r="V46" s="134">
        <f t="shared" si="45"/>
        <v>9407714.6614685934</v>
      </c>
      <c r="W46" s="146">
        <f t="shared" si="8"/>
        <v>1056725.5648125</v>
      </c>
      <c r="X46" s="18"/>
      <c r="Y46" s="18"/>
      <c r="Z46" s="135" t="str">
        <f t="shared" si="1"/>
        <v>po 535192,053996538,9407714,66146859</v>
      </c>
      <c r="AA46" s="18"/>
      <c r="AB46" s="18"/>
      <c r="AC46" s="18"/>
      <c r="AD46" s="18"/>
      <c r="AE46" s="18"/>
      <c r="AF46" s="18"/>
    </row>
    <row r="47" spans="2:32" ht="15.75" customHeight="1" x14ac:dyDescent="0.35">
      <c r="B47" s="18"/>
      <c r="C47" s="166" t="s">
        <v>154</v>
      </c>
      <c r="D47" s="433"/>
      <c r="E47" s="137">
        <v>175</v>
      </c>
      <c r="F47" s="148">
        <v>340</v>
      </c>
      <c r="G47" s="145">
        <v>24</v>
      </c>
      <c r="H47" s="148">
        <v>24</v>
      </c>
      <c r="I47" s="134">
        <f t="shared" si="0"/>
        <v>340.40666666666664</v>
      </c>
      <c r="J47" s="140">
        <f t="shared" si="2"/>
        <v>340.40666666666664</v>
      </c>
      <c r="K47" s="141">
        <f t="shared" si="3"/>
        <v>236.13583333333327</v>
      </c>
      <c r="L47" s="149">
        <v>55.548999999999999</v>
      </c>
      <c r="M47" s="162">
        <v>1.0740000000000001</v>
      </c>
      <c r="N47" s="150">
        <v>55.539000000000001</v>
      </c>
      <c r="O47" s="151">
        <v>88</v>
      </c>
      <c r="P47" s="145">
        <v>53</v>
      </c>
      <c r="Q47" s="148">
        <v>32</v>
      </c>
      <c r="R47" s="153"/>
      <c r="S47" s="134">
        <f t="shared" si="4"/>
        <v>-46.125719962764805</v>
      </c>
      <c r="T47" s="134">
        <f t="shared" si="5"/>
        <v>-30.953341643780568</v>
      </c>
      <c r="U47" s="134">
        <f t="shared" ref="U47:V47" si="46">U$7+S47</f>
        <v>535192.0742800372</v>
      </c>
      <c r="V47" s="134">
        <f t="shared" si="46"/>
        <v>9407711.8266583551</v>
      </c>
      <c r="W47" s="146">
        <f t="shared" si="8"/>
        <v>1056725.8078125</v>
      </c>
      <c r="X47" s="18"/>
      <c r="Y47" s="18"/>
      <c r="Z47" s="135" t="str">
        <f t="shared" si="1"/>
        <v>po 535192,074280037,9407711,82665836</v>
      </c>
      <c r="AA47" s="18"/>
      <c r="AB47" s="18"/>
      <c r="AC47" s="18"/>
      <c r="AD47" s="18"/>
      <c r="AE47" s="18"/>
      <c r="AF47" s="18"/>
    </row>
    <row r="48" spans="2:32" ht="15.75" customHeight="1" x14ac:dyDescent="0.35">
      <c r="B48" s="18"/>
      <c r="C48" s="165" t="s">
        <v>155</v>
      </c>
      <c r="D48" s="433"/>
      <c r="E48" s="137">
        <v>175</v>
      </c>
      <c r="F48" s="148">
        <v>284</v>
      </c>
      <c r="G48" s="145">
        <v>40</v>
      </c>
      <c r="H48" s="148">
        <v>42</v>
      </c>
      <c r="I48" s="134">
        <f t="shared" si="0"/>
        <v>284.67833333333334</v>
      </c>
      <c r="J48" s="140">
        <f t="shared" si="2"/>
        <v>284.67833333333334</v>
      </c>
      <c r="K48" s="141">
        <f t="shared" si="3"/>
        <v>180.40750000000003</v>
      </c>
      <c r="L48" s="149">
        <v>23.398</v>
      </c>
      <c r="M48" s="162">
        <v>2.9000000000000001E-2</v>
      </c>
      <c r="N48" s="150">
        <v>23.398</v>
      </c>
      <c r="O48" s="151">
        <v>89</v>
      </c>
      <c r="P48" s="145">
        <v>55</v>
      </c>
      <c r="Q48" s="148">
        <v>46</v>
      </c>
      <c r="R48" s="153"/>
      <c r="S48" s="134">
        <f t="shared" si="4"/>
        <v>-0.16641024344331792</v>
      </c>
      <c r="T48" s="134">
        <f t="shared" si="5"/>
        <v>-23.397408224649094</v>
      </c>
      <c r="U48" s="134">
        <f t="shared" ref="U48:V48" si="47">U$7+S48</f>
        <v>535238.03358975647</v>
      </c>
      <c r="V48" s="134">
        <f t="shared" si="47"/>
        <v>9407719.3825917747</v>
      </c>
      <c r="W48" s="146">
        <f t="shared" si="8"/>
        <v>1056724.7628125001</v>
      </c>
      <c r="X48" s="18"/>
      <c r="Y48" s="18"/>
      <c r="Z48" s="135" t="str">
        <f t="shared" si="1"/>
        <v>po 535238,033589756,9407719,38259177</v>
      </c>
      <c r="AA48" s="18"/>
      <c r="AB48" s="18"/>
      <c r="AC48" s="18"/>
      <c r="AD48" s="18"/>
      <c r="AE48" s="18"/>
      <c r="AF48" s="18"/>
    </row>
    <row r="49" spans="2:32" ht="15.75" customHeight="1" x14ac:dyDescent="0.35">
      <c r="B49" s="18"/>
      <c r="C49" s="166" t="s">
        <v>156</v>
      </c>
      <c r="D49" s="433"/>
      <c r="E49" s="137">
        <v>175</v>
      </c>
      <c r="F49" s="148">
        <v>283</v>
      </c>
      <c r="G49" s="145">
        <v>17</v>
      </c>
      <c r="H49" s="148">
        <v>18</v>
      </c>
      <c r="I49" s="134">
        <f t="shared" si="0"/>
        <v>283.28833333333336</v>
      </c>
      <c r="J49" s="140">
        <f t="shared" si="2"/>
        <v>283.28833333333336</v>
      </c>
      <c r="K49" s="141">
        <f t="shared" si="3"/>
        <v>179.01750000000004</v>
      </c>
      <c r="L49" s="149">
        <v>23.027999999999999</v>
      </c>
      <c r="M49" s="162">
        <v>3.4000000000000002E-2</v>
      </c>
      <c r="N49" s="150">
        <v>23.027999999999999</v>
      </c>
      <c r="O49" s="151">
        <v>89</v>
      </c>
      <c r="P49" s="145">
        <v>55</v>
      </c>
      <c r="Q49" s="148">
        <v>1</v>
      </c>
      <c r="R49" s="153"/>
      <c r="S49" s="134">
        <f t="shared" si="4"/>
        <v>0.39486156568479119</v>
      </c>
      <c r="T49" s="134">
        <f t="shared" si="5"/>
        <v>-23.024614401634285</v>
      </c>
      <c r="U49" s="134">
        <f t="shared" ref="U49:V49" si="48">U$7+S49</f>
        <v>535238.59486156562</v>
      </c>
      <c r="V49" s="134">
        <f t="shared" si="48"/>
        <v>9407719.7553855982</v>
      </c>
      <c r="W49" s="146">
        <f t="shared" si="8"/>
        <v>1056724.7678125</v>
      </c>
      <c r="X49" s="18"/>
      <c r="Y49" s="18"/>
      <c r="Z49" s="135" t="str">
        <f t="shared" si="1"/>
        <v>po 535238,594861566,9407719,7553856</v>
      </c>
      <c r="AA49" s="18"/>
      <c r="AB49" s="18"/>
      <c r="AC49" s="18"/>
      <c r="AD49" s="18"/>
      <c r="AE49" s="18"/>
      <c r="AF49" s="18"/>
    </row>
    <row r="50" spans="2:32" ht="15.75" customHeight="1" x14ac:dyDescent="0.35">
      <c r="B50" s="18"/>
      <c r="C50" s="165" t="s">
        <v>157</v>
      </c>
      <c r="D50" s="433"/>
      <c r="E50" s="137">
        <v>175</v>
      </c>
      <c r="F50" s="148">
        <v>282</v>
      </c>
      <c r="G50" s="145">
        <v>11</v>
      </c>
      <c r="H50" s="148">
        <v>10</v>
      </c>
      <c r="I50" s="134">
        <f t="shared" si="0"/>
        <v>282.18611111111113</v>
      </c>
      <c r="J50" s="140">
        <f t="shared" si="2"/>
        <v>282.18611111111113</v>
      </c>
      <c r="K50" s="141">
        <f t="shared" si="3"/>
        <v>177.91527777777776</v>
      </c>
      <c r="L50" s="149">
        <v>22.411000000000001</v>
      </c>
      <c r="M50" s="162">
        <v>4.4999999999999998E-2</v>
      </c>
      <c r="N50" s="150">
        <v>22.411000000000001</v>
      </c>
      <c r="O50" s="151">
        <v>89</v>
      </c>
      <c r="P50" s="145">
        <v>53</v>
      </c>
      <c r="Q50" s="148">
        <v>9</v>
      </c>
      <c r="R50" s="153"/>
      <c r="S50" s="134">
        <f t="shared" si="4"/>
        <v>0.8152503024343124</v>
      </c>
      <c r="T50" s="134">
        <f t="shared" si="5"/>
        <v>-22.396166813639802</v>
      </c>
      <c r="U50" s="134">
        <f t="shared" ref="U50:V50" si="49">U$7+S50</f>
        <v>535239.01525030239</v>
      </c>
      <c r="V50" s="134">
        <f t="shared" si="49"/>
        <v>9407720.3838331848</v>
      </c>
      <c r="W50" s="146">
        <f t="shared" si="8"/>
        <v>1056724.7788124999</v>
      </c>
      <c r="X50" s="18"/>
      <c r="Y50" s="18"/>
      <c r="Z50" s="135" t="str">
        <f t="shared" si="1"/>
        <v>po 535239,015250302,9407720,38383318</v>
      </c>
      <c r="AA50" s="18"/>
      <c r="AB50" s="18"/>
      <c r="AC50" s="18"/>
      <c r="AD50" s="18"/>
      <c r="AE50" s="18"/>
      <c r="AF50" s="18"/>
    </row>
    <row r="51" spans="2:32" ht="15.75" customHeight="1" x14ac:dyDescent="0.35">
      <c r="B51" s="18"/>
      <c r="C51" s="166" t="s">
        <v>158</v>
      </c>
      <c r="D51" s="433"/>
      <c r="E51" s="137">
        <v>175</v>
      </c>
      <c r="F51" s="148">
        <v>281</v>
      </c>
      <c r="G51" s="145">
        <v>40</v>
      </c>
      <c r="H51" s="148">
        <v>41</v>
      </c>
      <c r="I51" s="134">
        <f t="shared" si="0"/>
        <v>281.6780555555556</v>
      </c>
      <c r="J51" s="140">
        <f t="shared" si="2"/>
        <v>281.6780555555556</v>
      </c>
      <c r="K51" s="141">
        <f t="shared" si="3"/>
        <v>177.40722222222223</v>
      </c>
      <c r="L51" s="149">
        <v>21.666</v>
      </c>
      <c r="M51" s="162">
        <v>3.4000000000000002E-2</v>
      </c>
      <c r="N51" s="150">
        <v>21.666</v>
      </c>
      <c r="O51" s="151">
        <v>89</v>
      </c>
      <c r="P51" s="145">
        <v>54</v>
      </c>
      <c r="Q51" s="148">
        <v>36</v>
      </c>
      <c r="R51" s="153"/>
      <c r="S51" s="134">
        <f t="shared" si="4"/>
        <v>0.98010627137953676</v>
      </c>
      <c r="T51" s="134">
        <f t="shared" si="5"/>
        <v>-21.643820080956193</v>
      </c>
      <c r="U51" s="134">
        <f t="shared" ref="U51:V51" si="50">U$7+S51</f>
        <v>535239.18010627129</v>
      </c>
      <c r="V51" s="134">
        <f t="shared" si="50"/>
        <v>9407721.1361799184</v>
      </c>
      <c r="W51" s="146">
        <f t="shared" si="8"/>
        <v>1056724.7678125</v>
      </c>
      <c r="X51" s="18"/>
      <c r="Y51" s="18"/>
      <c r="Z51" s="135" t="str">
        <f t="shared" si="1"/>
        <v>po 535239,180106271,9407721,13617992</v>
      </c>
      <c r="AA51" s="18"/>
      <c r="AB51" s="18"/>
      <c r="AC51" s="18"/>
      <c r="AD51" s="18"/>
      <c r="AE51" s="18"/>
      <c r="AF51" s="18"/>
    </row>
    <row r="52" spans="2:32" ht="15.75" customHeight="1" x14ac:dyDescent="0.35">
      <c r="B52" s="18"/>
      <c r="C52" s="165" t="s">
        <v>159</v>
      </c>
      <c r="D52" s="433"/>
      <c r="E52" s="137">
        <v>175</v>
      </c>
      <c r="F52" s="148">
        <v>281</v>
      </c>
      <c r="G52" s="145">
        <v>36</v>
      </c>
      <c r="H52" s="148">
        <v>38</v>
      </c>
      <c r="I52" s="134">
        <f t="shared" si="0"/>
        <v>281.61055555555561</v>
      </c>
      <c r="J52" s="140">
        <f t="shared" si="2"/>
        <v>281.61055555555561</v>
      </c>
      <c r="K52" s="141">
        <f t="shared" si="3"/>
        <v>177.33972222222224</v>
      </c>
      <c r="L52" s="149">
        <v>21.123999999999999</v>
      </c>
      <c r="M52" s="162">
        <v>2.1000000000000001E-2</v>
      </c>
      <c r="N52" s="150">
        <v>21.123999999999999</v>
      </c>
      <c r="O52" s="151">
        <v>89</v>
      </c>
      <c r="P52" s="145">
        <v>56</v>
      </c>
      <c r="Q52" s="148">
        <v>41</v>
      </c>
      <c r="R52" s="153"/>
      <c r="S52" s="134">
        <f t="shared" si="4"/>
        <v>0.98044776251343391</v>
      </c>
      <c r="T52" s="134">
        <f t="shared" si="5"/>
        <v>-21.101234518031934</v>
      </c>
      <c r="U52" s="134">
        <f t="shared" ref="U52:V52" si="51">U$7+S52</f>
        <v>535239.18044776248</v>
      </c>
      <c r="V52" s="134">
        <f t="shared" si="51"/>
        <v>9407721.6787654813</v>
      </c>
      <c r="W52" s="146">
        <f t="shared" si="8"/>
        <v>1056724.7548125</v>
      </c>
      <c r="X52" s="18"/>
      <c r="Y52" s="18"/>
      <c r="Z52" s="135" t="str">
        <f t="shared" si="1"/>
        <v>po 535239,180447762,9407721,67876548</v>
      </c>
      <c r="AA52" s="18"/>
      <c r="AB52" s="18"/>
      <c r="AC52" s="18"/>
      <c r="AD52" s="18"/>
      <c r="AE52" s="18"/>
      <c r="AF52" s="18"/>
    </row>
    <row r="53" spans="2:32" ht="15.75" customHeight="1" x14ac:dyDescent="0.35">
      <c r="B53" s="18"/>
      <c r="C53" s="166" t="s">
        <v>160</v>
      </c>
      <c r="D53" s="433"/>
      <c r="E53" s="137">
        <v>175</v>
      </c>
      <c r="F53" s="148">
        <v>282</v>
      </c>
      <c r="G53" s="145">
        <v>57</v>
      </c>
      <c r="H53" s="148">
        <v>58</v>
      </c>
      <c r="I53" s="134">
        <f t="shared" si="0"/>
        <v>282.9661111111111</v>
      </c>
      <c r="J53" s="140">
        <f t="shared" si="2"/>
        <v>282.9661111111111</v>
      </c>
      <c r="K53" s="141">
        <f t="shared" si="3"/>
        <v>178.69527777777773</v>
      </c>
      <c r="L53" s="149">
        <v>19.332999999999998</v>
      </c>
      <c r="M53" s="162">
        <v>-1.4999999999999999E-2</v>
      </c>
      <c r="N53" s="150">
        <v>19.332999999999998</v>
      </c>
      <c r="O53" s="151">
        <v>90</v>
      </c>
      <c r="P53" s="145">
        <v>2</v>
      </c>
      <c r="Q53" s="148">
        <v>35</v>
      </c>
      <c r="R53" s="153"/>
      <c r="S53" s="134">
        <f t="shared" si="4"/>
        <v>0.44020720183893203</v>
      </c>
      <c r="T53" s="134">
        <f t="shared" si="5"/>
        <v>-19.327987650540578</v>
      </c>
      <c r="U53" s="134">
        <f t="shared" ref="U53:V53" si="52">U$7+S53</f>
        <v>535238.64020720182</v>
      </c>
      <c r="V53" s="134">
        <f t="shared" si="52"/>
        <v>9407723.4520123489</v>
      </c>
      <c r="W53" s="146">
        <f t="shared" si="8"/>
        <v>1056724.7188125001</v>
      </c>
      <c r="X53" s="18"/>
      <c r="Y53" s="18"/>
      <c r="Z53" s="135" t="str">
        <f t="shared" si="1"/>
        <v>po 535238,640207202,9407723,45201235</v>
      </c>
      <c r="AA53" s="18"/>
      <c r="AB53" s="18"/>
      <c r="AC53" s="18"/>
      <c r="AD53" s="18"/>
      <c r="AE53" s="18"/>
      <c r="AF53" s="18"/>
    </row>
    <row r="54" spans="2:32" ht="15.75" customHeight="1" x14ac:dyDescent="0.35">
      <c r="B54" s="18"/>
      <c r="C54" s="165" t="s">
        <v>161</v>
      </c>
      <c r="D54" s="434">
        <v>1.5</v>
      </c>
      <c r="E54" s="167">
        <v>175</v>
      </c>
      <c r="F54" s="168">
        <v>299</v>
      </c>
      <c r="G54" s="169">
        <v>17</v>
      </c>
      <c r="H54" s="168">
        <v>17</v>
      </c>
      <c r="I54" s="170">
        <f t="shared" si="0"/>
        <v>299.28805555555556</v>
      </c>
      <c r="J54" s="171">
        <f t="shared" si="2"/>
        <v>299.28805555555556</v>
      </c>
      <c r="K54" s="141">
        <f t="shared" si="3"/>
        <v>195.01722222222224</v>
      </c>
      <c r="L54" s="172">
        <v>4.7930000000000001</v>
      </c>
      <c r="M54" s="173">
        <v>0.54800000000000004</v>
      </c>
      <c r="N54" s="173">
        <v>4.7619999999999996</v>
      </c>
      <c r="O54" s="174">
        <v>83</v>
      </c>
      <c r="P54" s="169">
        <v>25</v>
      </c>
      <c r="Q54" s="168">
        <v>48</v>
      </c>
      <c r="R54" s="175"/>
      <c r="S54" s="170">
        <f t="shared" si="4"/>
        <v>-1.241911237827344</v>
      </c>
      <c r="T54" s="170">
        <f t="shared" si="5"/>
        <v>-4.6293093952940927</v>
      </c>
      <c r="U54" s="134">
        <f t="shared" ref="U54:V54" si="53">U$7+S54</f>
        <v>535236.95808876213</v>
      </c>
      <c r="V54" s="134">
        <f t="shared" si="53"/>
        <v>9407738.150690604</v>
      </c>
      <c r="W54" s="146">
        <f t="shared" si="8"/>
        <v>1056726.7818125</v>
      </c>
      <c r="X54" s="176"/>
      <c r="Y54" s="176"/>
      <c r="Z54" s="177" t="str">
        <f t="shared" si="1"/>
        <v>po 535236,958088762,9407738,1506906</v>
      </c>
      <c r="AA54" s="176"/>
      <c r="AB54" s="176"/>
      <c r="AC54" s="18"/>
      <c r="AD54" s="18"/>
      <c r="AE54" s="18"/>
      <c r="AF54" s="18"/>
    </row>
    <row r="55" spans="2:32" ht="15.75" customHeight="1" x14ac:dyDescent="0.35">
      <c r="B55" s="18"/>
      <c r="C55" s="166" t="s">
        <v>162</v>
      </c>
      <c r="D55" s="435"/>
      <c r="E55" s="137">
        <v>175</v>
      </c>
      <c r="F55" s="148">
        <v>303</v>
      </c>
      <c r="G55" s="145">
        <v>8</v>
      </c>
      <c r="H55" s="148">
        <v>8</v>
      </c>
      <c r="I55" s="134">
        <f t="shared" si="0"/>
        <v>303.13555555555553</v>
      </c>
      <c r="J55" s="140">
        <f t="shared" si="2"/>
        <v>303.13555555555553</v>
      </c>
      <c r="K55" s="141">
        <f t="shared" si="3"/>
        <v>198.86472222222221</v>
      </c>
      <c r="L55" s="149">
        <v>6.0220000000000002</v>
      </c>
      <c r="M55" s="162">
        <v>0.71899999999999997</v>
      </c>
      <c r="N55" s="150">
        <v>5.9710000000000001</v>
      </c>
      <c r="O55" s="151">
        <v>82</v>
      </c>
      <c r="P55" s="145">
        <v>8</v>
      </c>
      <c r="Q55" s="148">
        <v>35</v>
      </c>
      <c r="R55" s="153"/>
      <c r="S55" s="134">
        <f t="shared" si="4"/>
        <v>-1.9471224030269874</v>
      </c>
      <c r="T55" s="134">
        <f t="shared" si="5"/>
        <v>-5.6985259802540531</v>
      </c>
      <c r="U55" s="134">
        <f t="shared" ref="U55:V55" si="54">U$7+S55</f>
        <v>535236.25287759688</v>
      </c>
      <c r="V55" s="134">
        <f t="shared" si="54"/>
        <v>9407737.0814740192</v>
      </c>
      <c r="W55" s="146">
        <f t="shared" si="8"/>
        <v>1056725.4528125001</v>
      </c>
      <c r="X55" s="18"/>
      <c r="Y55" s="18"/>
      <c r="Z55" s="135" t="str">
        <f t="shared" si="1"/>
        <v>po 535236,252877597,9407737,08147402</v>
      </c>
      <c r="AA55" s="18"/>
      <c r="AB55" s="18"/>
      <c r="AC55" s="18"/>
      <c r="AD55" s="18"/>
      <c r="AE55" s="18"/>
      <c r="AF55" s="18"/>
    </row>
    <row r="56" spans="2:32" ht="15.75" customHeight="1" x14ac:dyDescent="0.35">
      <c r="B56" s="18"/>
      <c r="C56" s="165" t="s">
        <v>163</v>
      </c>
      <c r="D56" s="435"/>
      <c r="E56" s="137">
        <v>175</v>
      </c>
      <c r="F56" s="148">
        <v>295</v>
      </c>
      <c r="G56" s="145">
        <v>56</v>
      </c>
      <c r="H56" s="148">
        <v>57</v>
      </c>
      <c r="I56" s="134">
        <f t="shared" si="0"/>
        <v>295.94916666666666</v>
      </c>
      <c r="J56" s="140">
        <f t="shared" si="2"/>
        <v>295.94916666666666</v>
      </c>
      <c r="K56" s="141">
        <f t="shared" si="3"/>
        <v>191.67833333333328</v>
      </c>
      <c r="L56" s="149">
        <v>6.2169999999999996</v>
      </c>
      <c r="M56" s="162">
        <v>1.0489999999999999</v>
      </c>
      <c r="N56" s="150">
        <v>6.1280000000000001</v>
      </c>
      <c r="O56" s="151">
        <v>80</v>
      </c>
      <c r="P56" s="145">
        <v>17</v>
      </c>
      <c r="Q56" s="148">
        <v>1</v>
      </c>
      <c r="R56" s="153"/>
      <c r="S56" s="134">
        <f t="shared" si="4"/>
        <v>-1.2584263844667554</v>
      </c>
      <c r="T56" s="134">
        <f t="shared" si="5"/>
        <v>-6.0883045287565833</v>
      </c>
      <c r="U56" s="134">
        <f t="shared" ref="U56:V56" si="55">U$7+S56</f>
        <v>535236.94157361554</v>
      </c>
      <c r="V56" s="134">
        <f t="shared" si="55"/>
        <v>9407736.6916954704</v>
      </c>
      <c r="W56" s="146">
        <f t="shared" si="8"/>
        <v>1056725.7828125001</v>
      </c>
      <c r="X56" s="18"/>
      <c r="Y56" s="18"/>
      <c r="Z56" s="135" t="str">
        <f t="shared" si="1"/>
        <v>po 535236,941573616,9407736,69169547</v>
      </c>
      <c r="AA56" s="18"/>
      <c r="AB56" s="18"/>
      <c r="AC56" s="18"/>
      <c r="AD56" s="18"/>
      <c r="AE56" s="18"/>
      <c r="AF56" s="18"/>
    </row>
    <row r="57" spans="2:32" ht="15.75" customHeight="1" x14ac:dyDescent="0.35">
      <c r="B57" s="18"/>
      <c r="C57" s="166" t="s">
        <v>164</v>
      </c>
      <c r="D57" s="435"/>
      <c r="E57" s="137">
        <v>175</v>
      </c>
      <c r="F57" s="148">
        <v>296</v>
      </c>
      <c r="G57" s="145">
        <v>0</v>
      </c>
      <c r="H57" s="148">
        <v>2</v>
      </c>
      <c r="I57" s="134">
        <f t="shared" si="0"/>
        <v>296.00055555555554</v>
      </c>
      <c r="J57" s="140">
        <f t="shared" si="2"/>
        <v>296.00055555555554</v>
      </c>
      <c r="K57" s="141">
        <f t="shared" si="3"/>
        <v>191.72972222222222</v>
      </c>
      <c r="L57" s="149">
        <v>6.4210000000000003</v>
      </c>
      <c r="M57" s="162">
        <v>1.103</v>
      </c>
      <c r="N57" s="150">
        <v>6.3259999999999996</v>
      </c>
      <c r="O57" s="151">
        <v>80</v>
      </c>
      <c r="P57" s="145">
        <v>6</v>
      </c>
      <c r="Q57" s="148">
        <v>21</v>
      </c>
      <c r="R57" s="153"/>
      <c r="S57" s="134">
        <f t="shared" si="4"/>
        <v>-1.3053587392954416</v>
      </c>
      <c r="T57" s="134">
        <f t="shared" si="5"/>
        <v>-6.2869133572640408</v>
      </c>
      <c r="U57" s="134">
        <f t="shared" ref="U57:V57" si="56">U$7+S57</f>
        <v>535236.89464126062</v>
      </c>
      <c r="V57" s="134">
        <f t="shared" si="56"/>
        <v>9407736.4930866417</v>
      </c>
      <c r="W57" s="146">
        <f t="shared" si="8"/>
        <v>1056725.8368124999</v>
      </c>
      <c r="X57" s="18"/>
      <c r="Y57" s="18"/>
      <c r="Z57" s="135" t="str">
        <f t="shared" si="1"/>
        <v>po 535236,894641261,9407736,49308664</v>
      </c>
      <c r="AA57" s="18"/>
      <c r="AB57" s="18"/>
      <c r="AC57" s="18"/>
      <c r="AD57" s="18"/>
      <c r="AE57" s="18"/>
      <c r="AF57" s="18"/>
    </row>
    <row r="58" spans="2:32" ht="15.75" customHeight="1" x14ac:dyDescent="0.35">
      <c r="B58" s="18"/>
      <c r="C58" s="165" t="s">
        <v>165</v>
      </c>
      <c r="D58" s="435"/>
      <c r="E58" s="137">
        <v>175</v>
      </c>
      <c r="F58" s="148">
        <v>288</v>
      </c>
      <c r="G58" s="145">
        <v>55</v>
      </c>
      <c r="H58" s="148">
        <v>55</v>
      </c>
      <c r="I58" s="134">
        <f t="shared" si="0"/>
        <v>288.93194444444447</v>
      </c>
      <c r="J58" s="140">
        <f t="shared" si="2"/>
        <v>288.93194444444447</v>
      </c>
      <c r="K58" s="141">
        <f t="shared" si="3"/>
        <v>184.66111111111115</v>
      </c>
      <c r="L58" s="149">
        <v>33.253999999999998</v>
      </c>
      <c r="M58" s="162">
        <v>1.0591999999999999</v>
      </c>
      <c r="N58" s="150">
        <v>33.216000000000001</v>
      </c>
      <c r="O58" s="151">
        <v>87</v>
      </c>
      <c r="P58" s="145">
        <v>15</v>
      </c>
      <c r="Q58" s="148">
        <v>22</v>
      </c>
      <c r="R58" s="153"/>
      <c r="S58" s="134">
        <f t="shared" si="4"/>
        <v>-2.7022876451045521</v>
      </c>
      <c r="T58" s="134">
        <f t="shared" si="5"/>
        <v>-33.144021444041989</v>
      </c>
      <c r="U58" s="134">
        <f t="shared" ref="U58:V58" si="57">U$7+S58</f>
        <v>535235.49771235487</v>
      </c>
      <c r="V58" s="134">
        <f t="shared" si="57"/>
        <v>9407709.6359785553</v>
      </c>
      <c r="W58" s="146">
        <f t="shared" si="8"/>
        <v>1056725.7930125</v>
      </c>
      <c r="X58" s="18"/>
      <c r="Y58" s="18"/>
      <c r="Z58" s="135" t="str">
        <f t="shared" si="1"/>
        <v>po 535235,497712355,9407709,63597856</v>
      </c>
      <c r="AA58" s="18"/>
      <c r="AB58" s="18"/>
      <c r="AC58" s="18"/>
      <c r="AD58" s="18"/>
      <c r="AE58" s="18"/>
      <c r="AF58" s="18"/>
    </row>
    <row r="59" spans="2:32" ht="15.75" customHeight="1" x14ac:dyDescent="0.35">
      <c r="B59" s="18"/>
      <c r="C59" s="166" t="s">
        <v>166</v>
      </c>
      <c r="D59" s="435"/>
      <c r="E59" s="137">
        <v>175</v>
      </c>
      <c r="F59" s="148">
        <v>216</v>
      </c>
      <c r="G59" s="145">
        <v>5</v>
      </c>
      <c r="H59" s="148">
        <v>6</v>
      </c>
      <c r="I59" s="134">
        <f t="shared" si="0"/>
        <v>216.08500000000001</v>
      </c>
      <c r="J59" s="140">
        <f t="shared" si="2"/>
        <v>216.08500000000001</v>
      </c>
      <c r="K59" s="141">
        <f t="shared" si="3"/>
        <v>111.81416666666667</v>
      </c>
      <c r="L59" s="149">
        <v>32.923999999999999</v>
      </c>
      <c r="M59" s="162">
        <v>1.4770000000000001</v>
      </c>
      <c r="N59" s="150">
        <v>32.890999999999998</v>
      </c>
      <c r="O59" s="151">
        <v>87</v>
      </c>
      <c r="P59" s="145">
        <v>22</v>
      </c>
      <c r="Q59" s="148">
        <v>45</v>
      </c>
      <c r="R59" s="153"/>
      <c r="S59" s="134">
        <f t="shared" si="4"/>
        <v>30.566443264328406</v>
      </c>
      <c r="T59" s="134">
        <f t="shared" si="5"/>
        <v>-12.234472696793786</v>
      </c>
      <c r="U59" s="134">
        <f t="shared" ref="U59:V59" si="58">U$7+S59</f>
        <v>535268.76644326432</v>
      </c>
      <c r="V59" s="134">
        <f t="shared" si="58"/>
        <v>9407730.5455273017</v>
      </c>
      <c r="W59" s="146">
        <f t="shared" si="8"/>
        <v>1056726.2108125</v>
      </c>
      <c r="X59" s="18"/>
      <c r="Y59" s="18"/>
      <c r="Z59" s="135" t="str">
        <f t="shared" si="1"/>
        <v>po 535268,766443264,9407730,5455273</v>
      </c>
      <c r="AA59" s="18"/>
      <c r="AB59" s="18"/>
      <c r="AC59" s="18"/>
      <c r="AD59" s="18"/>
      <c r="AE59" s="18"/>
      <c r="AF59" s="18"/>
    </row>
    <row r="60" spans="2:32" ht="15.75" customHeight="1" x14ac:dyDescent="0.35">
      <c r="B60" s="18"/>
      <c r="C60" s="165" t="s">
        <v>167</v>
      </c>
      <c r="D60" s="435"/>
      <c r="E60" s="137">
        <v>175</v>
      </c>
      <c r="F60" s="148">
        <v>277</v>
      </c>
      <c r="G60" s="145">
        <v>13</v>
      </c>
      <c r="H60" s="148">
        <v>14</v>
      </c>
      <c r="I60" s="134">
        <f t="shared" si="0"/>
        <v>277.22055555555551</v>
      </c>
      <c r="J60" s="140">
        <f t="shared" si="2"/>
        <v>277.22055555555551</v>
      </c>
      <c r="K60" s="141">
        <f t="shared" si="3"/>
        <v>172.94972222222214</v>
      </c>
      <c r="L60" s="149">
        <v>34.289000000000001</v>
      </c>
      <c r="M60" s="162">
        <v>1.7709999999999999</v>
      </c>
      <c r="N60" s="150">
        <v>34.243000000000002</v>
      </c>
      <c r="O60" s="151">
        <v>87</v>
      </c>
      <c r="P60" s="145">
        <v>2</v>
      </c>
      <c r="Q60" s="148">
        <v>22</v>
      </c>
      <c r="R60" s="153"/>
      <c r="S60" s="134">
        <f t="shared" si="4"/>
        <v>4.2086410593159691</v>
      </c>
      <c r="T60" s="134">
        <f t="shared" si="5"/>
        <v>-34.029734959794204</v>
      </c>
      <c r="U60" s="134">
        <f t="shared" ref="U60:V60" si="59">U$7+S60</f>
        <v>535242.4086410593</v>
      </c>
      <c r="V60" s="134">
        <f t="shared" si="59"/>
        <v>9407708.7502650395</v>
      </c>
      <c r="W60" s="146">
        <f t="shared" si="8"/>
        <v>1056726.5048125</v>
      </c>
      <c r="X60" s="18"/>
      <c r="Y60" s="18"/>
      <c r="Z60" s="135" t="str">
        <f t="shared" si="1"/>
        <v>po 535242,408641059,9407708,75026504</v>
      </c>
      <c r="AA60" s="18"/>
      <c r="AB60" s="18"/>
      <c r="AC60" s="18"/>
      <c r="AD60" s="18"/>
      <c r="AE60" s="18"/>
      <c r="AF60" s="18"/>
    </row>
    <row r="61" spans="2:32" ht="15.75" customHeight="1" x14ac:dyDescent="0.35">
      <c r="B61" s="18"/>
      <c r="C61" s="166" t="s">
        <v>168</v>
      </c>
      <c r="D61" s="435"/>
      <c r="E61" s="137">
        <v>175</v>
      </c>
      <c r="F61" s="148">
        <v>216</v>
      </c>
      <c r="G61" s="145">
        <v>19</v>
      </c>
      <c r="H61" s="148">
        <v>19</v>
      </c>
      <c r="I61" s="134">
        <f t="shared" si="0"/>
        <v>216.32194444444445</v>
      </c>
      <c r="J61" s="140">
        <f t="shared" si="2"/>
        <v>216.32194444444445</v>
      </c>
      <c r="K61" s="141">
        <f t="shared" si="3"/>
        <v>112.05111111111114</v>
      </c>
      <c r="L61" s="149">
        <v>34.036000000000001</v>
      </c>
      <c r="M61" s="162">
        <v>1.738</v>
      </c>
      <c r="N61" s="150">
        <v>33.991999999999997</v>
      </c>
      <c r="O61" s="151">
        <v>87</v>
      </c>
      <c r="P61" s="145">
        <v>4</v>
      </c>
      <c r="Q61" s="148">
        <v>24</v>
      </c>
      <c r="R61" s="153"/>
      <c r="S61" s="134">
        <f t="shared" si="4"/>
        <v>31.546243292202949</v>
      </c>
      <c r="T61" s="134">
        <f t="shared" si="5"/>
        <v>-12.778256146639905</v>
      </c>
      <c r="U61" s="134">
        <f t="shared" ref="U61:V61" si="60">U$7+S61</f>
        <v>535269.74624329212</v>
      </c>
      <c r="V61" s="134">
        <f t="shared" si="60"/>
        <v>9407730.0017438531</v>
      </c>
      <c r="W61" s="146">
        <f t="shared" si="8"/>
        <v>1056726.4718124999</v>
      </c>
      <c r="X61" s="18"/>
      <c r="Y61" s="18"/>
      <c r="Z61" s="135" t="str">
        <f t="shared" si="1"/>
        <v>po 535269,746243292,9407730,00174385</v>
      </c>
      <c r="AA61" s="18"/>
      <c r="AB61" s="18"/>
      <c r="AC61" s="18"/>
      <c r="AD61" s="18"/>
      <c r="AE61" s="18"/>
      <c r="AF61" s="18"/>
    </row>
    <row r="62" spans="2:32" ht="15.75" customHeight="1" x14ac:dyDescent="0.35">
      <c r="B62" s="18"/>
      <c r="C62" s="165" t="s">
        <v>169</v>
      </c>
      <c r="D62" s="435"/>
      <c r="E62" s="137">
        <v>175</v>
      </c>
      <c r="F62" s="148"/>
      <c r="G62" s="145"/>
      <c r="H62" s="148"/>
      <c r="I62" s="134">
        <f t="shared" si="0"/>
        <v>0</v>
      </c>
      <c r="J62" s="140">
        <f t="shared" si="2"/>
        <v>0</v>
      </c>
      <c r="K62" s="141" t="e">
        <f t="shared" ref="K62:K72" si="61">IF($J$5+J62&gt;=360,$J$5+J62-360,IF($J$5+J62&lt;360,$J$5+J62))</f>
        <v>#VALUE!</v>
      </c>
      <c r="L62" s="149"/>
      <c r="M62" s="162"/>
      <c r="N62" s="150"/>
      <c r="O62" s="151"/>
      <c r="P62" s="145"/>
      <c r="Q62" s="148"/>
      <c r="R62" s="153"/>
      <c r="S62" s="134" t="e">
        <f t="shared" si="4"/>
        <v>#VALUE!</v>
      </c>
      <c r="T62" s="134" t="e">
        <f t="shared" si="5"/>
        <v>#VALUE!</v>
      </c>
      <c r="U62" s="134" t="e">
        <f t="shared" ref="U62:V62" si="62">U$5+S62</f>
        <v>#VALUE!</v>
      </c>
      <c r="V62" s="134" t="e">
        <f t="shared" si="62"/>
        <v>#VALUE!</v>
      </c>
      <c r="W62" s="141" t="e">
        <f t="shared" ref="W62:W72" si="63">(D62+M62-E62)+$V$5</f>
        <v>#VALUE!</v>
      </c>
      <c r="X62" s="18"/>
      <c r="Y62" s="18"/>
      <c r="Z62" s="135" t="e">
        <f t="shared" si="1"/>
        <v>#VALUE!</v>
      </c>
      <c r="AA62" s="18"/>
      <c r="AB62" s="18"/>
      <c r="AC62" s="18"/>
      <c r="AD62" s="18"/>
      <c r="AE62" s="18"/>
      <c r="AF62" s="18"/>
    </row>
    <row r="63" spans="2:32" ht="15.75" customHeight="1" x14ac:dyDescent="0.35">
      <c r="B63" s="18"/>
      <c r="C63" s="166" t="s">
        <v>170</v>
      </c>
      <c r="D63" s="435"/>
      <c r="E63" s="137">
        <v>175</v>
      </c>
      <c r="F63" s="148"/>
      <c r="G63" s="145"/>
      <c r="H63" s="148"/>
      <c r="I63" s="134">
        <f t="shared" si="0"/>
        <v>0</v>
      </c>
      <c r="J63" s="140">
        <f t="shared" si="2"/>
        <v>0</v>
      </c>
      <c r="K63" s="141" t="e">
        <f t="shared" si="61"/>
        <v>#VALUE!</v>
      </c>
      <c r="L63" s="149"/>
      <c r="M63" s="162"/>
      <c r="N63" s="150"/>
      <c r="O63" s="151"/>
      <c r="P63" s="145"/>
      <c r="Q63" s="148"/>
      <c r="R63" s="153"/>
      <c r="S63" s="134" t="e">
        <f t="shared" si="4"/>
        <v>#VALUE!</v>
      </c>
      <c r="T63" s="134" t="e">
        <f t="shared" si="5"/>
        <v>#VALUE!</v>
      </c>
      <c r="U63" s="134" t="e">
        <f t="shared" ref="U63:V63" si="64">U$5+S63</f>
        <v>#VALUE!</v>
      </c>
      <c r="V63" s="134" t="e">
        <f t="shared" si="64"/>
        <v>#VALUE!</v>
      </c>
      <c r="W63" s="141" t="e">
        <f t="shared" si="63"/>
        <v>#VALUE!</v>
      </c>
      <c r="X63" s="18"/>
      <c r="Y63" s="18"/>
      <c r="Z63" s="135" t="e">
        <f t="shared" si="1"/>
        <v>#VALUE!</v>
      </c>
      <c r="AA63" s="18"/>
      <c r="AB63" s="18"/>
      <c r="AC63" s="18"/>
      <c r="AD63" s="18"/>
      <c r="AE63" s="18"/>
      <c r="AF63" s="18"/>
    </row>
    <row r="64" spans="2:32" ht="15.75" customHeight="1" x14ac:dyDescent="0.35">
      <c r="B64" s="18"/>
      <c r="C64" s="165" t="s">
        <v>171</v>
      </c>
      <c r="D64" s="435"/>
      <c r="E64" s="137">
        <v>175</v>
      </c>
      <c r="F64" s="148"/>
      <c r="G64" s="145"/>
      <c r="H64" s="148"/>
      <c r="I64" s="134">
        <f t="shared" si="0"/>
        <v>0</v>
      </c>
      <c r="J64" s="140">
        <f t="shared" si="2"/>
        <v>0</v>
      </c>
      <c r="K64" s="141" t="e">
        <f t="shared" si="61"/>
        <v>#VALUE!</v>
      </c>
      <c r="L64" s="149"/>
      <c r="M64" s="162"/>
      <c r="N64" s="150"/>
      <c r="O64" s="151"/>
      <c r="P64" s="145"/>
      <c r="Q64" s="148"/>
      <c r="R64" s="153"/>
      <c r="S64" s="134" t="e">
        <f t="shared" si="4"/>
        <v>#VALUE!</v>
      </c>
      <c r="T64" s="134" t="e">
        <f t="shared" si="5"/>
        <v>#VALUE!</v>
      </c>
      <c r="U64" s="134" t="e">
        <f t="shared" ref="U64:V64" si="65">U$5+S64</f>
        <v>#VALUE!</v>
      </c>
      <c r="V64" s="134" t="e">
        <f t="shared" si="65"/>
        <v>#VALUE!</v>
      </c>
      <c r="W64" s="141" t="e">
        <f t="shared" si="63"/>
        <v>#VALUE!</v>
      </c>
      <c r="X64" s="18"/>
      <c r="Y64" s="18"/>
      <c r="Z64" s="135" t="e">
        <f t="shared" si="1"/>
        <v>#VALUE!</v>
      </c>
      <c r="AA64" s="18"/>
      <c r="AB64" s="18"/>
      <c r="AC64" s="18"/>
      <c r="AD64" s="18"/>
      <c r="AE64" s="18"/>
      <c r="AF64" s="18"/>
    </row>
    <row r="65" spans="2:32" ht="15.75" customHeight="1" x14ac:dyDescent="0.35">
      <c r="B65" s="18"/>
      <c r="C65" s="166" t="s">
        <v>172</v>
      </c>
      <c r="D65" s="435"/>
      <c r="E65" s="137">
        <v>175</v>
      </c>
      <c r="F65" s="148"/>
      <c r="G65" s="145"/>
      <c r="H65" s="148"/>
      <c r="I65" s="134">
        <f t="shared" si="0"/>
        <v>0</v>
      </c>
      <c r="J65" s="140">
        <f t="shared" si="2"/>
        <v>0</v>
      </c>
      <c r="K65" s="141" t="e">
        <f t="shared" si="61"/>
        <v>#VALUE!</v>
      </c>
      <c r="L65" s="149"/>
      <c r="M65" s="162"/>
      <c r="N65" s="150"/>
      <c r="O65" s="151"/>
      <c r="P65" s="145"/>
      <c r="Q65" s="148"/>
      <c r="R65" s="153"/>
      <c r="S65" s="134" t="e">
        <f t="shared" si="4"/>
        <v>#VALUE!</v>
      </c>
      <c r="T65" s="134" t="e">
        <f t="shared" si="5"/>
        <v>#VALUE!</v>
      </c>
      <c r="U65" s="134" t="e">
        <f t="shared" ref="U65:V65" si="66">U$5+S65</f>
        <v>#VALUE!</v>
      </c>
      <c r="V65" s="134" t="e">
        <f t="shared" si="66"/>
        <v>#VALUE!</v>
      </c>
      <c r="W65" s="141" t="e">
        <f t="shared" si="63"/>
        <v>#VALUE!</v>
      </c>
      <c r="X65" s="18"/>
      <c r="Y65" s="18"/>
      <c r="Z65" s="135" t="e">
        <f t="shared" si="1"/>
        <v>#VALUE!</v>
      </c>
      <c r="AA65" s="18"/>
      <c r="AB65" s="18"/>
      <c r="AC65" s="18"/>
      <c r="AD65" s="18"/>
      <c r="AE65" s="18"/>
      <c r="AF65" s="18"/>
    </row>
    <row r="66" spans="2:32" ht="15.75" customHeight="1" x14ac:dyDescent="0.35">
      <c r="B66" s="18"/>
      <c r="C66" s="165" t="s">
        <v>173</v>
      </c>
      <c r="D66" s="435"/>
      <c r="E66" s="137">
        <v>175</v>
      </c>
      <c r="F66" s="148"/>
      <c r="G66" s="145"/>
      <c r="H66" s="148"/>
      <c r="I66" s="134">
        <f t="shared" si="0"/>
        <v>0</v>
      </c>
      <c r="J66" s="140">
        <f t="shared" si="2"/>
        <v>0</v>
      </c>
      <c r="K66" s="141" t="e">
        <f t="shared" si="61"/>
        <v>#VALUE!</v>
      </c>
      <c r="L66" s="149"/>
      <c r="M66" s="162"/>
      <c r="N66" s="150"/>
      <c r="O66" s="151"/>
      <c r="P66" s="145"/>
      <c r="Q66" s="148"/>
      <c r="R66" s="153"/>
      <c r="S66" s="134" t="e">
        <f t="shared" si="4"/>
        <v>#VALUE!</v>
      </c>
      <c r="T66" s="134" t="e">
        <f t="shared" si="5"/>
        <v>#VALUE!</v>
      </c>
      <c r="U66" s="134" t="e">
        <f t="shared" ref="U66:V66" si="67">U$5+S66</f>
        <v>#VALUE!</v>
      </c>
      <c r="V66" s="134" t="e">
        <f t="shared" si="67"/>
        <v>#VALUE!</v>
      </c>
      <c r="W66" s="141" t="e">
        <f t="shared" si="63"/>
        <v>#VALUE!</v>
      </c>
      <c r="X66" s="18"/>
      <c r="Y66" s="18"/>
      <c r="Z66" s="135" t="e">
        <f t="shared" si="1"/>
        <v>#VALUE!</v>
      </c>
      <c r="AA66" s="18"/>
      <c r="AB66" s="18"/>
      <c r="AC66" s="18"/>
      <c r="AD66" s="18"/>
      <c r="AE66" s="18"/>
      <c r="AF66" s="18"/>
    </row>
    <row r="67" spans="2:32" ht="15.75" customHeight="1" x14ac:dyDescent="0.35">
      <c r="B67" s="18"/>
      <c r="C67" s="166" t="s">
        <v>174</v>
      </c>
      <c r="D67" s="435"/>
      <c r="E67" s="137">
        <v>175</v>
      </c>
      <c r="F67" s="148"/>
      <c r="G67" s="145"/>
      <c r="H67" s="148"/>
      <c r="I67" s="134">
        <f t="shared" si="0"/>
        <v>0</v>
      </c>
      <c r="J67" s="140">
        <f t="shared" si="2"/>
        <v>0</v>
      </c>
      <c r="K67" s="141" t="e">
        <f t="shared" si="61"/>
        <v>#VALUE!</v>
      </c>
      <c r="L67" s="149"/>
      <c r="M67" s="162"/>
      <c r="N67" s="150"/>
      <c r="O67" s="151"/>
      <c r="P67" s="145"/>
      <c r="Q67" s="148"/>
      <c r="R67" s="153"/>
      <c r="S67" s="134" t="e">
        <f t="shared" si="4"/>
        <v>#VALUE!</v>
      </c>
      <c r="T67" s="134" t="e">
        <f t="shared" si="5"/>
        <v>#VALUE!</v>
      </c>
      <c r="U67" s="134" t="e">
        <f t="shared" ref="U67:V67" si="68">U$5+S67</f>
        <v>#VALUE!</v>
      </c>
      <c r="V67" s="134" t="e">
        <f t="shared" si="68"/>
        <v>#VALUE!</v>
      </c>
      <c r="W67" s="141" t="e">
        <f t="shared" si="63"/>
        <v>#VALUE!</v>
      </c>
      <c r="X67" s="18"/>
      <c r="Y67" s="18"/>
      <c r="Z67" s="135" t="e">
        <f t="shared" si="1"/>
        <v>#VALUE!</v>
      </c>
      <c r="AA67" s="18"/>
      <c r="AB67" s="18"/>
      <c r="AC67" s="18"/>
      <c r="AD67" s="18"/>
      <c r="AE67" s="18"/>
      <c r="AF67" s="18"/>
    </row>
    <row r="68" spans="2:32" ht="15.75" customHeight="1" x14ac:dyDescent="0.35">
      <c r="B68" s="18"/>
      <c r="C68" s="165" t="s">
        <v>175</v>
      </c>
      <c r="D68" s="435"/>
      <c r="E68" s="137">
        <v>175</v>
      </c>
      <c r="F68" s="148"/>
      <c r="G68" s="145"/>
      <c r="H68" s="148"/>
      <c r="I68" s="134">
        <f t="shared" si="0"/>
        <v>0</v>
      </c>
      <c r="J68" s="140">
        <f t="shared" si="2"/>
        <v>0</v>
      </c>
      <c r="K68" s="141" t="e">
        <f t="shared" si="61"/>
        <v>#VALUE!</v>
      </c>
      <c r="L68" s="149"/>
      <c r="M68" s="162"/>
      <c r="N68" s="150"/>
      <c r="O68" s="151"/>
      <c r="P68" s="145"/>
      <c r="Q68" s="148"/>
      <c r="R68" s="153"/>
      <c r="S68" s="134" t="e">
        <f t="shared" si="4"/>
        <v>#VALUE!</v>
      </c>
      <c r="T68" s="134" t="e">
        <f t="shared" si="5"/>
        <v>#VALUE!</v>
      </c>
      <c r="U68" s="134" t="e">
        <f t="shared" ref="U68:V68" si="69">U$5+S68</f>
        <v>#VALUE!</v>
      </c>
      <c r="V68" s="134" t="e">
        <f t="shared" si="69"/>
        <v>#VALUE!</v>
      </c>
      <c r="W68" s="141" t="e">
        <f t="shared" si="63"/>
        <v>#VALUE!</v>
      </c>
      <c r="X68" s="18"/>
      <c r="Y68" s="18"/>
      <c r="Z68" s="135" t="e">
        <f t="shared" si="1"/>
        <v>#VALUE!</v>
      </c>
      <c r="AA68" s="18"/>
      <c r="AB68" s="18"/>
      <c r="AC68" s="18"/>
      <c r="AD68" s="18"/>
      <c r="AE68" s="18"/>
      <c r="AF68" s="18"/>
    </row>
    <row r="69" spans="2:32" ht="15.75" customHeight="1" x14ac:dyDescent="0.35">
      <c r="B69" s="18"/>
      <c r="C69" s="166" t="s">
        <v>176</v>
      </c>
      <c r="D69" s="435"/>
      <c r="E69" s="137">
        <v>175</v>
      </c>
      <c r="F69" s="148"/>
      <c r="G69" s="145"/>
      <c r="H69" s="148"/>
      <c r="I69" s="134">
        <f t="shared" si="0"/>
        <v>0</v>
      </c>
      <c r="J69" s="140">
        <f t="shared" si="2"/>
        <v>0</v>
      </c>
      <c r="K69" s="141" t="e">
        <f t="shared" si="61"/>
        <v>#VALUE!</v>
      </c>
      <c r="L69" s="149"/>
      <c r="M69" s="162"/>
      <c r="N69" s="150"/>
      <c r="O69" s="151"/>
      <c r="P69" s="145"/>
      <c r="Q69" s="148"/>
      <c r="R69" s="153"/>
      <c r="S69" s="134" t="e">
        <f t="shared" si="4"/>
        <v>#VALUE!</v>
      </c>
      <c r="T69" s="134" t="e">
        <f t="shared" si="5"/>
        <v>#VALUE!</v>
      </c>
      <c r="U69" s="134" t="e">
        <f t="shared" ref="U69:V69" si="70">U$5+S69</f>
        <v>#VALUE!</v>
      </c>
      <c r="V69" s="134" t="e">
        <f t="shared" si="70"/>
        <v>#VALUE!</v>
      </c>
      <c r="W69" s="141" t="e">
        <f t="shared" si="63"/>
        <v>#VALUE!</v>
      </c>
      <c r="X69" s="18"/>
      <c r="Y69" s="18"/>
      <c r="Z69" s="135" t="e">
        <f t="shared" si="1"/>
        <v>#VALUE!</v>
      </c>
      <c r="AA69" s="18"/>
      <c r="AB69" s="18"/>
      <c r="AC69" s="18"/>
      <c r="AD69" s="18"/>
      <c r="AE69" s="18"/>
      <c r="AF69" s="18"/>
    </row>
    <row r="70" spans="2:32" ht="15.75" customHeight="1" x14ac:dyDescent="0.35">
      <c r="B70" s="18"/>
      <c r="C70" s="165" t="s">
        <v>177</v>
      </c>
      <c r="D70" s="435"/>
      <c r="E70" s="137">
        <v>175</v>
      </c>
      <c r="F70" s="148"/>
      <c r="G70" s="166"/>
      <c r="H70" s="166"/>
      <c r="I70" s="134">
        <f t="shared" si="0"/>
        <v>0</v>
      </c>
      <c r="J70" s="140">
        <f t="shared" si="2"/>
        <v>0</v>
      </c>
      <c r="K70" s="141" t="e">
        <f t="shared" si="61"/>
        <v>#VALUE!</v>
      </c>
      <c r="L70" s="149"/>
      <c r="M70" s="162"/>
      <c r="N70" s="150"/>
      <c r="O70" s="166"/>
      <c r="P70" s="166"/>
      <c r="Q70" s="148"/>
      <c r="R70" s="153"/>
      <c r="S70" s="134" t="e">
        <f t="shared" si="4"/>
        <v>#VALUE!</v>
      </c>
      <c r="T70" s="134" t="e">
        <f t="shared" si="5"/>
        <v>#VALUE!</v>
      </c>
      <c r="U70" s="134" t="e">
        <f t="shared" ref="U70:V70" si="71">U$5+S70</f>
        <v>#VALUE!</v>
      </c>
      <c r="V70" s="134" t="e">
        <f t="shared" si="71"/>
        <v>#VALUE!</v>
      </c>
      <c r="W70" s="141" t="e">
        <f t="shared" si="63"/>
        <v>#VALUE!</v>
      </c>
      <c r="X70" s="18"/>
      <c r="Y70" s="18"/>
      <c r="Z70" s="135" t="e">
        <f t="shared" si="1"/>
        <v>#VALUE!</v>
      </c>
      <c r="AA70" s="18"/>
      <c r="AB70" s="18"/>
      <c r="AC70" s="18"/>
      <c r="AD70" s="18"/>
      <c r="AE70" s="18"/>
      <c r="AF70" s="18"/>
    </row>
    <row r="71" spans="2:32" ht="15.75" customHeight="1" x14ac:dyDescent="0.35">
      <c r="B71" s="18"/>
      <c r="C71" s="166" t="s">
        <v>178</v>
      </c>
      <c r="D71" s="435"/>
      <c r="E71" s="137">
        <v>175</v>
      </c>
      <c r="F71" s="148"/>
      <c r="G71" s="166"/>
      <c r="H71" s="166"/>
      <c r="I71" s="134">
        <f t="shared" si="0"/>
        <v>0</v>
      </c>
      <c r="J71" s="140">
        <f t="shared" si="2"/>
        <v>0</v>
      </c>
      <c r="K71" s="141" t="e">
        <f t="shared" si="61"/>
        <v>#VALUE!</v>
      </c>
      <c r="L71" s="149"/>
      <c r="M71" s="162"/>
      <c r="N71" s="150"/>
      <c r="O71" s="166"/>
      <c r="P71" s="166"/>
      <c r="Q71" s="148"/>
      <c r="R71" s="153"/>
      <c r="S71" s="134" t="e">
        <f t="shared" si="4"/>
        <v>#VALUE!</v>
      </c>
      <c r="T71" s="134" t="e">
        <f t="shared" si="5"/>
        <v>#VALUE!</v>
      </c>
      <c r="U71" s="134" t="e">
        <f t="shared" ref="U71:V71" si="72">U$5+S71</f>
        <v>#VALUE!</v>
      </c>
      <c r="V71" s="134" t="e">
        <f t="shared" si="72"/>
        <v>#VALUE!</v>
      </c>
      <c r="W71" s="141" t="e">
        <f t="shared" si="63"/>
        <v>#VALUE!</v>
      </c>
      <c r="X71" s="18"/>
      <c r="Y71" s="18"/>
      <c r="Z71" s="135" t="e">
        <f t="shared" si="1"/>
        <v>#VALUE!</v>
      </c>
      <c r="AA71" s="18"/>
      <c r="AB71" s="18"/>
      <c r="AC71" s="18"/>
      <c r="AD71" s="18"/>
      <c r="AE71" s="18"/>
      <c r="AF71" s="18"/>
    </row>
    <row r="72" spans="2:32" ht="15.75" customHeight="1" x14ac:dyDescent="0.35">
      <c r="B72" s="18"/>
      <c r="C72" s="165" t="s">
        <v>179</v>
      </c>
      <c r="D72" s="435"/>
      <c r="E72" s="137">
        <v>175</v>
      </c>
      <c r="F72" s="148"/>
      <c r="G72" s="166"/>
      <c r="H72" s="166"/>
      <c r="I72" s="134">
        <f t="shared" si="0"/>
        <v>0</v>
      </c>
      <c r="J72" s="140">
        <f t="shared" si="2"/>
        <v>0</v>
      </c>
      <c r="K72" s="141" t="e">
        <f t="shared" si="61"/>
        <v>#VALUE!</v>
      </c>
      <c r="L72" s="149"/>
      <c r="M72" s="162"/>
      <c r="N72" s="150"/>
      <c r="O72" s="166"/>
      <c r="P72" s="166"/>
      <c r="Q72" s="148"/>
      <c r="R72" s="153"/>
      <c r="S72" s="134" t="e">
        <f t="shared" si="4"/>
        <v>#VALUE!</v>
      </c>
      <c r="T72" s="134" t="e">
        <f t="shared" si="5"/>
        <v>#VALUE!</v>
      </c>
      <c r="U72" s="134" t="e">
        <f t="shared" ref="U72:V72" si="73">U$5+S72</f>
        <v>#VALUE!</v>
      </c>
      <c r="V72" s="134" t="e">
        <f t="shared" si="73"/>
        <v>#VALUE!</v>
      </c>
      <c r="W72" s="141" t="e">
        <f t="shared" si="63"/>
        <v>#VALUE!</v>
      </c>
      <c r="X72" s="18"/>
      <c r="Y72" s="18"/>
      <c r="Z72" s="135" t="e">
        <f t="shared" si="1"/>
        <v>#VALUE!</v>
      </c>
      <c r="AA72" s="18"/>
      <c r="AB72" s="18"/>
      <c r="AC72" s="18"/>
      <c r="AD72" s="18"/>
      <c r="AE72" s="18"/>
      <c r="AF72" s="18"/>
    </row>
    <row r="73" spans="2:32" ht="15.75" customHeight="1" x14ac:dyDescent="0.35"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</row>
    <row r="74" spans="2:32" ht="15.75" customHeight="1" x14ac:dyDescent="0.35">
      <c r="B74" s="18"/>
      <c r="C74" s="425" t="s">
        <v>99</v>
      </c>
      <c r="D74" s="425" t="s">
        <v>100</v>
      </c>
      <c r="E74" s="427" t="s">
        <v>101</v>
      </c>
      <c r="F74" s="428" t="s">
        <v>2</v>
      </c>
      <c r="G74" s="429"/>
      <c r="H74" s="430"/>
      <c r="I74" s="431" t="s">
        <v>102</v>
      </c>
      <c r="J74" s="431" t="s">
        <v>103</v>
      </c>
      <c r="K74" s="425" t="s">
        <v>104</v>
      </c>
      <c r="L74" s="436" t="s">
        <v>105</v>
      </c>
      <c r="M74" s="429"/>
      <c r="N74" s="430"/>
      <c r="O74" s="436" t="s">
        <v>22</v>
      </c>
      <c r="P74" s="429"/>
      <c r="Q74" s="430"/>
      <c r="R74" s="431" t="s">
        <v>107</v>
      </c>
      <c r="S74" s="431" t="s">
        <v>108</v>
      </c>
      <c r="T74" s="431" t="s">
        <v>109</v>
      </c>
      <c r="U74" s="431" t="s">
        <v>110</v>
      </c>
      <c r="V74" s="427" t="s">
        <v>111</v>
      </c>
      <c r="W74" s="18"/>
      <c r="X74" s="18"/>
      <c r="Y74" s="18"/>
      <c r="Z74" s="18"/>
      <c r="AA74" s="18"/>
      <c r="AB74" s="18"/>
      <c r="AC74" s="18"/>
      <c r="AD74" s="18"/>
      <c r="AE74" s="18"/>
    </row>
    <row r="75" spans="2:32" ht="15.75" customHeight="1" x14ac:dyDescent="0.35">
      <c r="B75" s="18"/>
      <c r="C75" s="426"/>
      <c r="D75" s="426"/>
      <c r="E75" s="426"/>
      <c r="F75" s="121" t="s">
        <v>10</v>
      </c>
      <c r="G75" s="121" t="s">
        <v>14</v>
      </c>
      <c r="H75" s="121" t="s">
        <v>12</v>
      </c>
      <c r="I75" s="426"/>
      <c r="J75" s="426"/>
      <c r="K75" s="426"/>
      <c r="L75" s="122" t="s">
        <v>112</v>
      </c>
      <c r="M75" s="122" t="s">
        <v>113</v>
      </c>
      <c r="N75" s="123" t="s">
        <v>114</v>
      </c>
      <c r="O75" s="122" t="s">
        <v>10</v>
      </c>
      <c r="P75" s="122" t="s">
        <v>11</v>
      </c>
      <c r="Q75" s="123" t="s">
        <v>12</v>
      </c>
      <c r="R75" s="426"/>
      <c r="S75" s="426"/>
      <c r="T75" s="426"/>
      <c r="U75" s="426"/>
      <c r="V75" s="426"/>
      <c r="W75" s="18"/>
      <c r="X75" s="18"/>
      <c r="Y75" s="18"/>
      <c r="Z75" s="18"/>
      <c r="AA75" s="18"/>
      <c r="AB75" s="18"/>
      <c r="AC75" s="18"/>
      <c r="AD75" s="18"/>
    </row>
    <row r="76" spans="2:32" ht="15.75" customHeight="1" x14ac:dyDescent="0.35">
      <c r="B76" s="18"/>
      <c r="C76" s="124" t="s">
        <v>18</v>
      </c>
      <c r="D76" s="125"/>
      <c r="E76" s="126"/>
      <c r="F76" s="127">
        <v>334.88686868686898</v>
      </c>
      <c r="G76" s="126">
        <v>27.690909090909098</v>
      </c>
      <c r="H76" s="128">
        <v>29.359595959596</v>
      </c>
      <c r="I76" s="129">
        <f t="shared" ref="I76:I141" si="74">F76+G76/60+H76/3600</f>
        <v>335.3565392817062</v>
      </c>
      <c r="J76" s="130"/>
      <c r="K76" s="131">
        <f>'Data Lapangan'!H74</f>
        <v>91.97</v>
      </c>
      <c r="L76" s="132"/>
      <c r="M76" s="132"/>
      <c r="N76" s="132"/>
      <c r="O76" s="133"/>
      <c r="P76" s="126"/>
      <c r="Q76" s="127"/>
      <c r="R76" s="134"/>
      <c r="S76" s="134"/>
      <c r="T76" s="92">
        <v>535238.19999999995</v>
      </c>
      <c r="U76" s="92">
        <v>9407742.7799999993</v>
      </c>
      <c r="V76" s="141">
        <v>0</v>
      </c>
      <c r="W76" s="18"/>
      <c r="X76" s="18"/>
      <c r="Y76" s="135" t="str">
        <f t="shared" ref="Y76:Y141" si="75">CONCATENATE("po ",T76,",",U76)</f>
        <v>po 535238,2,9407742,78</v>
      </c>
      <c r="Z76" s="135"/>
      <c r="AA76" s="135"/>
      <c r="AB76" s="135"/>
      <c r="AC76" s="18"/>
      <c r="AD76" s="18"/>
    </row>
    <row r="77" spans="2:32" ht="15.75" customHeight="1" x14ac:dyDescent="0.35">
      <c r="B77" s="18"/>
      <c r="C77" s="136" t="s">
        <v>180</v>
      </c>
      <c r="D77" s="432">
        <v>1.56</v>
      </c>
      <c r="E77" s="137">
        <v>175</v>
      </c>
      <c r="F77" s="138">
        <v>336.49906204906199</v>
      </c>
      <c r="G77" s="139">
        <v>27.642207792207799</v>
      </c>
      <c r="H77" s="138">
        <v>29.317243867243899</v>
      </c>
      <c r="I77" s="134">
        <f t="shared" si="74"/>
        <v>336.96790919111749</v>
      </c>
      <c r="J77" s="140">
        <f t="shared" ref="J77:J141" si="76">IF((I77-$H$5)&lt;0,(I77-$H$5)+360,(I77-$H$5))</f>
        <v>336.96790919111749</v>
      </c>
      <c r="K77" s="141">
        <f t="shared" ref="K77:K130" si="77">IF($K$7+I77&gt;=360,$K$7+I77-360,IF($K$7+I77&lt;360,$K$7+I77))</f>
        <v>232.69707585778417</v>
      </c>
      <c r="L77" s="142">
        <v>37.227628930817602</v>
      </c>
      <c r="M77" s="143">
        <v>1.09825744234801</v>
      </c>
      <c r="N77" s="143">
        <v>37.187731656184503</v>
      </c>
      <c r="O77" s="144">
        <v>84.9930118798043</v>
      </c>
      <c r="P77" s="145">
        <v>22.788259958071201</v>
      </c>
      <c r="Q77" s="138">
        <v>26.510831586303301</v>
      </c>
      <c r="R77" s="134">
        <f t="shared" ref="R77:R141" si="78">(SIN(RADIANS((K77)))*L77)</f>
        <v>-29.612440185829371</v>
      </c>
      <c r="S77" s="134">
        <f t="shared" ref="S77:S141" si="79">COS(RADIANS(K77))*L77</f>
        <v>-22.561022628669239</v>
      </c>
      <c r="T77" s="134">
        <f t="shared" ref="T77:U77" si="80">U$7+R77</f>
        <v>535208.5875598141</v>
      </c>
      <c r="U77" s="134">
        <f t="shared" si="80"/>
        <v>9407720.2189773712</v>
      </c>
      <c r="V77" s="146">
        <f t="shared" ref="V77:V130" si="81">(D77+M77-E77)+$W$7</f>
        <v>1056727.3920699423</v>
      </c>
      <c r="W77" s="18"/>
      <c r="X77" s="18"/>
      <c r="Y77" s="135" t="str">
        <f t="shared" si="75"/>
        <v>po 535208,587559814,9407720,21897737</v>
      </c>
      <c r="Z77" s="135"/>
      <c r="AA77" s="135"/>
      <c r="AB77" s="135"/>
      <c r="AC77" s="18"/>
      <c r="AD77" s="18"/>
    </row>
    <row r="78" spans="2:32" ht="15.75" customHeight="1" x14ac:dyDescent="0.35">
      <c r="B78" s="18"/>
      <c r="C78" s="147" t="s">
        <v>181</v>
      </c>
      <c r="D78" s="433"/>
      <c r="E78" s="137">
        <v>175</v>
      </c>
      <c r="F78" s="148">
        <v>338.111255411255</v>
      </c>
      <c r="G78" s="145">
        <v>27.593506493506499</v>
      </c>
      <c r="H78" s="148">
        <v>29.274891774891799</v>
      </c>
      <c r="I78" s="134">
        <f t="shared" si="74"/>
        <v>338.57927910052871</v>
      </c>
      <c r="J78" s="140">
        <f t="shared" si="76"/>
        <v>338.57927910052871</v>
      </c>
      <c r="K78" s="141">
        <f t="shared" si="77"/>
        <v>234.30844576719539</v>
      </c>
      <c r="L78" s="149">
        <v>37.432754831332197</v>
      </c>
      <c r="M78" s="150">
        <v>1.1154154907566201</v>
      </c>
      <c r="N78" s="150">
        <v>37.392069372975101</v>
      </c>
      <c r="O78" s="151">
        <v>84.908582682167605</v>
      </c>
      <c r="P78" s="152">
        <v>22.487631027253599</v>
      </c>
      <c r="Q78" s="148">
        <v>26.3826059335493</v>
      </c>
      <c r="R78" s="134">
        <f t="shared" si="78"/>
        <v>-30.401743115245651</v>
      </c>
      <c r="S78" s="134">
        <f t="shared" si="79"/>
        <v>-21.839073923068202</v>
      </c>
      <c r="T78" s="134">
        <f t="shared" ref="T78:U78" si="82">U$7+R78</f>
        <v>535207.79825688468</v>
      </c>
      <c r="U78" s="134">
        <f t="shared" si="82"/>
        <v>9407720.9409260768</v>
      </c>
      <c r="V78" s="146">
        <f t="shared" si="81"/>
        <v>1056725.8492279907</v>
      </c>
      <c r="W78" s="18"/>
      <c r="X78" s="18"/>
      <c r="Y78" s="135" t="str">
        <f t="shared" si="75"/>
        <v>po 535207,798256885,9407720,94092608</v>
      </c>
      <c r="Z78" s="135"/>
      <c r="AA78" s="135"/>
      <c r="AB78" s="135"/>
      <c r="AC78" s="18"/>
      <c r="AD78" s="18"/>
    </row>
    <row r="79" spans="2:32" ht="15.75" customHeight="1" x14ac:dyDescent="0.35">
      <c r="B79" s="18"/>
      <c r="C79" s="136" t="s">
        <v>182</v>
      </c>
      <c r="D79" s="433"/>
      <c r="E79" s="137">
        <v>175</v>
      </c>
      <c r="F79" s="154">
        <v>339.72344877344898</v>
      </c>
      <c r="G79" s="152">
        <v>27.5448051948052</v>
      </c>
      <c r="H79" s="154">
        <v>29.232539682539699</v>
      </c>
      <c r="I79" s="134">
        <f t="shared" si="74"/>
        <v>340.19064900994084</v>
      </c>
      <c r="J79" s="140">
        <f t="shared" si="76"/>
        <v>340.19064900994084</v>
      </c>
      <c r="K79" s="141">
        <f t="shared" si="77"/>
        <v>235.91981567660753</v>
      </c>
      <c r="L79" s="155">
        <v>37.637880731846799</v>
      </c>
      <c r="M79" s="156">
        <v>1.1325735391652401</v>
      </c>
      <c r="N79" s="156">
        <v>37.596407089765599</v>
      </c>
      <c r="O79" s="157">
        <v>84.824153484530797</v>
      </c>
      <c r="P79" s="158">
        <v>22.187002096436</v>
      </c>
      <c r="Q79" s="154">
        <v>26.254380280795399</v>
      </c>
      <c r="R79" s="134">
        <f t="shared" si="78"/>
        <v>-31.173732095923636</v>
      </c>
      <c r="S79" s="134">
        <f t="shared" si="79"/>
        <v>-21.090483474693155</v>
      </c>
      <c r="T79" s="134">
        <f t="shared" ref="T79:U79" si="83">U$7+R79</f>
        <v>535207.02626790397</v>
      </c>
      <c r="U79" s="134">
        <f t="shared" si="83"/>
        <v>9407721.6895165239</v>
      </c>
      <c r="V79" s="146">
        <f t="shared" si="81"/>
        <v>1056725.8663860392</v>
      </c>
      <c r="W79" s="18"/>
      <c r="X79" s="18"/>
      <c r="Y79" s="135" t="str">
        <f t="shared" si="75"/>
        <v>po 535207,026267904,9407721,68951652</v>
      </c>
      <c r="Z79" s="135"/>
      <c r="AA79" s="135"/>
      <c r="AB79" s="135"/>
      <c r="AC79" s="18"/>
      <c r="AD79" s="18"/>
    </row>
    <row r="80" spans="2:32" ht="15.75" customHeight="1" x14ac:dyDescent="0.35">
      <c r="B80" s="18"/>
      <c r="C80" s="136" t="s">
        <v>183</v>
      </c>
      <c r="D80" s="433"/>
      <c r="E80" s="137">
        <v>175</v>
      </c>
      <c r="F80" s="160">
        <v>341.33564213564199</v>
      </c>
      <c r="G80" s="158">
        <v>27.4961038961039</v>
      </c>
      <c r="H80" s="160">
        <v>29.190187590187598</v>
      </c>
      <c r="I80" s="134">
        <f t="shared" si="74"/>
        <v>341.80201891935212</v>
      </c>
      <c r="J80" s="140">
        <f t="shared" si="76"/>
        <v>341.80201891935212</v>
      </c>
      <c r="K80" s="141">
        <f t="shared" si="77"/>
        <v>237.53118558601875</v>
      </c>
      <c r="L80" s="161">
        <v>37.843006632361302</v>
      </c>
      <c r="M80" s="162">
        <v>1.1497315875738501</v>
      </c>
      <c r="N80" s="162">
        <v>37.800744806556203</v>
      </c>
      <c r="O80" s="163">
        <v>84.739724286894102</v>
      </c>
      <c r="P80" s="145">
        <v>21.886373165618402</v>
      </c>
      <c r="Q80" s="160">
        <v>26.126154628041402</v>
      </c>
      <c r="R80" s="134">
        <f t="shared" si="78"/>
        <v>-31.927530439180369</v>
      </c>
      <c r="S80" s="134">
        <f t="shared" si="79"/>
        <v>-20.315657779952698</v>
      </c>
      <c r="T80" s="134">
        <f t="shared" ref="T80:U80" si="84">U$7+R80</f>
        <v>535206.27246956073</v>
      </c>
      <c r="U80" s="134">
        <f t="shared" si="84"/>
        <v>9407722.4643422198</v>
      </c>
      <c r="V80" s="146">
        <f t="shared" si="81"/>
        <v>1056725.8835440876</v>
      </c>
      <c r="W80" s="18"/>
      <c r="X80" s="18"/>
      <c r="Y80" s="135" t="str">
        <f t="shared" si="75"/>
        <v>po 535206,272469561,9407722,46434222</v>
      </c>
      <c r="Z80" s="135"/>
      <c r="AA80" s="135"/>
      <c r="AB80" s="135"/>
      <c r="AC80" s="18"/>
      <c r="AD80" s="18"/>
    </row>
    <row r="81" spans="2:30" ht="15.75" customHeight="1" x14ac:dyDescent="0.35">
      <c r="B81" s="18"/>
      <c r="C81" s="147" t="s">
        <v>184</v>
      </c>
      <c r="D81" s="433"/>
      <c r="E81" s="137">
        <v>175</v>
      </c>
      <c r="F81" s="148">
        <v>342.94783549783602</v>
      </c>
      <c r="G81" s="145">
        <v>27.447402597402601</v>
      </c>
      <c r="H81" s="148">
        <v>29.147835497835501</v>
      </c>
      <c r="I81" s="134">
        <f t="shared" si="74"/>
        <v>343.41338882876437</v>
      </c>
      <c r="J81" s="140">
        <f t="shared" si="76"/>
        <v>343.41338882876437</v>
      </c>
      <c r="K81" s="141">
        <f t="shared" si="77"/>
        <v>239.142555495431</v>
      </c>
      <c r="L81" s="149">
        <v>38.048132532875897</v>
      </c>
      <c r="M81" s="150">
        <v>1.1668896359824701</v>
      </c>
      <c r="N81" s="150">
        <v>38.005082523346701</v>
      </c>
      <c r="O81" s="151">
        <v>84.655295089257294</v>
      </c>
      <c r="P81" s="158">
        <v>21.585744234800799</v>
      </c>
      <c r="Q81" s="148">
        <v>25.9979289752875</v>
      </c>
      <c r="R81" s="134">
        <f t="shared" si="78"/>
        <v>-32.66227073052125</v>
      </c>
      <c r="S81" s="134">
        <f t="shared" si="79"/>
        <v>-19.515031641414883</v>
      </c>
      <c r="T81" s="134">
        <f t="shared" ref="T81:U81" si="85">U$7+R81</f>
        <v>535205.53772926948</v>
      </c>
      <c r="U81" s="134">
        <f t="shared" si="85"/>
        <v>9407723.264968358</v>
      </c>
      <c r="V81" s="146">
        <f t="shared" si="81"/>
        <v>1056725.9007021361</v>
      </c>
      <c r="W81" s="18"/>
      <c r="X81" s="18"/>
      <c r="Y81" s="135" t="str">
        <f t="shared" si="75"/>
        <v>po 535205,537729269,9407723,26496836</v>
      </c>
      <c r="Z81" s="135"/>
      <c r="AA81" s="135"/>
      <c r="AB81" s="135"/>
      <c r="AC81" s="18"/>
      <c r="AD81" s="18"/>
    </row>
    <row r="82" spans="2:30" ht="15.75" customHeight="1" x14ac:dyDescent="0.35">
      <c r="B82" s="18"/>
      <c r="C82" s="136" t="s">
        <v>185</v>
      </c>
      <c r="D82" s="433"/>
      <c r="E82" s="137">
        <v>175</v>
      </c>
      <c r="F82" s="160">
        <v>344.56002886002898</v>
      </c>
      <c r="G82" s="158">
        <v>27.398701298701301</v>
      </c>
      <c r="H82" s="160">
        <v>29.105483405483401</v>
      </c>
      <c r="I82" s="134">
        <f t="shared" si="74"/>
        <v>345.02475873817554</v>
      </c>
      <c r="J82" s="140">
        <f t="shared" si="76"/>
        <v>345.02475873817554</v>
      </c>
      <c r="K82" s="141">
        <f t="shared" si="77"/>
        <v>240.75392540484222</v>
      </c>
      <c r="L82" s="161">
        <v>38.253258433390499</v>
      </c>
      <c r="M82" s="162">
        <v>1.1840476843910801</v>
      </c>
      <c r="N82" s="162">
        <v>38.209420240137298</v>
      </c>
      <c r="O82" s="163">
        <v>84.570865891620599</v>
      </c>
      <c r="P82" s="145">
        <v>21.285115303983201</v>
      </c>
      <c r="Q82" s="160">
        <v>25.8697033225335</v>
      </c>
      <c r="R82" s="134">
        <f t="shared" si="78"/>
        <v>-33.377095730190014</v>
      </c>
      <c r="S82" s="134">
        <f t="shared" si="79"/>
        <v>-18.689067964708482</v>
      </c>
      <c r="T82" s="134">
        <f t="shared" ref="T82:U82" si="86">U$7+R82</f>
        <v>535204.82290426979</v>
      </c>
      <c r="U82" s="134">
        <f t="shared" si="86"/>
        <v>9407724.090932034</v>
      </c>
      <c r="V82" s="146">
        <f t="shared" si="81"/>
        <v>1056725.9178601843</v>
      </c>
      <c r="W82" s="18"/>
      <c r="X82" s="18"/>
      <c r="Y82" s="135" t="str">
        <f t="shared" si="75"/>
        <v>po 535204,82290427,9407724,09093203</v>
      </c>
      <c r="Z82" s="135"/>
      <c r="AA82" s="135"/>
      <c r="AB82" s="135"/>
      <c r="AC82" s="18"/>
      <c r="AD82" s="18"/>
    </row>
    <row r="83" spans="2:30" ht="15.75" customHeight="1" x14ac:dyDescent="0.35">
      <c r="B83" s="18"/>
      <c r="C83" s="147" t="s">
        <v>186</v>
      </c>
      <c r="D83" s="433"/>
      <c r="E83" s="137">
        <v>175</v>
      </c>
      <c r="F83" s="148">
        <v>346.17222222222199</v>
      </c>
      <c r="G83" s="145">
        <v>27.35</v>
      </c>
      <c r="H83" s="148">
        <v>29.063131313131301</v>
      </c>
      <c r="I83" s="134">
        <f t="shared" si="74"/>
        <v>346.63612864758676</v>
      </c>
      <c r="J83" s="140">
        <f t="shared" si="76"/>
        <v>346.63612864758676</v>
      </c>
      <c r="K83" s="141">
        <f t="shared" si="77"/>
        <v>242.36529531425344</v>
      </c>
      <c r="L83" s="149">
        <v>38.458384333905101</v>
      </c>
      <c r="M83" s="150">
        <v>1.2012057327997001</v>
      </c>
      <c r="N83" s="150">
        <v>38.413757956927803</v>
      </c>
      <c r="O83" s="151">
        <v>84.486436693983805</v>
      </c>
      <c r="P83" s="158">
        <v>20.984486373165598</v>
      </c>
      <c r="Q83" s="148">
        <v>25.741477669779599</v>
      </c>
      <c r="R83" s="134">
        <f t="shared" si="78"/>
        <v>-34.071159269551607</v>
      </c>
      <c r="S83" s="134">
        <f t="shared" si="79"/>
        <v>-17.838257527101817</v>
      </c>
      <c r="T83" s="134">
        <f t="shared" ref="T83:U83" si="87">U$7+R83</f>
        <v>535204.12884073041</v>
      </c>
      <c r="U83" s="134">
        <f t="shared" si="87"/>
        <v>9407724.9417424724</v>
      </c>
      <c r="V83" s="146">
        <f t="shared" si="81"/>
        <v>1056725.9350182328</v>
      </c>
      <c r="W83" s="18"/>
      <c r="X83" s="18"/>
      <c r="Y83" s="135" t="str">
        <f t="shared" si="75"/>
        <v>po 535204,12884073,9407724,94174247</v>
      </c>
      <c r="Z83" s="135"/>
      <c r="AA83" s="135"/>
      <c r="AB83" s="135"/>
      <c r="AC83" s="18"/>
      <c r="AD83" s="18"/>
    </row>
    <row r="84" spans="2:30" ht="15.75" customHeight="1" x14ac:dyDescent="0.35">
      <c r="B84" s="18"/>
      <c r="C84" s="136" t="s">
        <v>187</v>
      </c>
      <c r="D84" s="433"/>
      <c r="E84" s="137">
        <v>175</v>
      </c>
      <c r="F84" s="160">
        <v>347.78441558441602</v>
      </c>
      <c r="G84" s="158">
        <v>27.301298701298698</v>
      </c>
      <c r="H84" s="160">
        <v>29.0207792207792</v>
      </c>
      <c r="I84" s="134">
        <f t="shared" si="74"/>
        <v>348.24749855699901</v>
      </c>
      <c r="J84" s="140">
        <f t="shared" si="76"/>
        <v>348.24749855699901</v>
      </c>
      <c r="K84" s="141">
        <f t="shared" si="77"/>
        <v>243.97666522366569</v>
      </c>
      <c r="L84" s="161">
        <v>38.663510234419697</v>
      </c>
      <c r="M84" s="162">
        <v>1.2183637812083099</v>
      </c>
      <c r="N84" s="162">
        <v>38.618095673718301</v>
      </c>
      <c r="O84" s="163">
        <v>84.402007496347096</v>
      </c>
      <c r="P84" s="145">
        <v>20.683857442348</v>
      </c>
      <c r="Q84" s="160">
        <v>25.613252017025602</v>
      </c>
      <c r="R84" s="134">
        <f t="shared" si="78"/>
        <v>-34.743627142416088</v>
      </c>
      <c r="S84" s="134">
        <f t="shared" si="79"/>
        <v>-16.963118717849166</v>
      </c>
      <c r="T84" s="134">
        <f t="shared" ref="T84:U84" si="88">U$7+R84</f>
        <v>535203.45637285756</v>
      </c>
      <c r="U84" s="134">
        <f t="shared" si="88"/>
        <v>9407725.8168812823</v>
      </c>
      <c r="V84" s="146">
        <f t="shared" si="81"/>
        <v>1056725.9521762813</v>
      </c>
      <c r="W84" s="18"/>
      <c r="X84" s="18"/>
      <c r="Y84" s="135" t="str">
        <f t="shared" si="75"/>
        <v>po 535203,456372858,9407725,81688128</v>
      </c>
      <c r="Z84" s="135"/>
      <c r="AA84" s="135"/>
      <c r="AB84" s="135"/>
      <c r="AC84" s="18"/>
      <c r="AD84" s="18"/>
    </row>
    <row r="85" spans="2:30" ht="15.75" customHeight="1" x14ac:dyDescent="0.35">
      <c r="B85" s="18"/>
      <c r="C85" s="147" t="s">
        <v>188</v>
      </c>
      <c r="D85" s="433"/>
      <c r="E85" s="137">
        <v>175</v>
      </c>
      <c r="F85" s="148">
        <v>349.39660894660898</v>
      </c>
      <c r="G85" s="145">
        <v>27.252597402597399</v>
      </c>
      <c r="H85" s="148">
        <v>28.9784271284271</v>
      </c>
      <c r="I85" s="134">
        <f t="shared" si="74"/>
        <v>349.85886846641017</v>
      </c>
      <c r="J85" s="140">
        <f t="shared" si="76"/>
        <v>349.85886846641017</v>
      </c>
      <c r="K85" s="141">
        <f t="shared" si="77"/>
        <v>245.5880351330768</v>
      </c>
      <c r="L85" s="149">
        <v>38.868636134934199</v>
      </c>
      <c r="M85" s="150">
        <v>1.2355218296169299</v>
      </c>
      <c r="N85" s="150">
        <v>38.822433390508898</v>
      </c>
      <c r="O85" s="151">
        <v>84.317578298710401</v>
      </c>
      <c r="P85" s="158">
        <v>20.383228511530401</v>
      </c>
      <c r="Q85" s="148">
        <v>25.4850263642717</v>
      </c>
      <c r="R85" s="134">
        <f t="shared" si="78"/>
        <v>-35.39367799042725</v>
      </c>
      <c r="S85" s="134">
        <f t="shared" si="79"/>
        <v>-16.06419725040309</v>
      </c>
      <c r="T85" s="134">
        <f t="shared" ref="T85:U85" si="89">U$7+R85</f>
        <v>535202.80632200954</v>
      </c>
      <c r="U85" s="134">
        <f t="shared" si="89"/>
        <v>9407726.7158027496</v>
      </c>
      <c r="V85" s="146">
        <f t="shared" si="81"/>
        <v>1056725.9693343297</v>
      </c>
      <c r="W85" s="18"/>
      <c r="X85" s="18"/>
      <c r="Y85" s="135" t="str">
        <f t="shared" si="75"/>
        <v>po 535202,80632201,9407726,71580275</v>
      </c>
      <c r="Z85" s="135"/>
      <c r="AA85" s="135"/>
      <c r="AB85" s="135"/>
      <c r="AC85" s="18"/>
      <c r="AD85" s="18"/>
    </row>
    <row r="86" spans="2:30" ht="15.75" customHeight="1" x14ac:dyDescent="0.35">
      <c r="B86" s="18"/>
      <c r="C86" s="136" t="s">
        <v>189</v>
      </c>
      <c r="D86" s="433"/>
      <c r="E86" s="137">
        <v>175</v>
      </c>
      <c r="F86" s="160">
        <v>351.00880230880301</v>
      </c>
      <c r="G86" s="158">
        <v>27.203896103896099</v>
      </c>
      <c r="H86" s="160">
        <v>28.936075036075</v>
      </c>
      <c r="I86" s="134">
        <f t="shared" si="74"/>
        <v>351.47023837582242</v>
      </c>
      <c r="J86" s="140">
        <f t="shared" si="76"/>
        <v>351.47023837582242</v>
      </c>
      <c r="K86" s="141">
        <f t="shared" si="77"/>
        <v>247.19940504248905</v>
      </c>
      <c r="L86" s="161">
        <v>39.073762035448802</v>
      </c>
      <c r="M86" s="162">
        <v>1.2526798780255399</v>
      </c>
      <c r="N86" s="162">
        <v>39.026771107299403</v>
      </c>
      <c r="O86" s="163">
        <v>84.233149101073593</v>
      </c>
      <c r="P86" s="145">
        <v>20.082599580712799</v>
      </c>
      <c r="Q86" s="160">
        <v>25.3568007115177</v>
      </c>
      <c r="R86" s="134">
        <f t="shared" si="78"/>
        <v>-36.020504181640668</v>
      </c>
      <c r="S86" s="134">
        <f t="shared" si="79"/>
        <v>-15.142065846617085</v>
      </c>
      <c r="T86" s="134">
        <f t="shared" ref="T86:U86" si="90">U$7+R86</f>
        <v>535202.17949581833</v>
      </c>
      <c r="U86" s="134">
        <f t="shared" si="90"/>
        <v>9407727.637934152</v>
      </c>
      <c r="V86" s="146">
        <f t="shared" si="81"/>
        <v>1056725.9864923779</v>
      </c>
      <c r="W86" s="18"/>
      <c r="X86" s="18"/>
      <c r="Y86" s="135" t="str">
        <f t="shared" si="75"/>
        <v>po 535202,179495818,9407727,63793415</v>
      </c>
      <c r="Z86" s="135"/>
      <c r="AA86" s="135"/>
      <c r="AB86" s="135"/>
      <c r="AC86" s="18"/>
      <c r="AD86" s="18"/>
    </row>
    <row r="87" spans="2:30" ht="15.75" customHeight="1" x14ac:dyDescent="0.35">
      <c r="B87" s="18"/>
      <c r="C87" s="147" t="s">
        <v>190</v>
      </c>
      <c r="D87" s="433"/>
      <c r="E87" s="137">
        <v>175</v>
      </c>
      <c r="F87" s="148">
        <v>352.62099567099602</v>
      </c>
      <c r="G87" s="145">
        <v>27.1551948051948</v>
      </c>
      <c r="H87" s="148">
        <v>28.893722943722899</v>
      </c>
      <c r="I87" s="134">
        <f t="shared" si="74"/>
        <v>353.08160828523364</v>
      </c>
      <c r="J87" s="140">
        <f t="shared" si="76"/>
        <v>353.08160828523364</v>
      </c>
      <c r="K87" s="141">
        <f t="shared" si="77"/>
        <v>248.81077495190027</v>
      </c>
      <c r="L87" s="149">
        <v>39.278887935963397</v>
      </c>
      <c r="M87" s="150">
        <v>1.2698379264341499</v>
      </c>
      <c r="N87" s="150">
        <v>39.231108824090001</v>
      </c>
      <c r="O87" s="151">
        <v>84.148719903436898</v>
      </c>
      <c r="P87" s="158">
        <v>19.781970649895101</v>
      </c>
      <c r="Q87" s="148">
        <v>25.228575058763699</v>
      </c>
      <c r="R87" s="134">
        <f t="shared" si="78"/>
        <v>-36.623312681405821</v>
      </c>
      <c r="S87" s="134">
        <f t="shared" si="79"/>
        <v>-14.197323893112772</v>
      </c>
      <c r="T87" s="134">
        <f t="shared" ref="T87:U87" si="91">U$7+R87</f>
        <v>535201.57668731851</v>
      </c>
      <c r="U87" s="134">
        <f t="shared" si="91"/>
        <v>9407728.5826761071</v>
      </c>
      <c r="V87" s="146">
        <f t="shared" si="81"/>
        <v>1056726.0036504264</v>
      </c>
      <c r="W87" s="18"/>
      <c r="X87" s="18"/>
      <c r="Y87" s="135" t="str">
        <f t="shared" si="75"/>
        <v>po 535201,576687319,9407728,58267611</v>
      </c>
      <c r="Z87" s="135"/>
      <c r="AA87" s="135"/>
      <c r="AB87" s="135"/>
      <c r="AC87" s="18"/>
      <c r="AD87" s="18"/>
    </row>
    <row r="88" spans="2:30" ht="15.75" customHeight="1" x14ac:dyDescent="0.35">
      <c r="B88" s="18"/>
      <c r="C88" s="136" t="s">
        <v>191</v>
      </c>
      <c r="D88" s="433"/>
      <c r="E88" s="137">
        <v>175</v>
      </c>
      <c r="F88" s="160">
        <v>354.23318903318898</v>
      </c>
      <c r="G88" s="158">
        <v>27.1064935064935</v>
      </c>
      <c r="H88" s="160">
        <v>28.851370851370898</v>
      </c>
      <c r="I88" s="134">
        <f t="shared" si="74"/>
        <v>354.69297819464481</v>
      </c>
      <c r="J88" s="140">
        <f t="shared" si="76"/>
        <v>354.69297819464481</v>
      </c>
      <c r="K88" s="141">
        <f t="shared" si="77"/>
        <v>250.42214486131149</v>
      </c>
      <c r="L88" s="161">
        <v>39.484013836477999</v>
      </c>
      <c r="M88" s="162">
        <v>1.28699597484277</v>
      </c>
      <c r="N88" s="162">
        <v>39.435446540880498</v>
      </c>
      <c r="O88" s="163">
        <v>84.064290705800104</v>
      </c>
      <c r="P88" s="145">
        <v>19.481341719077498</v>
      </c>
      <c r="Q88" s="160">
        <v>25.100349406009801</v>
      </c>
      <c r="R88" s="134">
        <f t="shared" si="78"/>
        <v>-37.201325914691445</v>
      </c>
      <c r="S88" s="134">
        <f t="shared" si="79"/>
        <v>-13.230597069977344</v>
      </c>
      <c r="T88" s="134">
        <f t="shared" ref="T88:U88" si="92">U$7+R88</f>
        <v>535200.99867408525</v>
      </c>
      <c r="U88" s="134">
        <f t="shared" si="92"/>
        <v>9407729.5494029298</v>
      </c>
      <c r="V88" s="146">
        <f t="shared" si="81"/>
        <v>1056726.0208084749</v>
      </c>
      <c r="W88" s="18"/>
      <c r="X88" s="18"/>
      <c r="Y88" s="135" t="str">
        <f t="shared" si="75"/>
        <v>po 535200,998674085,9407729,54940293</v>
      </c>
      <c r="Z88" s="135"/>
      <c r="AA88" s="135"/>
      <c r="AB88" s="135"/>
      <c r="AC88" s="18"/>
      <c r="AD88" s="18"/>
    </row>
    <row r="89" spans="2:30" ht="15.75" customHeight="1" x14ac:dyDescent="0.35">
      <c r="B89" s="18"/>
      <c r="C89" s="147" t="s">
        <v>192</v>
      </c>
      <c r="D89" s="433"/>
      <c r="E89" s="137">
        <v>175</v>
      </c>
      <c r="F89" s="148">
        <v>355.84538239538301</v>
      </c>
      <c r="G89" s="145">
        <v>27.0577922077922</v>
      </c>
      <c r="H89" s="148">
        <v>28.809018759018802</v>
      </c>
      <c r="I89" s="134">
        <f t="shared" si="74"/>
        <v>356.304348104057</v>
      </c>
      <c r="J89" s="140">
        <f t="shared" si="76"/>
        <v>356.304348104057</v>
      </c>
      <c r="K89" s="141">
        <f t="shared" si="77"/>
        <v>252.03351477072363</v>
      </c>
      <c r="L89" s="149">
        <v>39.689139736992601</v>
      </c>
      <c r="M89" s="150">
        <v>1.30415402325138</v>
      </c>
      <c r="N89" s="150">
        <v>39.639784257671103</v>
      </c>
      <c r="O89" s="151">
        <v>83.979861508163395</v>
      </c>
      <c r="P89" s="158">
        <v>19.1807127882599</v>
      </c>
      <c r="Q89" s="148">
        <v>24.972123753255801</v>
      </c>
      <c r="R89" s="134">
        <f t="shared" si="78"/>
        <v>-37.753782618976636</v>
      </c>
      <c r="S89" s="134">
        <f t="shared" si="79"/>
        <v>-12.242536952020314</v>
      </c>
      <c r="T89" s="134">
        <f t="shared" ref="T89:U89" si="93">U$7+R89</f>
        <v>535200.44621738093</v>
      </c>
      <c r="U89" s="134">
        <f t="shared" si="93"/>
        <v>9407730.5374630466</v>
      </c>
      <c r="V89" s="146">
        <f t="shared" si="81"/>
        <v>1056726.0379665233</v>
      </c>
      <c r="W89" s="18"/>
      <c r="X89" s="18"/>
      <c r="Y89" s="135" t="str">
        <f t="shared" si="75"/>
        <v>po 535200,446217381,9407730,53746305</v>
      </c>
      <c r="Z89" s="135"/>
      <c r="AA89" s="135"/>
      <c r="AB89" s="135"/>
      <c r="AC89" s="18"/>
      <c r="AD89" s="18"/>
    </row>
    <row r="90" spans="2:30" ht="15.75" customHeight="1" x14ac:dyDescent="0.35">
      <c r="B90" s="18"/>
      <c r="C90" s="136" t="s">
        <v>193</v>
      </c>
      <c r="D90" s="433"/>
      <c r="E90" s="137">
        <v>175</v>
      </c>
      <c r="F90" s="160">
        <v>357.45757575757602</v>
      </c>
      <c r="G90" s="158">
        <v>27.009090909090901</v>
      </c>
      <c r="H90" s="160">
        <v>28.766666666666701</v>
      </c>
      <c r="I90" s="134">
        <f t="shared" si="74"/>
        <v>357.91571801346828</v>
      </c>
      <c r="J90" s="140">
        <f t="shared" si="76"/>
        <v>357.91571801346828</v>
      </c>
      <c r="K90" s="141">
        <f t="shared" si="77"/>
        <v>253.64488468013496</v>
      </c>
      <c r="L90" s="161">
        <v>39.894265637507097</v>
      </c>
      <c r="M90" s="162">
        <v>1.32131207166</v>
      </c>
      <c r="N90" s="162">
        <v>39.844121974461601</v>
      </c>
      <c r="O90" s="163">
        <v>83.895432310526601</v>
      </c>
      <c r="P90" s="158">
        <v>18.880083857442301</v>
      </c>
      <c r="Q90" s="160">
        <v>24.8438981005019</v>
      </c>
      <c r="R90" s="134">
        <f t="shared" si="78"/>
        <v>-38.279938686849412</v>
      </c>
      <c r="S90" s="134">
        <f t="shared" si="79"/>
        <v>-11.233820582821714</v>
      </c>
      <c r="T90" s="134">
        <f t="shared" ref="T90:U90" si="94">U$7+R90</f>
        <v>535199.92006131308</v>
      </c>
      <c r="U90" s="134">
        <f t="shared" si="94"/>
        <v>9407731.5461794157</v>
      </c>
      <c r="V90" s="146">
        <f t="shared" si="81"/>
        <v>1056726.0551245718</v>
      </c>
      <c r="W90" s="18"/>
      <c r="X90" s="18"/>
      <c r="Y90" s="135" t="str">
        <f t="shared" si="75"/>
        <v>po 535199,920061313,9407731,54617942</v>
      </c>
      <c r="Z90" s="135"/>
      <c r="AA90" s="135"/>
      <c r="AB90" s="135"/>
      <c r="AC90" s="18"/>
      <c r="AD90" s="18"/>
    </row>
    <row r="91" spans="2:30" ht="15.75" customHeight="1" x14ac:dyDescent="0.35">
      <c r="B91" s="18"/>
      <c r="C91" s="136" t="s">
        <v>194</v>
      </c>
      <c r="D91" s="433"/>
      <c r="E91" s="137">
        <v>175</v>
      </c>
      <c r="F91" s="160">
        <v>359.06976911976898</v>
      </c>
      <c r="G91" s="158">
        <v>26.960389610389601</v>
      </c>
      <c r="H91" s="148">
        <v>28.724314574314601</v>
      </c>
      <c r="I91" s="134">
        <f t="shared" si="74"/>
        <v>359.52708792287945</v>
      </c>
      <c r="J91" s="140">
        <f t="shared" si="76"/>
        <v>359.52708792287945</v>
      </c>
      <c r="K91" s="141">
        <f t="shared" si="77"/>
        <v>255.25625458954607</v>
      </c>
      <c r="L91" s="161">
        <v>40.099391538021699</v>
      </c>
      <c r="M91" s="162">
        <v>1.33847012006861</v>
      </c>
      <c r="N91" s="162">
        <v>40.048459691252198</v>
      </c>
      <c r="O91" s="163">
        <v>83.811003112889907</v>
      </c>
      <c r="P91" s="145">
        <v>18.579454926624699</v>
      </c>
      <c r="Q91" s="160">
        <v>24.715672447747899</v>
      </c>
      <c r="R91" s="134">
        <f t="shared" si="78"/>
        <v>-38.779067997457481</v>
      </c>
      <c r="S91" s="134">
        <f t="shared" si="79"/>
        <v>-10.205150021833839</v>
      </c>
      <c r="T91" s="134">
        <f t="shared" ref="T91:U91" si="95">U$7+R91</f>
        <v>535199.42093200248</v>
      </c>
      <c r="U91" s="134">
        <f t="shared" si="95"/>
        <v>9407732.5748499781</v>
      </c>
      <c r="V91" s="146">
        <f t="shared" si="81"/>
        <v>1056726.07228262</v>
      </c>
      <c r="W91" s="18"/>
      <c r="X91" s="18"/>
      <c r="Y91" s="135" t="str">
        <f t="shared" si="75"/>
        <v>po 535199,420932002,9407732,57484998</v>
      </c>
      <c r="Z91" s="135"/>
      <c r="AA91" s="135"/>
      <c r="AB91" s="135"/>
      <c r="AC91" s="18"/>
      <c r="AD91" s="18"/>
    </row>
    <row r="92" spans="2:30" ht="15.75" customHeight="1" x14ac:dyDescent="0.35">
      <c r="B92" s="18"/>
      <c r="C92" s="147" t="s">
        <v>195</v>
      </c>
      <c r="D92" s="433"/>
      <c r="E92" s="137">
        <v>175</v>
      </c>
      <c r="F92" s="148">
        <v>360.68196248196301</v>
      </c>
      <c r="G92" s="145">
        <v>26.911688311688302</v>
      </c>
      <c r="H92" s="160">
        <v>28.681962481962501</v>
      </c>
      <c r="I92" s="134">
        <f t="shared" si="74"/>
        <v>361.13845783229169</v>
      </c>
      <c r="J92" s="140">
        <f t="shared" si="76"/>
        <v>361.13845783229169</v>
      </c>
      <c r="K92" s="141">
        <f t="shared" si="77"/>
        <v>256.86762449895832</v>
      </c>
      <c r="L92" s="149">
        <v>40.304517438536301</v>
      </c>
      <c r="M92" s="162">
        <v>1.35562816847723</v>
      </c>
      <c r="N92" s="150">
        <v>40.252797408042703</v>
      </c>
      <c r="O92" s="151">
        <v>83.726573915253198</v>
      </c>
      <c r="P92" s="158">
        <v>18.2788259958071</v>
      </c>
      <c r="Q92" s="148">
        <v>24.587446794994001</v>
      </c>
      <c r="R92" s="134">
        <f t="shared" si="78"/>
        <v>-39.250463235956921</v>
      </c>
      <c r="S92" s="134">
        <f t="shared" si="79"/>
        <v>-9.1572518648375727</v>
      </c>
      <c r="T92" s="134">
        <f t="shared" ref="T92:U92" si="96">U$7+R92</f>
        <v>535198.94953676395</v>
      </c>
      <c r="U92" s="134">
        <f t="shared" si="96"/>
        <v>9407733.6227481347</v>
      </c>
      <c r="V92" s="146">
        <f t="shared" si="81"/>
        <v>1056726.0894406685</v>
      </c>
      <c r="W92" s="18"/>
      <c r="X92" s="18"/>
      <c r="Y92" s="135" t="str">
        <f t="shared" si="75"/>
        <v>po 535198,949536764,9407733,62274813</v>
      </c>
      <c r="Z92" s="135"/>
      <c r="AA92" s="135"/>
      <c r="AB92" s="135"/>
      <c r="AC92" s="18"/>
      <c r="AD92" s="18"/>
    </row>
    <row r="93" spans="2:30" ht="15.75" customHeight="1" x14ac:dyDescent="0.35">
      <c r="B93" s="18"/>
      <c r="C93" s="136" t="s">
        <v>196</v>
      </c>
      <c r="D93" s="433"/>
      <c r="E93" s="137">
        <v>175</v>
      </c>
      <c r="F93" s="160">
        <v>362.29415584415602</v>
      </c>
      <c r="G93" s="158">
        <v>26.862987012986999</v>
      </c>
      <c r="H93" s="148">
        <v>28.6396103896104</v>
      </c>
      <c r="I93" s="134">
        <f t="shared" si="74"/>
        <v>362.74982774170292</v>
      </c>
      <c r="J93" s="140">
        <f t="shared" si="76"/>
        <v>362.74982774170292</v>
      </c>
      <c r="K93" s="141">
        <f t="shared" si="77"/>
        <v>258.47899440836954</v>
      </c>
      <c r="L93" s="161">
        <v>40.509643339050903</v>
      </c>
      <c r="M93" s="162">
        <v>1.37278621688584</v>
      </c>
      <c r="N93" s="162">
        <v>40.4571351248333</v>
      </c>
      <c r="O93" s="163">
        <v>83.642144717616404</v>
      </c>
      <c r="P93" s="145">
        <v>17.978197064989502</v>
      </c>
      <c r="Q93" s="160">
        <v>24.459221142240001</v>
      </c>
      <c r="R93" s="134">
        <f t="shared" si="78"/>
        <v>-39.693436700120117</v>
      </c>
      <c r="S93" s="134">
        <f t="shared" si="79"/>
        <v>-8.0908767380716409</v>
      </c>
      <c r="T93" s="134">
        <f t="shared" ref="T93:U93" si="97">U$7+R93</f>
        <v>535198.5065632998</v>
      </c>
      <c r="U93" s="134">
        <f t="shared" si="97"/>
        <v>9407734.6891232617</v>
      </c>
      <c r="V93" s="146">
        <f t="shared" si="81"/>
        <v>1056726.1065987169</v>
      </c>
      <c r="W93" s="18"/>
      <c r="X93" s="18"/>
      <c r="Y93" s="135" t="str">
        <f t="shared" si="75"/>
        <v>po 535198,5065633,9407734,68912326</v>
      </c>
      <c r="Z93" s="135"/>
      <c r="AA93" s="135"/>
      <c r="AB93" s="135"/>
      <c r="AC93" s="18"/>
      <c r="AD93" s="18"/>
    </row>
    <row r="94" spans="2:30" ht="15.75" customHeight="1" x14ac:dyDescent="0.35">
      <c r="B94" s="18"/>
      <c r="C94" s="147" t="s">
        <v>197</v>
      </c>
      <c r="D94" s="433"/>
      <c r="E94" s="137">
        <v>175</v>
      </c>
      <c r="F94" s="148">
        <v>363.90634920635</v>
      </c>
      <c r="G94" s="145">
        <v>26.814285714285699</v>
      </c>
      <c r="H94" s="160">
        <v>28.5972582972583</v>
      </c>
      <c r="I94" s="134">
        <f t="shared" si="74"/>
        <v>364.36119765111511</v>
      </c>
      <c r="J94" s="140">
        <f t="shared" si="76"/>
        <v>364.36119765111511</v>
      </c>
      <c r="K94" s="141">
        <f t="shared" si="77"/>
        <v>260.09036431778179</v>
      </c>
      <c r="L94" s="149">
        <v>40.714769239565499</v>
      </c>
      <c r="M94" s="162">
        <v>1.38994426529446</v>
      </c>
      <c r="N94" s="150">
        <v>40.661472841623798</v>
      </c>
      <c r="O94" s="151">
        <v>83.557715519979695</v>
      </c>
      <c r="P94" s="158">
        <v>17.677568134171899</v>
      </c>
      <c r="Q94" s="148">
        <v>24.330995489486</v>
      </c>
      <c r="R94" s="134">
        <f t="shared" si="78"/>
        <v>-40.107321093270137</v>
      </c>
      <c r="S94" s="134">
        <f t="shared" si="79"/>
        <v>-7.0067987663695046</v>
      </c>
      <c r="T94" s="134">
        <f t="shared" ref="T94:U94" si="98">U$7+R94</f>
        <v>535198.09267890663</v>
      </c>
      <c r="U94" s="134">
        <f t="shared" si="98"/>
        <v>9407735.7732012328</v>
      </c>
      <c r="V94" s="146">
        <f t="shared" si="81"/>
        <v>1056726.1237567654</v>
      </c>
      <c r="W94" s="18"/>
      <c r="X94" s="18"/>
      <c r="Y94" s="135" t="str">
        <f t="shared" si="75"/>
        <v>po 535198,092678907,9407735,77320123</v>
      </c>
      <c r="Z94" s="135"/>
      <c r="AA94" s="135"/>
      <c r="AB94" s="135"/>
      <c r="AC94" s="18"/>
      <c r="AD94" s="18"/>
    </row>
    <row r="95" spans="2:30" ht="15.75" customHeight="1" x14ac:dyDescent="0.35">
      <c r="B95" s="18"/>
      <c r="C95" s="136" t="s">
        <v>198</v>
      </c>
      <c r="D95" s="433"/>
      <c r="E95" s="137">
        <v>175</v>
      </c>
      <c r="F95" s="160">
        <v>365.51854256854301</v>
      </c>
      <c r="G95" s="158">
        <v>26.765584415584399</v>
      </c>
      <c r="H95" s="148">
        <v>28.554906204906199</v>
      </c>
      <c r="I95" s="134">
        <f t="shared" si="74"/>
        <v>365.97256756052633</v>
      </c>
      <c r="J95" s="140">
        <f t="shared" si="76"/>
        <v>365.97256756052633</v>
      </c>
      <c r="K95" s="141">
        <f t="shared" si="77"/>
        <v>261.70173422719301</v>
      </c>
      <c r="L95" s="161">
        <v>40.919895140080001</v>
      </c>
      <c r="M95" s="162">
        <v>1.40710231370307</v>
      </c>
      <c r="N95" s="162">
        <v>40.865810558414402</v>
      </c>
      <c r="O95" s="163">
        <v>83.473286322342901</v>
      </c>
      <c r="P95" s="145">
        <v>17.376939203354301</v>
      </c>
      <c r="Q95" s="160">
        <v>24.202769836732099</v>
      </c>
      <c r="R95" s="134">
        <f t="shared" si="78"/>
        <v>-40.49147030271353</v>
      </c>
      <c r="S95" s="134">
        <f t="shared" si="79"/>
        <v>-5.9058150156952163</v>
      </c>
      <c r="T95" s="134">
        <f t="shared" ref="T95:U95" si="99">U$7+R95</f>
        <v>535197.70852969727</v>
      </c>
      <c r="U95" s="134">
        <f t="shared" si="99"/>
        <v>9407736.8741849829</v>
      </c>
      <c r="V95" s="146">
        <f t="shared" si="81"/>
        <v>1056726.1409148136</v>
      </c>
      <c r="W95" s="18"/>
      <c r="X95" s="18"/>
      <c r="Y95" s="135" t="str">
        <f t="shared" si="75"/>
        <v>po 535197,708529697,9407736,87418498</v>
      </c>
      <c r="Z95" s="135"/>
      <c r="AA95" s="135"/>
      <c r="AB95" s="135"/>
      <c r="AC95" s="18"/>
      <c r="AD95" s="18"/>
    </row>
    <row r="96" spans="2:30" ht="15.75" customHeight="1" x14ac:dyDescent="0.35">
      <c r="B96" s="18"/>
      <c r="C96" s="147" t="s">
        <v>199</v>
      </c>
      <c r="D96" s="433"/>
      <c r="E96" s="137">
        <v>175</v>
      </c>
      <c r="F96" s="148">
        <v>367.13073593073602</v>
      </c>
      <c r="G96" s="145">
        <v>26.7168831168831</v>
      </c>
      <c r="H96" s="160">
        <v>28.512554112554099</v>
      </c>
      <c r="I96" s="134">
        <f t="shared" si="74"/>
        <v>367.58393746993755</v>
      </c>
      <c r="J96" s="140">
        <f t="shared" si="76"/>
        <v>367.58393746993755</v>
      </c>
      <c r="K96" s="141">
        <f t="shared" si="77"/>
        <v>263.31310413660424</v>
      </c>
      <c r="L96" s="149">
        <v>41.125021040594604</v>
      </c>
      <c r="M96" s="162">
        <v>1.4242603621116801</v>
      </c>
      <c r="N96" s="150">
        <v>41.0701482752049</v>
      </c>
      <c r="O96" s="151">
        <v>83.388857124706206</v>
      </c>
      <c r="P96" s="158">
        <v>17.076310272536698</v>
      </c>
      <c r="Q96" s="148">
        <v>24.074544183978102</v>
      </c>
      <c r="R96" s="134">
        <f t="shared" si="78"/>
        <v>-40.845260162862864</v>
      </c>
      <c r="S96" s="134">
        <f t="shared" si="79"/>
        <v>-4.7887449104537803</v>
      </c>
      <c r="T96" s="134">
        <f t="shared" ref="T96:U96" si="100">U$7+R96</f>
        <v>535197.35473983712</v>
      </c>
      <c r="U96" s="134">
        <f t="shared" si="100"/>
        <v>9407737.9912550896</v>
      </c>
      <c r="V96" s="146">
        <f t="shared" si="81"/>
        <v>1056726.1580728621</v>
      </c>
      <c r="W96" s="18"/>
      <c r="X96" s="18"/>
      <c r="Y96" s="135" t="str">
        <f t="shared" si="75"/>
        <v>po 535197,354739837,9407737,99125509</v>
      </c>
      <c r="Z96" s="135"/>
      <c r="AA96" s="135"/>
      <c r="AB96" s="135"/>
      <c r="AC96" s="18"/>
      <c r="AD96" s="18"/>
    </row>
    <row r="97" spans="2:30" ht="15.75" customHeight="1" x14ac:dyDescent="0.35">
      <c r="B97" s="18"/>
      <c r="C97" s="136" t="s">
        <v>200</v>
      </c>
      <c r="D97" s="433"/>
      <c r="E97" s="137">
        <v>175</v>
      </c>
      <c r="F97" s="160">
        <v>368.74292929293</v>
      </c>
      <c r="G97" s="158">
        <v>26.6681818181818</v>
      </c>
      <c r="H97" s="148">
        <v>28.470202020201999</v>
      </c>
      <c r="I97" s="134">
        <f t="shared" si="74"/>
        <v>369.19530737934974</v>
      </c>
      <c r="J97" s="140">
        <f t="shared" si="76"/>
        <v>369.19530737934974</v>
      </c>
      <c r="K97" s="141">
        <f t="shared" si="77"/>
        <v>264.92447404601637</v>
      </c>
      <c r="L97" s="161">
        <v>41.330146941109199</v>
      </c>
      <c r="M97" s="162">
        <v>1.4414184105203001</v>
      </c>
      <c r="N97" s="162">
        <v>41.274485991995498</v>
      </c>
      <c r="O97" s="163">
        <v>83.304427927069398</v>
      </c>
      <c r="P97" s="145">
        <v>16.775681341719</v>
      </c>
      <c r="Q97" s="160">
        <v>23.9463185312242</v>
      </c>
      <c r="R97" s="134">
        <f t="shared" si="78"/>
        <v>-41.168089202240864</v>
      </c>
      <c r="S97" s="134">
        <f t="shared" si="79"/>
        <v>-3.6564296260173732</v>
      </c>
      <c r="T97" s="134">
        <f t="shared" ref="T97:U97" si="101">U$7+R97</f>
        <v>535197.0319107977</v>
      </c>
      <c r="U97" s="134">
        <f t="shared" si="101"/>
        <v>9407739.1235703733</v>
      </c>
      <c r="V97" s="146">
        <f t="shared" si="81"/>
        <v>1056726.1752309105</v>
      </c>
      <c r="W97" s="18"/>
      <c r="X97" s="18"/>
      <c r="Y97" s="135" t="str">
        <f t="shared" si="75"/>
        <v>po 535197,031910798,9407739,12357037</v>
      </c>
      <c r="Z97" s="135"/>
      <c r="AA97" s="135"/>
      <c r="AB97" s="135"/>
      <c r="AC97" s="18"/>
      <c r="AD97" s="18"/>
    </row>
    <row r="98" spans="2:30" ht="15.75" customHeight="1" x14ac:dyDescent="0.35">
      <c r="B98" s="18"/>
      <c r="C98" s="147" t="s">
        <v>201</v>
      </c>
      <c r="D98" s="433"/>
      <c r="E98" s="137">
        <v>175</v>
      </c>
      <c r="F98" s="148">
        <v>370.35512265512301</v>
      </c>
      <c r="G98" s="145">
        <v>26.619480519480501</v>
      </c>
      <c r="H98" s="160">
        <v>28.427849927849898</v>
      </c>
      <c r="I98" s="134">
        <f t="shared" si="74"/>
        <v>370.80667728876097</v>
      </c>
      <c r="J98" s="140">
        <f t="shared" si="76"/>
        <v>370.80667728876097</v>
      </c>
      <c r="K98" s="141">
        <f t="shared" si="77"/>
        <v>266.53584395542759</v>
      </c>
      <c r="L98" s="149">
        <v>41.535272841623801</v>
      </c>
      <c r="M98" s="162">
        <v>1.4585764589289101</v>
      </c>
      <c r="N98" s="150">
        <v>41.478823708786003</v>
      </c>
      <c r="O98" s="151">
        <v>83.219998729432703</v>
      </c>
      <c r="P98" s="158">
        <v>16.475052410901402</v>
      </c>
      <c r="Q98" s="148">
        <v>23.8180928784702</v>
      </c>
      <c r="R98" s="134">
        <f t="shared" si="78"/>
        <v>-41.459379373578876</v>
      </c>
      <c r="S98" s="134">
        <f t="shared" si="79"/>
        <v>-2.5097314569081237</v>
      </c>
      <c r="T98" s="134">
        <f t="shared" ref="T98:U98" si="102">U$7+R98</f>
        <v>535196.74062062637</v>
      </c>
      <c r="U98" s="134">
        <f t="shared" si="102"/>
        <v>9407740.2702685427</v>
      </c>
      <c r="V98" s="146">
        <f t="shared" si="81"/>
        <v>1056726.192388959</v>
      </c>
      <c r="W98" s="18"/>
      <c r="X98" s="18"/>
      <c r="Y98" s="135" t="str">
        <f t="shared" si="75"/>
        <v>po 535196,740620626,9407740,27026854</v>
      </c>
      <c r="Z98" s="135"/>
      <c r="AA98" s="135"/>
      <c r="AB98" s="135"/>
      <c r="AC98" s="18"/>
      <c r="AD98" s="18"/>
    </row>
    <row r="99" spans="2:30" ht="15.75" customHeight="1" x14ac:dyDescent="0.35">
      <c r="B99" s="18"/>
      <c r="C99" s="136" t="s">
        <v>202</v>
      </c>
      <c r="D99" s="433"/>
      <c r="E99" s="137">
        <v>175</v>
      </c>
      <c r="F99" s="160">
        <v>371.96731601731602</v>
      </c>
      <c r="G99" s="158">
        <v>26.570779220779201</v>
      </c>
      <c r="H99" s="148">
        <v>28.385497835497802</v>
      </c>
      <c r="I99" s="134">
        <f t="shared" si="74"/>
        <v>372.41804719817225</v>
      </c>
      <c r="J99" s="140">
        <f t="shared" si="76"/>
        <v>372.41804719817225</v>
      </c>
      <c r="K99" s="141">
        <f t="shared" si="77"/>
        <v>268.14721386483893</v>
      </c>
      <c r="L99" s="161">
        <v>41.740398742138296</v>
      </c>
      <c r="M99" s="162">
        <v>1.4757345073375301</v>
      </c>
      <c r="N99" s="162">
        <v>41.6831614255765</v>
      </c>
      <c r="O99" s="163">
        <v>83.135569531795895</v>
      </c>
      <c r="P99" s="145">
        <v>16.174423480083799</v>
      </c>
      <c r="Q99" s="160">
        <v>23.689867225716299</v>
      </c>
      <c r="R99" s="134">
        <f t="shared" si="78"/>
        <v>-41.718576766229425</v>
      </c>
      <c r="S99" s="134">
        <f t="shared" si="79"/>
        <v>-1.3495331611051886</v>
      </c>
      <c r="T99" s="134">
        <f t="shared" ref="T99:U99" si="103">U$7+R99</f>
        <v>535196.48142323375</v>
      </c>
      <c r="U99" s="134">
        <f t="shared" si="103"/>
        <v>9407741.4304668382</v>
      </c>
      <c r="V99" s="146">
        <f t="shared" si="81"/>
        <v>1056726.2095470075</v>
      </c>
      <c r="W99" s="18"/>
      <c r="X99" s="18"/>
      <c r="Y99" s="135" t="str">
        <f t="shared" si="75"/>
        <v>po 535196,481423234,9407741,43046684</v>
      </c>
      <c r="Z99" s="135"/>
      <c r="AA99" s="135"/>
      <c r="AB99" s="135"/>
      <c r="AC99" s="18"/>
      <c r="AD99" s="18"/>
    </row>
    <row r="100" spans="2:30" ht="15.75" customHeight="1" x14ac:dyDescent="0.35">
      <c r="B100" s="18"/>
      <c r="C100" s="147" t="s">
        <v>203</v>
      </c>
      <c r="D100" s="433"/>
      <c r="E100" s="137">
        <v>175</v>
      </c>
      <c r="F100" s="148">
        <v>373.57950937951</v>
      </c>
      <c r="G100" s="145">
        <v>26.522077922077901</v>
      </c>
      <c r="H100" s="148">
        <v>28.343145743145701</v>
      </c>
      <c r="I100" s="134">
        <f t="shared" si="74"/>
        <v>374.02941710758438</v>
      </c>
      <c r="J100" s="140">
        <f t="shared" si="76"/>
        <v>374.02941710758438</v>
      </c>
      <c r="K100" s="141">
        <f t="shared" si="77"/>
        <v>269.75858377425106</v>
      </c>
      <c r="L100" s="149">
        <v>41.945524642652899</v>
      </c>
      <c r="M100" s="162">
        <v>1.4928925557461401</v>
      </c>
      <c r="N100" s="150">
        <v>41.887499142367098</v>
      </c>
      <c r="O100" s="151">
        <v>83.0511403341592</v>
      </c>
      <c r="P100" s="158">
        <v>15.873794549266201</v>
      </c>
      <c r="Q100" s="148">
        <v>23.561641572962301</v>
      </c>
      <c r="R100" s="134">
        <f t="shared" si="78"/>
        <v>-41.945152300127738</v>
      </c>
      <c r="S100" s="134">
        <f t="shared" si="79"/>
        <v>-0.17673728098564784</v>
      </c>
      <c r="T100" s="134">
        <f t="shared" ref="T100:U100" si="104">U$7+R100</f>
        <v>535196.25484769978</v>
      </c>
      <c r="U100" s="134">
        <f t="shared" si="104"/>
        <v>9407742.6032627188</v>
      </c>
      <c r="V100" s="146">
        <f t="shared" si="81"/>
        <v>1056726.2267050557</v>
      </c>
      <c r="W100" s="18"/>
      <c r="X100" s="18"/>
      <c r="Y100" s="135" t="str">
        <f t="shared" si="75"/>
        <v>po 535196,2548477,9407742,60326272</v>
      </c>
      <c r="Z100" s="135"/>
      <c r="AA100" s="135"/>
      <c r="AB100" s="135"/>
      <c r="AC100" s="18"/>
      <c r="AD100" s="18"/>
    </row>
    <row r="101" spans="2:30" ht="15.75" customHeight="1" x14ac:dyDescent="0.35">
      <c r="B101" s="18"/>
      <c r="C101" s="136" t="s">
        <v>204</v>
      </c>
      <c r="D101" s="433"/>
      <c r="E101" s="137">
        <v>175</v>
      </c>
      <c r="F101" s="160">
        <v>375.19170274170301</v>
      </c>
      <c r="G101" s="158">
        <v>26.473376623376598</v>
      </c>
      <c r="H101" s="148">
        <v>28.3007936507937</v>
      </c>
      <c r="I101" s="134">
        <f t="shared" si="74"/>
        <v>375.6407870169956</v>
      </c>
      <c r="J101" s="140">
        <f t="shared" si="76"/>
        <v>375.6407870169956</v>
      </c>
      <c r="K101" s="141">
        <f t="shared" si="77"/>
        <v>271.36995368366229</v>
      </c>
      <c r="L101" s="161">
        <v>42.150650543167501</v>
      </c>
      <c r="M101" s="162">
        <v>1.5100506041547599</v>
      </c>
      <c r="N101" s="162">
        <v>42.091836859157603</v>
      </c>
      <c r="O101" s="163">
        <v>82.966711136522406</v>
      </c>
      <c r="P101" s="145">
        <v>15.5731656184486</v>
      </c>
      <c r="Q101" s="160">
        <v>23.433415920208301</v>
      </c>
      <c r="R101" s="134">
        <f t="shared" si="78"/>
        <v>-42.138602400550255</v>
      </c>
      <c r="S101" s="134">
        <f t="shared" si="79"/>
        <v>1.0077345585851039</v>
      </c>
      <c r="T101" s="134">
        <f t="shared" ref="T101:U101" si="105">U$7+R101</f>
        <v>535196.06139759941</v>
      </c>
      <c r="U101" s="134">
        <f t="shared" si="105"/>
        <v>9407743.7877345588</v>
      </c>
      <c r="V101" s="146">
        <f t="shared" si="81"/>
        <v>1056726.2438631041</v>
      </c>
      <c r="W101" s="18"/>
      <c r="X101" s="18"/>
      <c r="Y101" s="135" t="str">
        <f t="shared" si="75"/>
        <v>po 535196,061397599,9407743,78773456</v>
      </c>
      <c r="Z101" s="135"/>
      <c r="AA101" s="135"/>
      <c r="AB101" s="135"/>
      <c r="AC101" s="18"/>
      <c r="AD101" s="18"/>
    </row>
    <row r="102" spans="2:30" ht="15.75" customHeight="1" x14ac:dyDescent="0.35">
      <c r="B102" s="18"/>
      <c r="C102" s="147" t="s">
        <v>205</v>
      </c>
      <c r="D102" s="433"/>
      <c r="E102" s="137">
        <v>175</v>
      </c>
      <c r="F102" s="148">
        <v>376.80389610389602</v>
      </c>
      <c r="G102" s="145">
        <v>26.424675324675299</v>
      </c>
      <c r="H102" s="148">
        <v>28.2584415584416</v>
      </c>
      <c r="I102" s="134">
        <f t="shared" si="74"/>
        <v>377.25215692640688</v>
      </c>
      <c r="J102" s="140">
        <f t="shared" si="76"/>
        <v>377.25215692640688</v>
      </c>
      <c r="K102" s="141">
        <f t="shared" si="77"/>
        <v>272.98132359307351</v>
      </c>
      <c r="L102" s="149">
        <v>42.355776443682103</v>
      </c>
      <c r="M102" s="162">
        <v>1.5272086525633699</v>
      </c>
      <c r="N102" s="150">
        <v>42.2961745759482</v>
      </c>
      <c r="O102" s="151">
        <v>82.882281938885697</v>
      </c>
      <c r="P102" s="145">
        <v>15.272536687631</v>
      </c>
      <c r="Q102" s="148">
        <v>23.3051902674544</v>
      </c>
      <c r="R102" s="134">
        <f t="shared" si="78"/>
        <v>-42.298449652935595</v>
      </c>
      <c r="S102" s="134">
        <f t="shared" si="79"/>
        <v>2.2029423744728707</v>
      </c>
      <c r="T102" s="134">
        <f t="shared" ref="T102:U102" si="106">U$7+R102</f>
        <v>535195.90155034699</v>
      </c>
      <c r="U102" s="134">
        <f t="shared" si="106"/>
        <v>9407744.9829423744</v>
      </c>
      <c r="V102" s="146">
        <f t="shared" si="81"/>
        <v>1056726.2610211526</v>
      </c>
      <c r="W102" s="18"/>
      <c r="X102" s="18"/>
      <c r="Y102" s="135" t="str">
        <f t="shared" si="75"/>
        <v>po 535195,901550347,9407744,98294237</v>
      </c>
      <c r="Z102" s="135"/>
      <c r="AA102" s="135"/>
      <c r="AB102" s="135"/>
      <c r="AC102" s="18"/>
      <c r="AD102" s="18"/>
    </row>
    <row r="103" spans="2:30" ht="15.75" customHeight="1" x14ac:dyDescent="0.35">
      <c r="B103" s="18"/>
      <c r="C103" s="136" t="s">
        <v>206</v>
      </c>
      <c r="D103" s="433"/>
      <c r="E103" s="137">
        <v>175</v>
      </c>
      <c r="F103" s="148">
        <v>378.41608946609</v>
      </c>
      <c r="G103" s="145">
        <v>26.375974025973999</v>
      </c>
      <c r="H103" s="148">
        <v>28.2160894660895</v>
      </c>
      <c r="I103" s="134">
        <f t="shared" si="74"/>
        <v>378.86352683581902</v>
      </c>
      <c r="J103" s="140">
        <f t="shared" si="76"/>
        <v>378.86352683581902</v>
      </c>
      <c r="K103" s="141">
        <f t="shared" si="77"/>
        <v>274.59269350248564</v>
      </c>
      <c r="L103" s="149">
        <v>42.560902344196698</v>
      </c>
      <c r="M103" s="162">
        <v>1.5443667009719899</v>
      </c>
      <c r="N103" s="150">
        <v>42.500512292738698</v>
      </c>
      <c r="O103" s="151">
        <v>82.797852741249002</v>
      </c>
      <c r="P103" s="145">
        <v>14.971907756813399</v>
      </c>
      <c r="Q103" s="148">
        <v>23.176964614700399</v>
      </c>
      <c r="R103" s="134">
        <f t="shared" si="78"/>
        <v>-42.424243437045348</v>
      </c>
      <c r="S103" s="134">
        <f t="shared" si="79"/>
        <v>3.4079285712237009</v>
      </c>
      <c r="T103" s="134">
        <f t="shared" ref="T103:U103" si="107">U$7+R103</f>
        <v>535195.77575656294</v>
      </c>
      <c r="U103" s="134">
        <f t="shared" si="107"/>
        <v>9407746.1879285704</v>
      </c>
      <c r="V103" s="146">
        <f t="shared" si="81"/>
        <v>1056726.2781792011</v>
      </c>
      <c r="W103" s="18"/>
      <c r="X103" s="18"/>
      <c r="Y103" s="135" t="str">
        <f t="shared" si="75"/>
        <v>po 535195,775756563,9407746,18792857</v>
      </c>
      <c r="Z103" s="135"/>
      <c r="AA103" s="135"/>
      <c r="AB103" s="135"/>
      <c r="AC103" s="18"/>
      <c r="AD103" s="18"/>
    </row>
    <row r="104" spans="2:30" ht="15.75" customHeight="1" x14ac:dyDescent="0.35">
      <c r="B104" s="18"/>
      <c r="C104" s="147" t="s">
        <v>207</v>
      </c>
      <c r="D104" s="433"/>
      <c r="E104" s="137">
        <v>175</v>
      </c>
      <c r="F104" s="148">
        <v>380.02828282828301</v>
      </c>
      <c r="G104" s="145">
        <v>26.3272727272727</v>
      </c>
      <c r="H104" s="148">
        <v>28.173737373737399</v>
      </c>
      <c r="I104" s="134">
        <f t="shared" si="74"/>
        <v>380.47489674523024</v>
      </c>
      <c r="J104" s="140">
        <f t="shared" si="76"/>
        <v>380.47489674523024</v>
      </c>
      <c r="K104" s="141">
        <f t="shared" si="77"/>
        <v>276.20406341189687</v>
      </c>
      <c r="L104" s="149">
        <v>42.766028244711201</v>
      </c>
      <c r="M104" s="162">
        <v>1.5615247493805999</v>
      </c>
      <c r="N104" s="150">
        <v>42.704850009529302</v>
      </c>
      <c r="O104" s="151">
        <v>82.713423543612194</v>
      </c>
      <c r="P104" s="145">
        <v>14.671278825995801</v>
      </c>
      <c r="Q104" s="148">
        <v>23.048738961946501</v>
      </c>
      <c r="R104" s="134">
        <f t="shared" si="78"/>
        <v>-42.515560539761339</v>
      </c>
      <c r="S104" s="134">
        <f t="shared" si="79"/>
        <v>4.6217187081565774</v>
      </c>
      <c r="T104" s="134">
        <f t="shared" ref="T104:U104" si="108">U$7+R104</f>
        <v>535195.68443946016</v>
      </c>
      <c r="U104" s="134">
        <f t="shared" si="108"/>
        <v>9407747.4017187078</v>
      </c>
      <c r="V104" s="146">
        <f t="shared" si="81"/>
        <v>1056726.2953372493</v>
      </c>
      <c r="W104" s="18"/>
      <c r="X104" s="18"/>
      <c r="Y104" s="135" t="str">
        <f t="shared" si="75"/>
        <v>po 535195,68443946,9407747,40171871</v>
      </c>
      <c r="Z104" s="135"/>
      <c r="AA104" s="135"/>
      <c r="AB104" s="135"/>
      <c r="AC104" s="18"/>
      <c r="AD104" s="18"/>
    </row>
    <row r="105" spans="2:30" ht="15.75" customHeight="1" x14ac:dyDescent="0.35">
      <c r="B105" s="18"/>
      <c r="C105" s="136" t="s">
        <v>208</v>
      </c>
      <c r="D105" s="433"/>
      <c r="E105" s="137">
        <v>175</v>
      </c>
      <c r="F105" s="148">
        <v>381.64047619047699</v>
      </c>
      <c r="G105" s="145">
        <v>26.2785714285714</v>
      </c>
      <c r="H105" s="148">
        <v>28.131385281385299</v>
      </c>
      <c r="I105" s="134">
        <f t="shared" si="74"/>
        <v>382.08626665464249</v>
      </c>
      <c r="J105" s="140">
        <f t="shared" si="76"/>
        <v>382.08626665464249</v>
      </c>
      <c r="K105" s="141">
        <f t="shared" si="77"/>
        <v>277.81543332130911</v>
      </c>
      <c r="L105" s="149">
        <v>42.971154145225803</v>
      </c>
      <c r="M105" s="162">
        <v>1.5786827977892099</v>
      </c>
      <c r="N105" s="150">
        <v>42.9091877263198</v>
      </c>
      <c r="O105" s="151">
        <v>82.628994345975499</v>
      </c>
      <c r="P105" s="145">
        <v>14.3706498951782</v>
      </c>
      <c r="Q105" s="148">
        <v>22.920513309192501</v>
      </c>
      <c r="R105" s="134">
        <f t="shared" si="78"/>
        <v>-42.572005745831419</v>
      </c>
      <c r="S105" s="134">
        <f t="shared" si="79"/>
        <v>5.8433222869916506</v>
      </c>
      <c r="T105" s="134">
        <f t="shared" ref="T105:U105" si="109">U$7+R105</f>
        <v>535195.62799425412</v>
      </c>
      <c r="U105" s="134">
        <f t="shared" si="109"/>
        <v>9407748.6233222857</v>
      </c>
      <c r="V105" s="146">
        <f t="shared" si="81"/>
        <v>1056726.3124952978</v>
      </c>
      <c r="W105" s="18"/>
      <c r="X105" s="18"/>
      <c r="Y105" s="135" t="str">
        <f t="shared" si="75"/>
        <v>po 535195,627994254,9407748,62332229</v>
      </c>
      <c r="Z105" s="135"/>
      <c r="AA105" s="135"/>
      <c r="AB105" s="135"/>
      <c r="AC105" s="18"/>
      <c r="AD105" s="18"/>
    </row>
    <row r="106" spans="2:30" ht="15.75" customHeight="1" x14ac:dyDescent="0.35">
      <c r="B106" s="18"/>
      <c r="C106" s="147" t="s">
        <v>209</v>
      </c>
      <c r="D106" s="433"/>
      <c r="E106" s="137">
        <v>175</v>
      </c>
      <c r="F106" s="148">
        <v>383.25266955267</v>
      </c>
      <c r="G106" s="145">
        <v>26.2298701298701</v>
      </c>
      <c r="H106" s="148">
        <v>28.089033189033199</v>
      </c>
      <c r="I106" s="134">
        <f t="shared" si="74"/>
        <v>383.69763656405365</v>
      </c>
      <c r="J106" s="140">
        <f t="shared" si="76"/>
        <v>383.69763656405365</v>
      </c>
      <c r="K106" s="141">
        <f t="shared" si="77"/>
        <v>279.42680323072034</v>
      </c>
      <c r="L106" s="149">
        <v>43.176280045740398</v>
      </c>
      <c r="M106" s="162">
        <v>1.59584084619783</v>
      </c>
      <c r="N106" s="150">
        <v>43.113525443110397</v>
      </c>
      <c r="O106" s="151">
        <v>82.544565148338705</v>
      </c>
      <c r="P106" s="145">
        <v>14.0700209643606</v>
      </c>
      <c r="Q106" s="148">
        <v>22.792287656438599</v>
      </c>
      <c r="R106" s="134">
        <f t="shared" si="78"/>
        <v>-42.593212405894107</v>
      </c>
      <c r="S106" s="134">
        <f t="shared" si="79"/>
        <v>7.0717335593607427</v>
      </c>
      <c r="T106" s="134">
        <f t="shared" ref="T106:U106" si="110">U$7+R106</f>
        <v>535195.60678759404</v>
      </c>
      <c r="U106" s="134">
        <f t="shared" si="110"/>
        <v>9407749.8517335579</v>
      </c>
      <c r="V106" s="146">
        <f t="shared" si="81"/>
        <v>1056726.3296533462</v>
      </c>
      <c r="W106" s="18"/>
      <c r="X106" s="18"/>
      <c r="Y106" s="135" t="str">
        <f t="shared" si="75"/>
        <v>po 535195,606787594,9407749,85173356</v>
      </c>
      <c r="Z106" s="135"/>
      <c r="AA106" s="135"/>
      <c r="AB106" s="135"/>
      <c r="AC106" s="18"/>
      <c r="AD106" s="18"/>
    </row>
    <row r="107" spans="2:30" ht="15.75" customHeight="1" x14ac:dyDescent="0.35">
      <c r="B107" s="18"/>
      <c r="C107" s="136" t="s">
        <v>210</v>
      </c>
      <c r="D107" s="433"/>
      <c r="E107" s="137">
        <v>175</v>
      </c>
      <c r="F107" s="148">
        <v>384.86486291486301</v>
      </c>
      <c r="G107" s="145">
        <v>26.181168831168801</v>
      </c>
      <c r="H107" s="148">
        <v>28.046681096681102</v>
      </c>
      <c r="I107" s="134">
        <f t="shared" si="74"/>
        <v>385.30900647346488</v>
      </c>
      <c r="J107" s="140">
        <f t="shared" si="76"/>
        <v>385.30900647346488</v>
      </c>
      <c r="K107" s="141">
        <f t="shared" si="77"/>
        <v>281.03817314013156</v>
      </c>
      <c r="L107" s="149">
        <v>43.381405946255001</v>
      </c>
      <c r="M107" s="162">
        <v>1.61299889460644</v>
      </c>
      <c r="N107" s="150">
        <v>43.317863159900902</v>
      </c>
      <c r="O107" s="151">
        <v>82.460135950701996</v>
      </c>
      <c r="P107" s="145">
        <v>13.7693920335429</v>
      </c>
      <c r="Q107" s="148">
        <v>22.664062003684599</v>
      </c>
      <c r="R107" s="134">
        <f t="shared" si="78"/>
        <v>-42.578842981130833</v>
      </c>
      <c r="S107" s="134">
        <f t="shared" si="79"/>
        <v>8.3059323535635876</v>
      </c>
      <c r="T107" s="134">
        <f t="shared" ref="T107:U107" si="111">U$7+R107</f>
        <v>535195.62115701882</v>
      </c>
      <c r="U107" s="134">
        <f t="shared" si="111"/>
        <v>9407751.0859323535</v>
      </c>
      <c r="V107" s="146">
        <f t="shared" si="81"/>
        <v>1056726.3468113947</v>
      </c>
      <c r="W107" s="18"/>
      <c r="X107" s="18"/>
      <c r="Y107" s="135" t="str">
        <f t="shared" si="75"/>
        <v>po 535195,621157019,9407751,08593235</v>
      </c>
      <c r="Z107" s="135"/>
      <c r="AA107" s="135"/>
      <c r="AB107" s="135"/>
      <c r="AC107" s="18"/>
      <c r="AD107" s="18"/>
    </row>
    <row r="108" spans="2:30" ht="15.75" customHeight="1" x14ac:dyDescent="0.35">
      <c r="B108" s="18"/>
      <c r="C108" s="147" t="s">
        <v>211</v>
      </c>
      <c r="D108" s="433"/>
      <c r="E108" s="137">
        <v>175</v>
      </c>
      <c r="F108" s="148">
        <v>386.47705627705699</v>
      </c>
      <c r="G108" s="145">
        <v>26.132467532467501</v>
      </c>
      <c r="H108" s="148">
        <v>28.004329004329001</v>
      </c>
      <c r="I108" s="134">
        <f t="shared" si="74"/>
        <v>386.92037638287712</v>
      </c>
      <c r="J108" s="140">
        <f t="shared" si="76"/>
        <v>386.92037638287712</v>
      </c>
      <c r="K108" s="141">
        <f t="shared" si="77"/>
        <v>282.64954304954381</v>
      </c>
      <c r="L108" s="149">
        <v>43.586531846769603</v>
      </c>
      <c r="M108" s="162">
        <v>1.63015694301506</v>
      </c>
      <c r="N108" s="150">
        <v>43.5222008766915</v>
      </c>
      <c r="O108" s="151">
        <v>82.375706753065202</v>
      </c>
      <c r="P108" s="145">
        <v>13.468763102725299</v>
      </c>
      <c r="Q108" s="148">
        <v>22.535836350930701</v>
      </c>
      <c r="R108" s="134">
        <f t="shared" si="78"/>
        <v>-42.528589563913798</v>
      </c>
      <c r="S108" s="134">
        <f t="shared" si="79"/>
        <v>9.5448849198732244</v>
      </c>
      <c r="T108" s="134">
        <f t="shared" ref="T108:U108" si="112">U$7+R108</f>
        <v>535195.67141043604</v>
      </c>
      <c r="U108" s="134">
        <f t="shared" si="112"/>
        <v>9407752.3248849194</v>
      </c>
      <c r="V108" s="146">
        <f t="shared" si="81"/>
        <v>1056726.3639694431</v>
      </c>
      <c r="W108" s="18"/>
      <c r="X108" s="18"/>
      <c r="Y108" s="135" t="str">
        <f t="shared" si="75"/>
        <v>po 535195,671410436,9407752,32488492</v>
      </c>
      <c r="Z108" s="135"/>
      <c r="AA108" s="135"/>
      <c r="AB108" s="135"/>
      <c r="AC108" s="18"/>
      <c r="AD108" s="18"/>
    </row>
    <row r="109" spans="2:30" ht="15.75" customHeight="1" x14ac:dyDescent="0.35">
      <c r="B109" s="18"/>
      <c r="C109" s="136" t="s">
        <v>212</v>
      </c>
      <c r="D109" s="433"/>
      <c r="E109" s="137">
        <v>175</v>
      </c>
      <c r="F109" s="148">
        <v>388.08924963925</v>
      </c>
      <c r="G109" s="145">
        <v>26.083766233766202</v>
      </c>
      <c r="H109" s="148">
        <v>27.961976911976901</v>
      </c>
      <c r="I109" s="134">
        <f t="shared" si="74"/>
        <v>388.53174629228835</v>
      </c>
      <c r="J109" s="140">
        <f t="shared" si="76"/>
        <v>388.53174629228835</v>
      </c>
      <c r="K109" s="141">
        <f t="shared" si="77"/>
        <v>284.26091295895503</v>
      </c>
      <c r="L109" s="149">
        <v>43.791657747284098</v>
      </c>
      <c r="M109" s="162">
        <v>1.64731499142367</v>
      </c>
      <c r="N109" s="150">
        <v>43.726538593481997</v>
      </c>
      <c r="O109" s="151">
        <v>82.291277555428493</v>
      </c>
      <c r="P109" s="145">
        <v>13.168134171907701</v>
      </c>
      <c r="Q109" s="148">
        <v>22.4076106981767</v>
      </c>
      <c r="R109" s="134">
        <f t="shared" si="78"/>
        <v>-42.442174373837389</v>
      </c>
      <c r="S109" s="134">
        <f t="shared" si="79"/>
        <v>10.787544793698343</v>
      </c>
      <c r="T109" s="134">
        <f t="shared" ref="T109:U109" si="113">U$7+R109</f>
        <v>535195.75782562606</v>
      </c>
      <c r="U109" s="134">
        <f t="shared" si="113"/>
        <v>9407753.5675447937</v>
      </c>
      <c r="V109" s="146">
        <f t="shared" si="81"/>
        <v>1056726.3811274914</v>
      </c>
      <c r="W109" s="18"/>
      <c r="X109" s="18"/>
      <c r="Y109" s="135" t="str">
        <f t="shared" si="75"/>
        <v>po 535195,757825626,9407753,56754479</v>
      </c>
      <c r="Z109" s="135"/>
      <c r="AA109" s="135"/>
      <c r="AB109" s="135"/>
      <c r="AC109" s="18"/>
      <c r="AD109" s="18"/>
    </row>
    <row r="110" spans="2:30" ht="15.75" customHeight="1" x14ac:dyDescent="0.35">
      <c r="B110" s="18"/>
      <c r="C110" s="164" t="s">
        <v>213</v>
      </c>
      <c r="D110" s="433"/>
      <c r="E110" s="137">
        <v>175</v>
      </c>
      <c r="F110" s="148">
        <v>389.70144300144301</v>
      </c>
      <c r="G110" s="145">
        <v>26.035064935064899</v>
      </c>
      <c r="H110" s="148">
        <v>27.919624819624801</v>
      </c>
      <c r="I110" s="134">
        <f t="shared" si="74"/>
        <v>390.14311620169951</v>
      </c>
      <c r="J110" s="140">
        <f t="shared" si="76"/>
        <v>390.14311620169951</v>
      </c>
      <c r="K110" s="141">
        <f t="shared" si="77"/>
        <v>285.87228286836614</v>
      </c>
      <c r="L110" s="149">
        <v>43.996783647798701</v>
      </c>
      <c r="M110" s="162">
        <v>1.66447303983229</v>
      </c>
      <c r="N110" s="150">
        <v>43.930876310272602</v>
      </c>
      <c r="O110" s="151">
        <v>82.206848357791699</v>
      </c>
      <c r="P110" s="145">
        <v>12.8675052410901</v>
      </c>
      <c r="Q110" s="148">
        <v>22.279385045422799</v>
      </c>
      <c r="R110" s="134">
        <f t="shared" si="78"/>
        <v>-42.319350228539626</v>
      </c>
      <c r="S110" s="134">
        <f t="shared" si="79"/>
        <v>12.032853675891266</v>
      </c>
      <c r="T110" s="134">
        <f t="shared" ref="T110:U110" si="114">U$7+R110</f>
        <v>535195.88064977142</v>
      </c>
      <c r="U110" s="134">
        <f t="shared" si="114"/>
        <v>9407754.8128536753</v>
      </c>
      <c r="V110" s="146">
        <f t="shared" si="81"/>
        <v>1056726.3982855398</v>
      </c>
      <c r="W110" s="18"/>
      <c r="X110" s="18"/>
      <c r="Y110" s="135" t="str">
        <f t="shared" si="75"/>
        <v>po 535195,880649771,9407754,81285368</v>
      </c>
      <c r="Z110" s="135"/>
      <c r="AA110" s="135"/>
      <c r="AB110" s="135"/>
      <c r="AC110" s="18"/>
      <c r="AD110" s="18"/>
    </row>
    <row r="111" spans="2:30" ht="15.75" customHeight="1" x14ac:dyDescent="0.35">
      <c r="B111" s="18"/>
      <c r="C111" s="165" t="s">
        <v>214</v>
      </c>
      <c r="D111" s="433"/>
      <c r="E111" s="137">
        <v>175</v>
      </c>
      <c r="F111" s="148">
        <v>391.31363636363699</v>
      </c>
      <c r="G111" s="145">
        <v>25.986363636363599</v>
      </c>
      <c r="H111" s="148">
        <v>27.8772727272727</v>
      </c>
      <c r="I111" s="134">
        <f t="shared" si="74"/>
        <v>391.75448611111176</v>
      </c>
      <c r="J111" s="140">
        <f t="shared" si="76"/>
        <v>391.75448611111176</v>
      </c>
      <c r="K111" s="141">
        <f t="shared" si="77"/>
        <v>287.48365277777839</v>
      </c>
      <c r="L111" s="149">
        <v>44.201909548313303</v>
      </c>
      <c r="M111" s="162">
        <v>1.6816310882409</v>
      </c>
      <c r="N111" s="150">
        <v>44.1352140270631</v>
      </c>
      <c r="O111" s="151">
        <v>82.122419160155005</v>
      </c>
      <c r="P111" s="145">
        <v>12.5668763102725</v>
      </c>
      <c r="Q111" s="148">
        <v>22.151159392668799</v>
      </c>
      <c r="R111" s="134">
        <f t="shared" si="78"/>
        <v>-42.15990098874385</v>
      </c>
      <c r="S111" s="134">
        <f t="shared" si="79"/>
        <v>13.279742329449995</v>
      </c>
      <c r="T111" s="134">
        <f t="shared" ref="T111:U111" si="115">U$7+R111</f>
        <v>535196.04009901115</v>
      </c>
      <c r="U111" s="134">
        <f t="shared" si="115"/>
        <v>9407756.0597423296</v>
      </c>
      <c r="V111" s="146">
        <f t="shared" si="81"/>
        <v>1056726.4154435883</v>
      </c>
      <c r="W111" s="18"/>
      <c r="X111" s="18"/>
      <c r="Y111" s="135" t="str">
        <f t="shared" si="75"/>
        <v>po 535196,040099011,9407756,05974233</v>
      </c>
      <c r="Z111" s="18"/>
      <c r="AA111" s="18"/>
      <c r="AB111" s="18"/>
      <c r="AC111" s="18"/>
      <c r="AD111" s="18"/>
    </row>
    <row r="112" spans="2:30" ht="15.75" customHeight="1" x14ac:dyDescent="0.35">
      <c r="B112" s="18"/>
      <c r="C112" s="166" t="s">
        <v>215</v>
      </c>
      <c r="D112" s="433"/>
      <c r="E112" s="137">
        <v>175</v>
      </c>
      <c r="F112" s="148">
        <v>392.92582972583</v>
      </c>
      <c r="G112" s="145">
        <v>25.937662337662299</v>
      </c>
      <c r="H112" s="148">
        <v>27.8349206349206</v>
      </c>
      <c r="I112" s="134">
        <f t="shared" si="74"/>
        <v>393.36585602052298</v>
      </c>
      <c r="J112" s="140">
        <f t="shared" si="76"/>
        <v>393.36585602052298</v>
      </c>
      <c r="K112" s="141">
        <f t="shared" si="77"/>
        <v>289.09502268718961</v>
      </c>
      <c r="L112" s="149">
        <v>44.407035448827898</v>
      </c>
      <c r="M112" s="162">
        <v>1.69878913664952</v>
      </c>
      <c r="N112" s="150">
        <v>44.339551743853697</v>
      </c>
      <c r="O112" s="151">
        <v>82.037989962518296</v>
      </c>
      <c r="P112" s="145">
        <v>12.266247379454899</v>
      </c>
      <c r="Q112" s="148">
        <v>22.022933739914802</v>
      </c>
      <c r="R112" s="134">
        <f t="shared" si="78"/>
        <v>-41.963641976972795</v>
      </c>
      <c r="S112" s="134">
        <f t="shared" si="79"/>
        <v>14.527131491863919</v>
      </c>
      <c r="T112" s="134">
        <f t="shared" ref="T112:U112" si="116">U$7+R112</f>
        <v>535196.23635802302</v>
      </c>
      <c r="U112" s="134">
        <f t="shared" si="116"/>
        <v>9407757.3071314916</v>
      </c>
      <c r="V112" s="146">
        <f t="shared" si="81"/>
        <v>1056726.4326016367</v>
      </c>
      <c r="W112" s="18"/>
      <c r="X112" s="18"/>
      <c r="Y112" s="135" t="str">
        <f t="shared" si="75"/>
        <v>po 535196,236358023,9407757,30713149</v>
      </c>
      <c r="Z112" s="18"/>
      <c r="AA112" s="18"/>
      <c r="AB112" s="18"/>
      <c r="AC112" s="18"/>
      <c r="AD112" s="18"/>
    </row>
    <row r="113" spans="2:30" ht="15.75" customHeight="1" x14ac:dyDescent="0.35">
      <c r="B113" s="18"/>
      <c r="C113" s="165" t="s">
        <v>216</v>
      </c>
      <c r="D113" s="433"/>
      <c r="E113" s="137">
        <v>175</v>
      </c>
      <c r="F113" s="148">
        <v>394.53802308802301</v>
      </c>
      <c r="G113" s="145">
        <v>25.888961038961</v>
      </c>
      <c r="H113" s="148">
        <v>27.792568542568599</v>
      </c>
      <c r="I113" s="134">
        <f t="shared" si="74"/>
        <v>394.97722592993415</v>
      </c>
      <c r="J113" s="140">
        <f t="shared" si="76"/>
        <v>394.97722592993415</v>
      </c>
      <c r="K113" s="141">
        <f t="shared" si="77"/>
        <v>290.70639259660084</v>
      </c>
      <c r="L113" s="149">
        <v>44.6121613493425</v>
      </c>
      <c r="M113" s="162">
        <v>1.71594718505813</v>
      </c>
      <c r="N113" s="150">
        <v>44.543889460644202</v>
      </c>
      <c r="O113" s="151">
        <v>81.953560764881502</v>
      </c>
      <c r="P113" s="145">
        <v>11.965618448637301</v>
      </c>
      <c r="Q113" s="148">
        <v>21.8947080871609</v>
      </c>
      <c r="R113" s="134">
        <f t="shared" si="78"/>
        <v>-41.730420369403376</v>
      </c>
      <c r="S113" s="134">
        <f t="shared" si="79"/>
        <v>15.77393280233729</v>
      </c>
      <c r="T113" s="134">
        <f t="shared" ref="T113:U113" si="117">U$7+R113</f>
        <v>535196.46957963053</v>
      </c>
      <c r="U113" s="134">
        <f t="shared" si="117"/>
        <v>9407758.5539328009</v>
      </c>
      <c r="V113" s="146">
        <f t="shared" si="81"/>
        <v>1056726.449759685</v>
      </c>
      <c r="W113" s="18"/>
      <c r="X113" s="18"/>
      <c r="Y113" s="135" t="str">
        <f t="shared" si="75"/>
        <v>po 535196,469579631,9407758,5539328</v>
      </c>
      <c r="Z113" s="18"/>
      <c r="AA113" s="18"/>
      <c r="AB113" s="18"/>
      <c r="AC113" s="18"/>
      <c r="AD113" s="18"/>
    </row>
    <row r="114" spans="2:30" ht="15.75" customHeight="1" x14ac:dyDescent="0.35">
      <c r="B114" s="18"/>
      <c r="C114" s="166" t="s">
        <v>217</v>
      </c>
      <c r="D114" s="433"/>
      <c r="E114" s="137">
        <v>175</v>
      </c>
      <c r="F114" s="148">
        <v>396.15021645021699</v>
      </c>
      <c r="G114" s="145">
        <v>25.8402597402597</v>
      </c>
      <c r="H114" s="148">
        <v>27.750216450216499</v>
      </c>
      <c r="I114" s="134">
        <f t="shared" si="74"/>
        <v>396.5885958393464</v>
      </c>
      <c r="J114" s="140">
        <f t="shared" si="76"/>
        <v>396.5885958393464</v>
      </c>
      <c r="K114" s="141">
        <f t="shared" si="77"/>
        <v>292.31776250601308</v>
      </c>
      <c r="L114" s="149">
        <v>44.817287249857003</v>
      </c>
      <c r="M114" s="162">
        <v>1.7331052334667401</v>
      </c>
      <c r="N114" s="150">
        <v>44.748227177434799</v>
      </c>
      <c r="O114" s="151">
        <v>81.869131567244807</v>
      </c>
      <c r="P114" s="145">
        <v>11.6649895178197</v>
      </c>
      <c r="Q114" s="148">
        <v>21.7664824344069</v>
      </c>
      <c r="R114" s="134">
        <f t="shared" si="78"/>
        <v>-41.460115560362844</v>
      </c>
      <c r="S114" s="134">
        <f t="shared" si="79"/>
        <v>17.019049743083603</v>
      </c>
      <c r="T114" s="134">
        <f t="shared" ref="T114:U114" si="118">U$7+R114</f>
        <v>535196.73988443962</v>
      </c>
      <c r="U114" s="134">
        <f t="shared" si="118"/>
        <v>9407759.7990497425</v>
      </c>
      <c r="V114" s="146">
        <f t="shared" si="81"/>
        <v>1056726.4669177334</v>
      </c>
      <c r="W114" s="18"/>
      <c r="X114" s="18"/>
      <c r="Y114" s="135" t="str">
        <f t="shared" si="75"/>
        <v>po 535196,73988444,9407759,79904974</v>
      </c>
      <c r="Z114" s="18"/>
      <c r="AA114" s="18"/>
      <c r="AB114" s="18"/>
      <c r="AC114" s="18"/>
      <c r="AD114" s="18"/>
    </row>
    <row r="115" spans="2:30" ht="15.75" customHeight="1" x14ac:dyDescent="0.35">
      <c r="B115" s="18"/>
      <c r="C115" s="165" t="s">
        <v>218</v>
      </c>
      <c r="D115" s="433"/>
      <c r="E115" s="137">
        <v>175</v>
      </c>
      <c r="F115" s="148">
        <v>397.76240981241</v>
      </c>
      <c r="G115" s="145">
        <v>25.791558441558401</v>
      </c>
      <c r="H115" s="148">
        <v>27.707864357864398</v>
      </c>
      <c r="I115" s="134">
        <f t="shared" si="74"/>
        <v>398.19996574875762</v>
      </c>
      <c r="J115" s="140">
        <f t="shared" si="76"/>
        <v>398.19996574875762</v>
      </c>
      <c r="K115" s="141">
        <f t="shared" si="77"/>
        <v>293.92913241542431</v>
      </c>
      <c r="L115" s="149">
        <v>45.022413150371598</v>
      </c>
      <c r="M115" s="162">
        <v>1.7502632818753601</v>
      </c>
      <c r="N115" s="150">
        <v>44.952564894225297</v>
      </c>
      <c r="O115" s="151">
        <v>81.784702369607999</v>
      </c>
      <c r="P115" s="145">
        <v>11.3643605870021</v>
      </c>
      <c r="Q115" s="148">
        <v>21.638256781652998</v>
      </c>
      <c r="R115" s="134">
        <f t="shared" si="78"/>
        <v>-41.152639498984108</v>
      </c>
      <c r="S115" s="134">
        <f t="shared" si="79"/>
        <v>18.261378593890612</v>
      </c>
      <c r="T115" s="134">
        <f t="shared" ref="T115:U115" si="119">U$7+R115</f>
        <v>535197.04736050102</v>
      </c>
      <c r="U115" s="134">
        <f t="shared" si="119"/>
        <v>9407761.0413785931</v>
      </c>
      <c r="V115" s="146">
        <f t="shared" si="81"/>
        <v>1056726.4840757819</v>
      </c>
      <c r="W115" s="18"/>
      <c r="X115" s="18"/>
      <c r="Y115" s="135" t="str">
        <f t="shared" si="75"/>
        <v>po 535197,047360501,9407761,04137859</v>
      </c>
      <c r="Z115" s="18"/>
      <c r="AA115" s="18"/>
      <c r="AB115" s="18"/>
      <c r="AC115" s="18"/>
      <c r="AD115" s="18"/>
    </row>
    <row r="116" spans="2:30" ht="15.75" customHeight="1" x14ac:dyDescent="0.35">
      <c r="B116" s="18"/>
      <c r="C116" s="166" t="s">
        <v>219</v>
      </c>
      <c r="D116" s="433"/>
      <c r="E116" s="137">
        <v>175</v>
      </c>
      <c r="F116" s="148">
        <v>399.37460317460398</v>
      </c>
      <c r="G116" s="145">
        <v>25.742857142857101</v>
      </c>
      <c r="H116" s="148">
        <v>27.665512265512302</v>
      </c>
      <c r="I116" s="134">
        <f t="shared" si="74"/>
        <v>399.81133565816975</v>
      </c>
      <c r="J116" s="140">
        <f t="shared" si="76"/>
        <v>399.81133565816975</v>
      </c>
      <c r="K116" s="141">
        <f t="shared" si="77"/>
        <v>295.54050232483644</v>
      </c>
      <c r="L116" s="149">
        <v>45.2275390508862</v>
      </c>
      <c r="M116" s="162">
        <v>1.7674213302839701</v>
      </c>
      <c r="N116" s="150">
        <v>45.156902611015802</v>
      </c>
      <c r="O116" s="151">
        <v>81.700273171971304</v>
      </c>
      <c r="P116" s="145">
        <v>11.063731656184499</v>
      </c>
      <c r="Q116" s="148">
        <v>21.510031128899001</v>
      </c>
      <c r="R116" s="134">
        <f t="shared" si="78"/>
        <v>-40.80793699755835</v>
      </c>
      <c r="S116" s="134">
        <f t="shared" si="79"/>
        <v>19.499809399138872</v>
      </c>
      <c r="T116" s="134">
        <f t="shared" ref="T116:U116" si="120">U$7+R116</f>
        <v>535197.39206300245</v>
      </c>
      <c r="U116" s="134">
        <f t="shared" si="120"/>
        <v>9407762.2798093986</v>
      </c>
      <c r="V116" s="146">
        <f t="shared" si="81"/>
        <v>1056726.5012338303</v>
      </c>
      <c r="W116" s="18"/>
      <c r="X116" s="18"/>
      <c r="Y116" s="135" t="str">
        <f t="shared" si="75"/>
        <v>po 535197,392063002,9407762,2798094</v>
      </c>
      <c r="Z116" s="18"/>
      <c r="AA116" s="18"/>
      <c r="AB116" s="18"/>
      <c r="AC116" s="18"/>
      <c r="AD116" s="18"/>
    </row>
    <row r="117" spans="2:30" ht="15.75" customHeight="1" x14ac:dyDescent="0.35">
      <c r="B117" s="18"/>
      <c r="C117" s="165" t="s">
        <v>220</v>
      </c>
      <c r="D117" s="433"/>
      <c r="E117" s="137">
        <v>175</v>
      </c>
      <c r="F117" s="148">
        <v>400.98679653679699</v>
      </c>
      <c r="G117" s="145">
        <v>25.694155844155802</v>
      </c>
      <c r="H117" s="148">
        <v>27.623160173160201</v>
      </c>
      <c r="I117" s="134">
        <f t="shared" si="74"/>
        <v>401.42270556758103</v>
      </c>
      <c r="J117" s="140">
        <f t="shared" si="76"/>
        <v>401.42270556758103</v>
      </c>
      <c r="K117" s="141">
        <f t="shared" si="77"/>
        <v>297.15187223424766</v>
      </c>
      <c r="L117" s="149">
        <v>45.432664951400803</v>
      </c>
      <c r="M117" s="162">
        <v>1.7845793786925901</v>
      </c>
      <c r="N117" s="150">
        <v>45.361240327806399</v>
      </c>
      <c r="O117" s="151">
        <v>81.615843974334496</v>
      </c>
      <c r="P117" s="145">
        <v>10.763102725366799</v>
      </c>
      <c r="Q117" s="148">
        <v>21.3818054761451</v>
      </c>
      <c r="R117" s="134">
        <f t="shared" si="78"/>
        <v>-40.425986011161527</v>
      </c>
      <c r="S117" s="134">
        <f t="shared" si="79"/>
        <v>20.733226946416604</v>
      </c>
      <c r="T117" s="134">
        <f t="shared" ref="T117:U117" si="121">U$7+R117</f>
        <v>535197.77401398879</v>
      </c>
      <c r="U117" s="134">
        <f t="shared" si="121"/>
        <v>9407763.513226945</v>
      </c>
      <c r="V117" s="146">
        <f t="shared" si="81"/>
        <v>1056726.5183918788</v>
      </c>
      <c r="W117" s="18"/>
      <c r="X117" s="18"/>
      <c r="Y117" s="135" t="str">
        <f t="shared" si="75"/>
        <v>po 535197,774013989,9407763,51322694</v>
      </c>
      <c r="Z117" s="18"/>
      <c r="AA117" s="18"/>
      <c r="AB117" s="18"/>
      <c r="AC117" s="18"/>
      <c r="AD117" s="18"/>
    </row>
    <row r="118" spans="2:30" ht="15.75" customHeight="1" x14ac:dyDescent="0.35">
      <c r="B118" s="18"/>
      <c r="C118" s="166" t="s">
        <v>221</v>
      </c>
      <c r="D118" s="433"/>
      <c r="E118" s="137">
        <v>175</v>
      </c>
      <c r="F118" s="148">
        <v>402.59898989899</v>
      </c>
      <c r="G118" s="145">
        <v>25.645454545454498</v>
      </c>
      <c r="H118" s="148">
        <v>27.580808080808101</v>
      </c>
      <c r="I118" s="134">
        <f t="shared" si="74"/>
        <v>403.03407547699226</v>
      </c>
      <c r="J118" s="140">
        <f t="shared" si="76"/>
        <v>403.03407547699226</v>
      </c>
      <c r="K118" s="141">
        <f t="shared" si="77"/>
        <v>298.76324214365889</v>
      </c>
      <c r="L118" s="149">
        <v>45.637790851915398</v>
      </c>
      <c r="M118" s="162">
        <v>1.8017374271012001</v>
      </c>
      <c r="N118" s="150">
        <v>45.565578044596897</v>
      </c>
      <c r="O118" s="151">
        <v>81.531414776697801</v>
      </c>
      <c r="P118" s="145">
        <v>10.462473794549201</v>
      </c>
      <c r="Q118" s="148">
        <v>21.2535798233911</v>
      </c>
      <c r="R118" s="134">
        <f t="shared" si="78"/>
        <v>-40.006797888136845</v>
      </c>
      <c r="S118" s="134">
        <f t="shared" si="79"/>
        <v>21.960511755898182</v>
      </c>
      <c r="T118" s="134">
        <f t="shared" ref="T118:U118" si="122">U$7+R118</f>
        <v>535198.19320211187</v>
      </c>
      <c r="U118" s="134">
        <f t="shared" si="122"/>
        <v>9407764.7405117545</v>
      </c>
      <c r="V118" s="146">
        <f t="shared" si="81"/>
        <v>1056726.535549927</v>
      </c>
      <c r="W118" s="18"/>
      <c r="X118" s="18"/>
      <c r="Y118" s="135" t="str">
        <f t="shared" si="75"/>
        <v>po 535198,193202112,9407764,74051175</v>
      </c>
      <c r="Z118" s="18"/>
      <c r="AA118" s="18"/>
      <c r="AB118" s="18"/>
      <c r="AC118" s="18"/>
      <c r="AD118" s="18"/>
    </row>
    <row r="119" spans="2:30" ht="15.75" customHeight="1" x14ac:dyDescent="0.35">
      <c r="B119" s="18"/>
      <c r="C119" s="165" t="s">
        <v>222</v>
      </c>
      <c r="D119" s="433"/>
      <c r="E119" s="137">
        <v>175</v>
      </c>
      <c r="F119" s="148">
        <v>404.21118326118398</v>
      </c>
      <c r="G119" s="145">
        <v>25.596753246753298</v>
      </c>
      <c r="H119" s="148">
        <v>27.538455988456001</v>
      </c>
      <c r="I119" s="134">
        <f t="shared" si="74"/>
        <v>404.64544538640445</v>
      </c>
      <c r="J119" s="140">
        <f t="shared" si="76"/>
        <v>404.64544538640445</v>
      </c>
      <c r="K119" s="141">
        <f t="shared" si="77"/>
        <v>300.37461205307113</v>
      </c>
      <c r="L119" s="149">
        <v>45.8429167524299</v>
      </c>
      <c r="M119" s="162">
        <v>1.8188954755098199</v>
      </c>
      <c r="N119" s="150">
        <v>45.769915761387502</v>
      </c>
      <c r="O119" s="151">
        <v>81.446985579061007</v>
      </c>
      <c r="P119" s="145">
        <v>10.1618448637316</v>
      </c>
      <c r="Q119" s="148">
        <v>21.125354170637198</v>
      </c>
      <c r="R119" s="134">
        <f t="shared" si="78"/>
        <v>-39.550417591058419</v>
      </c>
      <c r="S119" s="134">
        <f t="shared" si="79"/>
        <v>23.180541079601984</v>
      </c>
      <c r="T119" s="134">
        <f t="shared" ref="T119:U119" si="123">U$7+R119</f>
        <v>535198.64958240895</v>
      </c>
      <c r="U119" s="134">
        <f t="shared" si="123"/>
        <v>9407765.9605410788</v>
      </c>
      <c r="V119" s="146">
        <f t="shared" si="81"/>
        <v>1056726.5527079755</v>
      </c>
      <c r="W119" s="18"/>
      <c r="X119" s="18"/>
      <c r="Y119" s="135" t="str">
        <f t="shared" si="75"/>
        <v>po 535198,649582409,9407765,96054108</v>
      </c>
      <c r="Z119" s="18"/>
      <c r="AA119" s="18"/>
      <c r="AB119" s="18"/>
      <c r="AC119" s="18"/>
      <c r="AD119" s="18"/>
    </row>
    <row r="120" spans="2:30" ht="15.75" customHeight="1" x14ac:dyDescent="0.35">
      <c r="B120" s="18"/>
      <c r="C120" s="166" t="s">
        <v>223</v>
      </c>
      <c r="D120" s="433"/>
      <c r="E120" s="137">
        <v>175</v>
      </c>
      <c r="F120" s="148">
        <v>405.82337662337699</v>
      </c>
      <c r="G120" s="145">
        <v>25.548051948051999</v>
      </c>
      <c r="H120" s="148">
        <v>27.4961038961039</v>
      </c>
      <c r="I120" s="134">
        <f t="shared" si="74"/>
        <v>406.25681529581567</v>
      </c>
      <c r="J120" s="140">
        <f t="shared" si="76"/>
        <v>406.25681529581567</v>
      </c>
      <c r="K120" s="141">
        <f t="shared" si="77"/>
        <v>301.98598196248236</v>
      </c>
      <c r="L120" s="149">
        <v>46.048042652944503</v>
      </c>
      <c r="M120" s="162">
        <v>1.8360535239184299</v>
      </c>
      <c r="N120" s="150">
        <v>45.974253478177999</v>
      </c>
      <c r="O120" s="151">
        <v>81.362556381424298</v>
      </c>
      <c r="P120" s="145">
        <v>9.8612159329140194</v>
      </c>
      <c r="Q120" s="148">
        <v>20.997128517883201</v>
      </c>
      <c r="R120" s="134">
        <f t="shared" si="78"/>
        <v>-39.056923887817732</v>
      </c>
      <c r="S120" s="134">
        <f t="shared" si="79"/>
        <v>24.392189909653638</v>
      </c>
      <c r="T120" s="134">
        <f t="shared" ref="T120:U120" si="124">U$7+R120</f>
        <v>535199.14307611214</v>
      </c>
      <c r="U120" s="134">
        <f t="shared" si="124"/>
        <v>9407767.1721899081</v>
      </c>
      <c r="V120" s="146">
        <f t="shared" si="81"/>
        <v>1056726.569866024</v>
      </c>
      <c r="W120" s="18"/>
      <c r="X120" s="18"/>
      <c r="Y120" s="135" t="str">
        <f t="shared" si="75"/>
        <v>po 535199,143076112,9407767,17218991</v>
      </c>
      <c r="Z120" s="18"/>
      <c r="AA120" s="18"/>
      <c r="AB120" s="18"/>
      <c r="AC120" s="18"/>
      <c r="AD120" s="18"/>
    </row>
    <row r="121" spans="2:30" ht="15.75" customHeight="1" x14ac:dyDescent="0.35">
      <c r="B121" s="18"/>
      <c r="C121" s="165" t="s">
        <v>224</v>
      </c>
      <c r="D121" s="433"/>
      <c r="E121" s="137">
        <v>175</v>
      </c>
      <c r="F121" s="148">
        <v>407.43556998557</v>
      </c>
      <c r="G121" s="145">
        <v>25.499350649350699</v>
      </c>
      <c r="H121" s="148">
        <v>27.4537518037518</v>
      </c>
      <c r="I121" s="134">
        <f t="shared" si="74"/>
        <v>407.86818520522689</v>
      </c>
      <c r="J121" s="140">
        <f t="shared" si="76"/>
        <v>407.86818520522689</v>
      </c>
      <c r="K121" s="141">
        <f t="shared" si="77"/>
        <v>303.59735187189358</v>
      </c>
      <c r="L121" s="149">
        <v>46.253168553459098</v>
      </c>
      <c r="M121" s="162">
        <v>1.8532115723270499</v>
      </c>
      <c r="N121" s="150">
        <v>46.178591194968597</v>
      </c>
      <c r="O121" s="151">
        <v>81.278127183787504</v>
      </c>
      <c r="P121" s="145">
        <v>9.5605870020964296</v>
      </c>
      <c r="Q121" s="148">
        <v>20.8689028651293</v>
      </c>
      <c r="R121" s="134">
        <f t="shared" si="78"/>
        <v>-38.526429512496762</v>
      </c>
      <c r="S121" s="134">
        <f t="shared" si="79"/>
        <v>25.594331994668586</v>
      </c>
      <c r="T121" s="134">
        <f t="shared" ref="T121:U121" si="125">U$7+R121</f>
        <v>535199.67357048742</v>
      </c>
      <c r="U121" s="134">
        <f t="shared" si="125"/>
        <v>9407768.374331994</v>
      </c>
      <c r="V121" s="146">
        <f t="shared" si="81"/>
        <v>1056726.5870240724</v>
      </c>
      <c r="W121" s="18"/>
      <c r="X121" s="18"/>
      <c r="Y121" s="135" t="str">
        <f t="shared" si="75"/>
        <v>po 535199,673570487,9407768,37433199</v>
      </c>
      <c r="Z121" s="18"/>
      <c r="AA121" s="18"/>
      <c r="AB121" s="18"/>
      <c r="AC121" s="18"/>
      <c r="AD121" s="18"/>
    </row>
    <row r="122" spans="2:30" ht="15.75" customHeight="1" x14ac:dyDescent="0.35">
      <c r="B122" s="18"/>
      <c r="C122" s="166" t="s">
        <v>225</v>
      </c>
      <c r="D122" s="433"/>
      <c r="E122" s="137">
        <v>175</v>
      </c>
      <c r="F122" s="148">
        <v>409.04776334776398</v>
      </c>
      <c r="G122" s="145">
        <v>25.4506493506494</v>
      </c>
      <c r="H122" s="148">
        <v>27.411399711399699</v>
      </c>
      <c r="I122" s="134">
        <f t="shared" si="74"/>
        <v>409.47955511463908</v>
      </c>
      <c r="J122" s="140">
        <f t="shared" si="76"/>
        <v>409.47955511463908</v>
      </c>
      <c r="K122" s="141">
        <f t="shared" si="77"/>
        <v>305.20872178130571</v>
      </c>
      <c r="L122" s="149">
        <v>46.4582944539737</v>
      </c>
      <c r="M122" s="162">
        <v>1.8703696207356599</v>
      </c>
      <c r="N122" s="150">
        <v>46.382928911759102</v>
      </c>
      <c r="O122" s="151">
        <v>81.193697986150795</v>
      </c>
      <c r="P122" s="145">
        <v>9.2599580712788292</v>
      </c>
      <c r="Q122" s="148">
        <v>20.740677212375299</v>
      </c>
      <c r="R122" s="134">
        <f t="shared" si="78"/>
        <v>-37.959081295733341</v>
      </c>
      <c r="S122" s="134">
        <f t="shared" si="79"/>
        <v>26.78584086333731</v>
      </c>
      <c r="T122" s="134">
        <f t="shared" ref="T122:U122" si="126">U$7+R122</f>
        <v>535200.24091870419</v>
      </c>
      <c r="U122" s="134">
        <f t="shared" si="126"/>
        <v>9407769.5658408627</v>
      </c>
      <c r="V122" s="146">
        <f t="shared" si="81"/>
        <v>1056726.6041821206</v>
      </c>
      <c r="W122" s="18"/>
      <c r="X122" s="18"/>
      <c r="Y122" s="135" t="str">
        <f t="shared" si="75"/>
        <v>po 535200,240918704,9407769,56584086</v>
      </c>
      <c r="Z122" s="18"/>
      <c r="AA122" s="18"/>
      <c r="AB122" s="18"/>
      <c r="AC122" s="18"/>
      <c r="AD122" s="18"/>
    </row>
    <row r="123" spans="2:30" ht="15.75" customHeight="1" x14ac:dyDescent="0.35">
      <c r="B123" s="18"/>
      <c r="C123" s="165" t="s">
        <v>226</v>
      </c>
      <c r="D123" s="434">
        <v>1.62</v>
      </c>
      <c r="E123" s="167">
        <v>175</v>
      </c>
      <c r="F123" s="168">
        <v>410.65995670995699</v>
      </c>
      <c r="G123" s="169">
        <v>25.4019480519481</v>
      </c>
      <c r="H123" s="168">
        <v>27.369047619047599</v>
      </c>
      <c r="I123" s="170">
        <f t="shared" si="74"/>
        <v>411.09092502405031</v>
      </c>
      <c r="J123" s="171">
        <f t="shared" si="76"/>
        <v>411.09092502405031</v>
      </c>
      <c r="K123" s="141">
        <f t="shared" si="77"/>
        <v>306.82009169071694</v>
      </c>
      <c r="L123" s="172">
        <v>46.663420354488302</v>
      </c>
      <c r="M123" s="173">
        <v>1.8875276691442699</v>
      </c>
      <c r="N123" s="173">
        <v>46.587266628549699</v>
      </c>
      <c r="O123" s="174">
        <v>81.1092687885141</v>
      </c>
      <c r="P123" s="169">
        <v>8.9593291404612305</v>
      </c>
      <c r="Q123" s="168">
        <v>20.612451559621299</v>
      </c>
      <c r="R123" s="170">
        <f t="shared" si="78"/>
        <v>-37.355060264296974</v>
      </c>
      <c r="S123" s="170">
        <f t="shared" si="79"/>
        <v>27.965590854305486</v>
      </c>
      <c r="T123" s="134">
        <f t="shared" ref="T123:U123" si="127">U$7+R123</f>
        <v>535200.8449397356</v>
      </c>
      <c r="U123" s="134">
        <f t="shared" si="127"/>
        <v>9407770.7455908544</v>
      </c>
      <c r="V123" s="146">
        <f t="shared" si="81"/>
        <v>1056728.2413401692</v>
      </c>
      <c r="W123" s="176"/>
      <c r="X123" s="176"/>
      <c r="Y123" s="177" t="str">
        <f t="shared" si="75"/>
        <v>po 535200,844939736,9407770,74559085</v>
      </c>
      <c r="Z123" s="176"/>
      <c r="AA123" s="176"/>
      <c r="AB123" s="18"/>
      <c r="AC123" s="18"/>
      <c r="AD123" s="18"/>
    </row>
    <row r="124" spans="2:30" ht="15.75" customHeight="1" x14ac:dyDescent="0.35">
      <c r="B124" s="18"/>
      <c r="C124" s="166" t="s">
        <v>227</v>
      </c>
      <c r="D124" s="435"/>
      <c r="E124" s="137">
        <v>175</v>
      </c>
      <c r="F124" s="148">
        <v>412.27215007215</v>
      </c>
      <c r="G124" s="145">
        <v>25.3532467532468</v>
      </c>
      <c r="H124" s="148">
        <v>27.326695526695499</v>
      </c>
      <c r="I124" s="134">
        <f t="shared" si="74"/>
        <v>412.70229493346153</v>
      </c>
      <c r="J124" s="140">
        <f t="shared" si="76"/>
        <v>412.70229493346153</v>
      </c>
      <c r="K124" s="141">
        <f t="shared" si="77"/>
        <v>308.43146160012816</v>
      </c>
      <c r="L124" s="149">
        <v>46.868546255002798</v>
      </c>
      <c r="M124" s="162">
        <v>1.90468571755289</v>
      </c>
      <c r="N124" s="150">
        <v>46.791604345340197</v>
      </c>
      <c r="O124" s="151">
        <v>81.024839590877306</v>
      </c>
      <c r="P124" s="145">
        <v>8.6587002096436301</v>
      </c>
      <c r="Q124" s="148">
        <v>20.484225906867401</v>
      </c>
      <c r="R124" s="134">
        <f t="shared" si="78"/>
        <v>-36.714581709622664</v>
      </c>
      <c r="S124" s="134">
        <f t="shared" si="79"/>
        <v>29.132458151429272</v>
      </c>
      <c r="T124" s="134">
        <f t="shared" ref="T124:U124" si="128">U$7+R124</f>
        <v>535201.48541829037</v>
      </c>
      <c r="U124" s="134">
        <f t="shared" si="128"/>
        <v>9407771.9124581516</v>
      </c>
      <c r="V124" s="146">
        <f t="shared" si="81"/>
        <v>1056726.6384982176</v>
      </c>
      <c r="W124" s="18"/>
      <c r="X124" s="18"/>
      <c r="Y124" s="135" t="str">
        <f t="shared" si="75"/>
        <v>po 535201,48541829,9407771,91245815</v>
      </c>
      <c r="Z124" s="18"/>
      <c r="AA124" s="18"/>
      <c r="AB124" s="18"/>
      <c r="AC124" s="18"/>
      <c r="AD124" s="18"/>
    </row>
    <row r="125" spans="2:30" ht="15.75" customHeight="1" x14ac:dyDescent="0.35">
      <c r="B125" s="18"/>
      <c r="C125" s="165" t="s">
        <v>228</v>
      </c>
      <c r="D125" s="435"/>
      <c r="E125" s="137">
        <v>175</v>
      </c>
      <c r="F125" s="148">
        <v>413.88434343434398</v>
      </c>
      <c r="G125" s="145">
        <v>25.304545454545501</v>
      </c>
      <c r="H125" s="148">
        <v>27.284343434343398</v>
      </c>
      <c r="I125" s="134">
        <f t="shared" si="74"/>
        <v>414.31366484287372</v>
      </c>
      <c r="J125" s="140">
        <f t="shared" si="76"/>
        <v>414.31366484287372</v>
      </c>
      <c r="K125" s="141">
        <f t="shared" si="77"/>
        <v>310.04283150954041</v>
      </c>
      <c r="L125" s="149">
        <v>47.0736721555174</v>
      </c>
      <c r="M125" s="162">
        <v>1.9218437659615</v>
      </c>
      <c r="N125" s="150">
        <v>46.995942062130801</v>
      </c>
      <c r="O125" s="151">
        <v>80.940410393240597</v>
      </c>
      <c r="P125" s="145">
        <v>8.3580712788260207</v>
      </c>
      <c r="Q125" s="148">
        <v>20.3560002541134</v>
      </c>
      <c r="R125" s="134">
        <f t="shared" si="78"/>
        <v>-36.03789522508837</v>
      </c>
      <c r="S125" s="134">
        <f t="shared" si="79"/>
        <v>30.285321823462382</v>
      </c>
      <c r="T125" s="134">
        <f t="shared" ref="T125:U125" si="129">U$7+R125</f>
        <v>535202.16210477485</v>
      </c>
      <c r="U125" s="134">
        <f t="shared" si="129"/>
        <v>9407773.0653218236</v>
      </c>
      <c r="V125" s="146">
        <f t="shared" si="81"/>
        <v>1056726.655656266</v>
      </c>
      <c r="W125" s="18"/>
      <c r="X125" s="18"/>
      <c r="Y125" s="135" t="str">
        <f t="shared" si="75"/>
        <v>po 535202,162104775,9407773,06532182</v>
      </c>
      <c r="Z125" s="18"/>
      <c r="AA125" s="18"/>
      <c r="AB125" s="18"/>
      <c r="AC125" s="18"/>
      <c r="AD125" s="18"/>
    </row>
    <row r="126" spans="2:30" ht="15.75" customHeight="1" x14ac:dyDescent="0.35">
      <c r="B126" s="18"/>
      <c r="C126" s="166" t="s">
        <v>229</v>
      </c>
      <c r="D126" s="435"/>
      <c r="E126" s="137">
        <v>175</v>
      </c>
      <c r="F126" s="148">
        <v>415.49653679653699</v>
      </c>
      <c r="G126" s="145">
        <v>25.255844155844201</v>
      </c>
      <c r="H126" s="148">
        <v>27.241991341991401</v>
      </c>
      <c r="I126" s="134">
        <f t="shared" si="74"/>
        <v>415.92503475228494</v>
      </c>
      <c r="J126" s="140">
        <f t="shared" si="76"/>
        <v>415.92503475228494</v>
      </c>
      <c r="K126" s="141">
        <f t="shared" si="77"/>
        <v>311.65420141895163</v>
      </c>
      <c r="L126" s="149">
        <v>47.278798056032002</v>
      </c>
      <c r="M126" s="162">
        <v>1.93900181437012</v>
      </c>
      <c r="N126" s="150">
        <v>47.200279778921299</v>
      </c>
      <c r="O126" s="151">
        <v>80.855981195603803</v>
      </c>
      <c r="P126" s="145">
        <v>8.0574423480084292</v>
      </c>
      <c r="Q126" s="148">
        <v>20.227774601359499</v>
      </c>
      <c r="R126" s="134">
        <f t="shared" si="78"/>
        <v>-35.325284711838854</v>
      </c>
      <c r="S126" s="134">
        <f t="shared" si="79"/>
        <v>31.423064867236924</v>
      </c>
      <c r="T126" s="134">
        <f t="shared" ref="T126:U126" si="130">U$7+R126</f>
        <v>535202.87471528817</v>
      </c>
      <c r="U126" s="134">
        <f t="shared" si="130"/>
        <v>9407774.2030648664</v>
      </c>
      <c r="V126" s="146">
        <f t="shared" si="81"/>
        <v>1056726.6728143145</v>
      </c>
      <c r="W126" s="18"/>
      <c r="X126" s="18"/>
      <c r="Y126" s="135" t="str">
        <f t="shared" si="75"/>
        <v>po 535202,874715288,9407774,20306487</v>
      </c>
      <c r="Z126" s="18"/>
      <c r="AA126" s="18"/>
      <c r="AB126" s="18"/>
      <c r="AC126" s="18"/>
      <c r="AD126" s="18"/>
    </row>
    <row r="127" spans="2:30" ht="15.75" customHeight="1" x14ac:dyDescent="0.35">
      <c r="B127" s="18"/>
      <c r="C127" s="165" t="s">
        <v>230</v>
      </c>
      <c r="D127" s="435"/>
      <c r="E127" s="137">
        <v>175</v>
      </c>
      <c r="F127" s="148">
        <v>417.10873015873102</v>
      </c>
      <c r="G127" s="145">
        <v>25.207142857142902</v>
      </c>
      <c r="H127" s="148">
        <v>27.199639249639301</v>
      </c>
      <c r="I127" s="134">
        <f t="shared" si="74"/>
        <v>417.53640466169719</v>
      </c>
      <c r="J127" s="140">
        <f t="shared" si="76"/>
        <v>417.53640466169719</v>
      </c>
      <c r="K127" s="141">
        <f t="shared" si="77"/>
        <v>313.26557132836388</v>
      </c>
      <c r="L127" s="149">
        <v>47.483923956546597</v>
      </c>
      <c r="M127" s="162">
        <v>1.95615986277873</v>
      </c>
      <c r="N127" s="150">
        <v>47.404617495711904</v>
      </c>
      <c r="O127" s="151">
        <v>80.771551997967094</v>
      </c>
      <c r="P127" s="145">
        <v>7.7568134171907204</v>
      </c>
      <c r="Q127" s="148">
        <v>20.099548948605499</v>
      </c>
      <c r="R127" s="134">
        <f t="shared" si="78"/>
        <v>-34.577068352985627</v>
      </c>
      <c r="S127" s="134">
        <f t="shared" si="79"/>
        <v>32.544575253397603</v>
      </c>
      <c r="T127" s="134">
        <f t="shared" ref="T127:U127" si="131">U$7+R127</f>
        <v>535203.622931647</v>
      </c>
      <c r="U127" s="134">
        <f t="shared" si="131"/>
        <v>9407775.3245752528</v>
      </c>
      <c r="V127" s="146">
        <f t="shared" si="81"/>
        <v>1056726.6899723627</v>
      </c>
      <c r="W127" s="18"/>
      <c r="X127" s="18"/>
      <c r="Y127" s="135" t="str">
        <f t="shared" si="75"/>
        <v>po 535203,622931647,9407775,32457525</v>
      </c>
      <c r="Z127" s="18"/>
      <c r="AA127" s="18"/>
      <c r="AB127" s="18"/>
      <c r="AC127" s="18"/>
      <c r="AD127" s="18"/>
    </row>
    <row r="128" spans="2:30" ht="15.75" customHeight="1" x14ac:dyDescent="0.35">
      <c r="B128" s="18"/>
      <c r="C128" s="166" t="s">
        <v>231</v>
      </c>
      <c r="D128" s="435"/>
      <c r="E128" s="137">
        <v>175</v>
      </c>
      <c r="F128" s="148">
        <v>418.72092352092398</v>
      </c>
      <c r="G128" s="145">
        <v>25.158441558441599</v>
      </c>
      <c r="H128" s="148">
        <v>27.1572871572872</v>
      </c>
      <c r="I128" s="134">
        <f t="shared" si="74"/>
        <v>419.14777457110836</v>
      </c>
      <c r="J128" s="140">
        <f t="shared" si="76"/>
        <v>419.14777457110836</v>
      </c>
      <c r="K128" s="141">
        <f t="shared" si="77"/>
        <v>314.87694123777499</v>
      </c>
      <c r="L128" s="149">
        <v>47.6890498570612</v>
      </c>
      <c r="M128" s="162">
        <v>1.97331791118735</v>
      </c>
      <c r="N128" s="150">
        <v>47.608955212502401</v>
      </c>
      <c r="O128" s="151">
        <v>80.6871228003303</v>
      </c>
      <c r="P128" s="145">
        <v>7.4561844863731297</v>
      </c>
      <c r="Q128" s="148">
        <v>19.971323295851601</v>
      </c>
      <c r="R128" s="134">
        <f t="shared" si="78"/>
        <v>-33.793598556059109</v>
      </c>
      <c r="S128" s="134">
        <f t="shared" si="79"/>
        <v>33.648746973716399</v>
      </c>
      <c r="T128" s="134">
        <f t="shared" ref="T128:U128" si="132">U$7+R128</f>
        <v>535204.40640144388</v>
      </c>
      <c r="U128" s="134">
        <f t="shared" si="132"/>
        <v>9407776.4287469722</v>
      </c>
      <c r="V128" s="146">
        <f t="shared" si="81"/>
        <v>1056726.7071304112</v>
      </c>
      <c r="W128" s="18"/>
      <c r="X128" s="18"/>
      <c r="Y128" s="135" t="str">
        <f t="shared" si="75"/>
        <v>po 535204,406401444,9407776,42874697</v>
      </c>
      <c r="Z128" s="18"/>
      <c r="AA128" s="18"/>
      <c r="AB128" s="18"/>
      <c r="AC128" s="18"/>
      <c r="AD128" s="18"/>
    </row>
    <row r="129" spans="2:30" ht="15.75" customHeight="1" x14ac:dyDescent="0.35">
      <c r="B129" s="18"/>
      <c r="C129" s="165" t="s">
        <v>232</v>
      </c>
      <c r="D129" s="435"/>
      <c r="E129" s="137">
        <v>175</v>
      </c>
      <c r="F129" s="148">
        <v>420.33311688311699</v>
      </c>
      <c r="G129" s="145">
        <v>25.109740259740299</v>
      </c>
      <c r="H129" s="148">
        <v>27.1149350649351</v>
      </c>
      <c r="I129" s="134">
        <f t="shared" si="74"/>
        <v>420.75914448051958</v>
      </c>
      <c r="J129" s="140">
        <f t="shared" si="76"/>
        <v>420.75914448051958</v>
      </c>
      <c r="K129" s="141">
        <f t="shared" si="77"/>
        <v>316.48831114718621</v>
      </c>
      <c r="L129" s="149">
        <v>47.894175757575702</v>
      </c>
      <c r="M129" s="162">
        <v>1.99047595959596</v>
      </c>
      <c r="N129" s="150">
        <v>47.813292929292999</v>
      </c>
      <c r="O129" s="151">
        <v>80.602693602693606</v>
      </c>
      <c r="P129" s="145">
        <v>7.1555555555555301</v>
      </c>
      <c r="Q129" s="148">
        <v>19.8430976430976</v>
      </c>
      <c r="R129" s="134">
        <f t="shared" si="78"/>
        <v>-32.975261863588031</v>
      </c>
      <c r="S129" s="134">
        <f t="shared" si="79"/>
        <v>34.734481089046781</v>
      </c>
      <c r="T129" s="134">
        <f t="shared" ref="T129:U129" si="133">U$7+R129</f>
        <v>535205.2247381364</v>
      </c>
      <c r="U129" s="134">
        <f t="shared" si="133"/>
        <v>9407777.5144810881</v>
      </c>
      <c r="V129" s="146">
        <f t="shared" si="81"/>
        <v>1056726.7242884596</v>
      </c>
      <c r="W129" s="18"/>
      <c r="X129" s="18"/>
      <c r="Y129" s="135" t="str">
        <f t="shared" si="75"/>
        <v>po 535205,224738136,9407777,51448109</v>
      </c>
      <c r="Z129" s="18"/>
      <c r="AA129" s="18"/>
      <c r="AB129" s="18"/>
      <c r="AC129" s="18"/>
      <c r="AD129" s="18"/>
    </row>
    <row r="130" spans="2:30" ht="15.75" customHeight="1" x14ac:dyDescent="0.35">
      <c r="B130" s="18"/>
      <c r="C130" s="166" t="s">
        <v>233</v>
      </c>
      <c r="D130" s="435"/>
      <c r="E130" s="137">
        <v>175</v>
      </c>
      <c r="F130" s="148">
        <v>421.94531024531102</v>
      </c>
      <c r="G130" s="145">
        <v>25.061038961038999</v>
      </c>
      <c r="H130" s="148">
        <v>27.072582972583</v>
      </c>
      <c r="I130" s="134">
        <f t="shared" si="74"/>
        <v>422.37051438993183</v>
      </c>
      <c r="J130" s="140">
        <f t="shared" si="76"/>
        <v>422.37051438993183</v>
      </c>
      <c r="K130" s="141">
        <f t="shared" si="77"/>
        <v>318.09968105659846</v>
      </c>
      <c r="L130" s="149">
        <v>48.099301658090297</v>
      </c>
      <c r="M130" s="162">
        <v>2.00763400800458</v>
      </c>
      <c r="N130" s="150">
        <v>48.017630646083497</v>
      </c>
      <c r="O130" s="151">
        <v>80.518264405056897</v>
      </c>
      <c r="P130" s="145">
        <v>6.8549266247379297</v>
      </c>
      <c r="Q130" s="148">
        <v>19.714871990343699</v>
      </c>
      <c r="R130" s="134">
        <f t="shared" si="78"/>
        <v>-32.12247883174286</v>
      </c>
      <c r="S130" s="134">
        <f t="shared" si="79"/>
        <v>35.800686776934874</v>
      </c>
      <c r="T130" s="134">
        <f t="shared" ref="T130:U130" si="134">U$7+R130</f>
        <v>535206.07752116816</v>
      </c>
      <c r="U130" s="134">
        <f t="shared" si="134"/>
        <v>9407778.580686776</v>
      </c>
      <c r="V130" s="146">
        <f t="shared" si="81"/>
        <v>1056726.7414465081</v>
      </c>
      <c r="W130" s="18"/>
      <c r="X130" s="18"/>
      <c r="Y130" s="135" t="str">
        <f t="shared" si="75"/>
        <v>po 535206,077521168,9407778,58068678</v>
      </c>
      <c r="Z130" s="18"/>
      <c r="AA130" s="18"/>
      <c r="AB130" s="18"/>
      <c r="AC130" s="18"/>
      <c r="AD130" s="18"/>
    </row>
    <row r="131" spans="2:30" ht="15.75" customHeight="1" x14ac:dyDescent="0.35">
      <c r="B131" s="18"/>
      <c r="C131" s="165" t="s">
        <v>234</v>
      </c>
      <c r="D131" s="435"/>
      <c r="E131" s="137">
        <v>175</v>
      </c>
      <c r="F131" s="148"/>
      <c r="G131" s="145"/>
      <c r="H131" s="148"/>
      <c r="I131" s="134">
        <f t="shared" si="74"/>
        <v>0</v>
      </c>
      <c r="J131" s="140">
        <f t="shared" si="76"/>
        <v>0</v>
      </c>
      <c r="K131" s="141" t="e">
        <f t="shared" ref="K131:K141" si="135">IF($J$5+J131&gt;=360,$J$5+J131-360,IF($J$5+J131&lt;360,$J$5+J131))</f>
        <v>#VALUE!</v>
      </c>
      <c r="L131" s="149"/>
      <c r="M131" s="162"/>
      <c r="N131" s="150"/>
      <c r="O131" s="151"/>
      <c r="P131" s="145"/>
      <c r="Q131" s="148"/>
      <c r="R131" s="134" t="e">
        <f t="shared" si="78"/>
        <v>#VALUE!</v>
      </c>
      <c r="S131" s="134" t="e">
        <f t="shared" si="79"/>
        <v>#VALUE!</v>
      </c>
      <c r="T131" s="134" t="e">
        <f t="shared" ref="T131:U131" si="136">U$5+R131</f>
        <v>#VALUE!</v>
      </c>
      <c r="U131" s="134" t="e">
        <f t="shared" si="136"/>
        <v>#VALUE!</v>
      </c>
      <c r="V131" s="141" t="e">
        <f t="shared" ref="V131:V141" si="137">(D131+M131-E131)+$V$5</f>
        <v>#VALUE!</v>
      </c>
      <c r="W131" s="18"/>
      <c r="X131" s="18"/>
      <c r="Y131" s="135" t="e">
        <f t="shared" si="75"/>
        <v>#VALUE!</v>
      </c>
      <c r="Z131" s="18"/>
      <c r="AA131" s="18"/>
      <c r="AB131" s="18"/>
      <c r="AC131" s="18"/>
      <c r="AD131" s="18"/>
    </row>
    <row r="132" spans="2:30" ht="15.75" customHeight="1" x14ac:dyDescent="0.35">
      <c r="B132" s="18"/>
      <c r="C132" s="166" t="s">
        <v>235</v>
      </c>
      <c r="D132" s="435"/>
      <c r="E132" s="137">
        <v>175</v>
      </c>
      <c r="F132" s="148"/>
      <c r="G132" s="145"/>
      <c r="H132" s="148"/>
      <c r="I132" s="134">
        <f t="shared" si="74"/>
        <v>0</v>
      </c>
      <c r="J132" s="140">
        <f t="shared" si="76"/>
        <v>0</v>
      </c>
      <c r="K132" s="141" t="e">
        <f t="shared" si="135"/>
        <v>#VALUE!</v>
      </c>
      <c r="L132" s="149"/>
      <c r="M132" s="162"/>
      <c r="N132" s="150"/>
      <c r="O132" s="151"/>
      <c r="P132" s="145"/>
      <c r="Q132" s="148"/>
      <c r="R132" s="134" t="e">
        <f t="shared" si="78"/>
        <v>#VALUE!</v>
      </c>
      <c r="S132" s="134" t="e">
        <f t="shared" si="79"/>
        <v>#VALUE!</v>
      </c>
      <c r="T132" s="134" t="e">
        <f t="shared" ref="T132:U132" si="138">U$5+R132</f>
        <v>#VALUE!</v>
      </c>
      <c r="U132" s="134" t="e">
        <f t="shared" si="138"/>
        <v>#VALUE!</v>
      </c>
      <c r="V132" s="141" t="e">
        <f t="shared" si="137"/>
        <v>#VALUE!</v>
      </c>
      <c r="W132" s="18"/>
      <c r="X132" s="18"/>
      <c r="Y132" s="135" t="e">
        <f t="shared" si="75"/>
        <v>#VALUE!</v>
      </c>
      <c r="Z132" s="18"/>
      <c r="AA132" s="18"/>
      <c r="AB132" s="18"/>
      <c r="AC132" s="18"/>
      <c r="AD132" s="18"/>
    </row>
    <row r="133" spans="2:30" ht="15.75" customHeight="1" x14ac:dyDescent="0.35">
      <c r="B133" s="18"/>
      <c r="C133" s="165" t="s">
        <v>236</v>
      </c>
      <c r="D133" s="435"/>
      <c r="E133" s="137">
        <v>175</v>
      </c>
      <c r="F133" s="148"/>
      <c r="G133" s="145"/>
      <c r="H133" s="148"/>
      <c r="I133" s="134">
        <f t="shared" si="74"/>
        <v>0</v>
      </c>
      <c r="J133" s="140">
        <f t="shared" si="76"/>
        <v>0</v>
      </c>
      <c r="K133" s="141" t="e">
        <f t="shared" si="135"/>
        <v>#VALUE!</v>
      </c>
      <c r="L133" s="149"/>
      <c r="M133" s="162"/>
      <c r="N133" s="150"/>
      <c r="O133" s="151"/>
      <c r="P133" s="145"/>
      <c r="Q133" s="148"/>
      <c r="R133" s="134" t="e">
        <f t="shared" si="78"/>
        <v>#VALUE!</v>
      </c>
      <c r="S133" s="134" t="e">
        <f t="shared" si="79"/>
        <v>#VALUE!</v>
      </c>
      <c r="T133" s="134" t="e">
        <f t="shared" ref="T133:U133" si="139">U$5+R133</f>
        <v>#VALUE!</v>
      </c>
      <c r="U133" s="134" t="e">
        <f t="shared" si="139"/>
        <v>#VALUE!</v>
      </c>
      <c r="V133" s="141" t="e">
        <f t="shared" si="137"/>
        <v>#VALUE!</v>
      </c>
      <c r="W133" s="18"/>
      <c r="X133" s="18"/>
      <c r="Y133" s="135" t="e">
        <f t="shared" si="75"/>
        <v>#VALUE!</v>
      </c>
      <c r="Z133" s="18"/>
      <c r="AA133" s="18"/>
      <c r="AB133" s="18"/>
      <c r="AC133" s="18"/>
      <c r="AD133" s="18"/>
    </row>
    <row r="134" spans="2:30" ht="15.75" customHeight="1" x14ac:dyDescent="0.35">
      <c r="B134" s="18"/>
      <c r="C134" s="166" t="s">
        <v>237</v>
      </c>
      <c r="D134" s="435"/>
      <c r="E134" s="137">
        <v>175</v>
      </c>
      <c r="F134" s="148"/>
      <c r="G134" s="145"/>
      <c r="H134" s="148"/>
      <c r="I134" s="134">
        <f t="shared" si="74"/>
        <v>0</v>
      </c>
      <c r="J134" s="140">
        <f t="shared" si="76"/>
        <v>0</v>
      </c>
      <c r="K134" s="141" t="e">
        <f t="shared" si="135"/>
        <v>#VALUE!</v>
      </c>
      <c r="L134" s="149"/>
      <c r="M134" s="162"/>
      <c r="N134" s="150"/>
      <c r="O134" s="151"/>
      <c r="P134" s="145"/>
      <c r="Q134" s="148"/>
      <c r="R134" s="134" t="e">
        <f t="shared" si="78"/>
        <v>#VALUE!</v>
      </c>
      <c r="S134" s="134" t="e">
        <f t="shared" si="79"/>
        <v>#VALUE!</v>
      </c>
      <c r="T134" s="134" t="e">
        <f t="shared" ref="T134:U134" si="140">U$5+R134</f>
        <v>#VALUE!</v>
      </c>
      <c r="U134" s="134" t="e">
        <f t="shared" si="140"/>
        <v>#VALUE!</v>
      </c>
      <c r="V134" s="141" t="e">
        <f t="shared" si="137"/>
        <v>#VALUE!</v>
      </c>
      <c r="W134" s="18"/>
      <c r="X134" s="18"/>
      <c r="Y134" s="135" t="e">
        <f t="shared" si="75"/>
        <v>#VALUE!</v>
      </c>
      <c r="Z134" s="18"/>
      <c r="AA134" s="18"/>
      <c r="AB134" s="18"/>
      <c r="AC134" s="18"/>
      <c r="AD134" s="18"/>
    </row>
    <row r="135" spans="2:30" ht="15.75" customHeight="1" x14ac:dyDescent="0.35">
      <c r="B135" s="18"/>
      <c r="C135" s="165" t="s">
        <v>238</v>
      </c>
      <c r="D135" s="435"/>
      <c r="E135" s="137">
        <v>175</v>
      </c>
      <c r="F135" s="148"/>
      <c r="G135" s="145"/>
      <c r="H135" s="148"/>
      <c r="I135" s="134">
        <f t="shared" si="74"/>
        <v>0</v>
      </c>
      <c r="J135" s="140">
        <f t="shared" si="76"/>
        <v>0</v>
      </c>
      <c r="K135" s="141" t="e">
        <f t="shared" si="135"/>
        <v>#VALUE!</v>
      </c>
      <c r="L135" s="149"/>
      <c r="M135" s="162"/>
      <c r="N135" s="150"/>
      <c r="O135" s="151"/>
      <c r="P135" s="145"/>
      <c r="Q135" s="148"/>
      <c r="R135" s="134" t="e">
        <f t="shared" si="78"/>
        <v>#VALUE!</v>
      </c>
      <c r="S135" s="134" t="e">
        <f t="shared" si="79"/>
        <v>#VALUE!</v>
      </c>
      <c r="T135" s="134" t="e">
        <f t="shared" ref="T135:U135" si="141">U$5+R135</f>
        <v>#VALUE!</v>
      </c>
      <c r="U135" s="134" t="e">
        <f t="shared" si="141"/>
        <v>#VALUE!</v>
      </c>
      <c r="V135" s="141" t="e">
        <f t="shared" si="137"/>
        <v>#VALUE!</v>
      </c>
      <c r="W135" s="18"/>
      <c r="X135" s="18"/>
      <c r="Y135" s="135" t="e">
        <f t="shared" si="75"/>
        <v>#VALUE!</v>
      </c>
      <c r="Z135" s="18"/>
      <c r="AA135" s="18"/>
      <c r="AB135" s="18"/>
      <c r="AC135" s="18"/>
      <c r="AD135" s="18"/>
    </row>
    <row r="136" spans="2:30" ht="15.75" customHeight="1" x14ac:dyDescent="0.35">
      <c r="B136" s="18"/>
      <c r="C136" s="166" t="s">
        <v>239</v>
      </c>
      <c r="D136" s="435"/>
      <c r="E136" s="137">
        <v>175</v>
      </c>
      <c r="F136" s="148"/>
      <c r="G136" s="145"/>
      <c r="H136" s="148"/>
      <c r="I136" s="134">
        <f t="shared" si="74"/>
        <v>0</v>
      </c>
      <c r="J136" s="140">
        <f t="shared" si="76"/>
        <v>0</v>
      </c>
      <c r="K136" s="141" t="e">
        <f t="shared" si="135"/>
        <v>#VALUE!</v>
      </c>
      <c r="L136" s="149"/>
      <c r="M136" s="162"/>
      <c r="N136" s="150"/>
      <c r="O136" s="151"/>
      <c r="P136" s="145"/>
      <c r="Q136" s="148"/>
      <c r="R136" s="134" t="e">
        <f t="shared" si="78"/>
        <v>#VALUE!</v>
      </c>
      <c r="S136" s="134" t="e">
        <f t="shared" si="79"/>
        <v>#VALUE!</v>
      </c>
      <c r="T136" s="134" t="e">
        <f t="shared" ref="T136:U136" si="142">U$5+R136</f>
        <v>#VALUE!</v>
      </c>
      <c r="U136" s="134" t="e">
        <f t="shared" si="142"/>
        <v>#VALUE!</v>
      </c>
      <c r="V136" s="141" t="e">
        <f t="shared" si="137"/>
        <v>#VALUE!</v>
      </c>
      <c r="W136" s="18"/>
      <c r="X136" s="18"/>
      <c r="Y136" s="135" t="e">
        <f t="shared" si="75"/>
        <v>#VALUE!</v>
      </c>
      <c r="Z136" s="18"/>
      <c r="AA136" s="18"/>
      <c r="AB136" s="18"/>
      <c r="AC136" s="18"/>
      <c r="AD136" s="18"/>
    </row>
    <row r="137" spans="2:30" ht="15.75" customHeight="1" x14ac:dyDescent="0.35">
      <c r="B137" s="18"/>
      <c r="C137" s="165" t="s">
        <v>240</v>
      </c>
      <c r="D137" s="435"/>
      <c r="E137" s="137">
        <v>175</v>
      </c>
      <c r="F137" s="148"/>
      <c r="G137" s="145"/>
      <c r="H137" s="148"/>
      <c r="I137" s="134">
        <f t="shared" si="74"/>
        <v>0</v>
      </c>
      <c r="J137" s="140">
        <f t="shared" si="76"/>
        <v>0</v>
      </c>
      <c r="K137" s="141" t="e">
        <f t="shared" si="135"/>
        <v>#VALUE!</v>
      </c>
      <c r="L137" s="149"/>
      <c r="M137" s="162"/>
      <c r="N137" s="150"/>
      <c r="O137" s="151"/>
      <c r="P137" s="145"/>
      <c r="Q137" s="148"/>
      <c r="R137" s="134" t="e">
        <f t="shared" si="78"/>
        <v>#VALUE!</v>
      </c>
      <c r="S137" s="134" t="e">
        <f t="shared" si="79"/>
        <v>#VALUE!</v>
      </c>
      <c r="T137" s="134" t="e">
        <f t="shared" ref="T137:U137" si="143">U$5+R137</f>
        <v>#VALUE!</v>
      </c>
      <c r="U137" s="134" t="e">
        <f t="shared" si="143"/>
        <v>#VALUE!</v>
      </c>
      <c r="V137" s="141" t="e">
        <f t="shared" si="137"/>
        <v>#VALUE!</v>
      </c>
      <c r="W137" s="18"/>
      <c r="X137" s="18"/>
      <c r="Y137" s="135" t="e">
        <f t="shared" si="75"/>
        <v>#VALUE!</v>
      </c>
      <c r="Z137" s="18"/>
      <c r="AA137" s="18"/>
      <c r="AB137" s="18"/>
      <c r="AC137" s="18"/>
      <c r="AD137" s="18"/>
    </row>
    <row r="138" spans="2:30" ht="15.75" customHeight="1" x14ac:dyDescent="0.35">
      <c r="B138" s="18"/>
      <c r="C138" s="166" t="s">
        <v>241</v>
      </c>
      <c r="D138" s="435"/>
      <c r="E138" s="137">
        <v>175</v>
      </c>
      <c r="F138" s="148"/>
      <c r="G138" s="145"/>
      <c r="H138" s="148"/>
      <c r="I138" s="134">
        <f t="shared" si="74"/>
        <v>0</v>
      </c>
      <c r="J138" s="140">
        <f t="shared" si="76"/>
        <v>0</v>
      </c>
      <c r="K138" s="141" t="e">
        <f t="shared" si="135"/>
        <v>#VALUE!</v>
      </c>
      <c r="L138" s="149"/>
      <c r="M138" s="162"/>
      <c r="N138" s="150"/>
      <c r="O138" s="151"/>
      <c r="P138" s="145"/>
      <c r="Q138" s="148"/>
      <c r="R138" s="134" t="e">
        <f t="shared" si="78"/>
        <v>#VALUE!</v>
      </c>
      <c r="S138" s="134" t="e">
        <f t="shared" si="79"/>
        <v>#VALUE!</v>
      </c>
      <c r="T138" s="134" t="e">
        <f t="shared" ref="T138:U138" si="144">U$5+R138</f>
        <v>#VALUE!</v>
      </c>
      <c r="U138" s="134" t="e">
        <f t="shared" si="144"/>
        <v>#VALUE!</v>
      </c>
      <c r="V138" s="141" t="e">
        <f t="shared" si="137"/>
        <v>#VALUE!</v>
      </c>
      <c r="W138" s="18"/>
      <c r="X138" s="18"/>
      <c r="Y138" s="135" t="e">
        <f t="shared" si="75"/>
        <v>#VALUE!</v>
      </c>
      <c r="Z138" s="18"/>
      <c r="AA138" s="18"/>
      <c r="AB138" s="18"/>
      <c r="AC138" s="18"/>
      <c r="AD138" s="18"/>
    </row>
    <row r="139" spans="2:30" ht="15.75" customHeight="1" x14ac:dyDescent="0.35">
      <c r="B139" s="18"/>
      <c r="C139" s="165" t="s">
        <v>242</v>
      </c>
      <c r="D139" s="435"/>
      <c r="E139" s="137">
        <v>175</v>
      </c>
      <c r="F139" s="148"/>
      <c r="G139" s="166"/>
      <c r="H139" s="166"/>
      <c r="I139" s="134">
        <f t="shared" si="74"/>
        <v>0</v>
      </c>
      <c r="J139" s="140">
        <f t="shared" si="76"/>
        <v>0</v>
      </c>
      <c r="K139" s="141" t="e">
        <f t="shared" si="135"/>
        <v>#VALUE!</v>
      </c>
      <c r="L139" s="149"/>
      <c r="M139" s="162"/>
      <c r="N139" s="150"/>
      <c r="O139" s="166"/>
      <c r="P139" s="166"/>
      <c r="Q139" s="148"/>
      <c r="R139" s="134" t="e">
        <f t="shared" si="78"/>
        <v>#VALUE!</v>
      </c>
      <c r="S139" s="134" t="e">
        <f t="shared" si="79"/>
        <v>#VALUE!</v>
      </c>
      <c r="T139" s="134" t="e">
        <f t="shared" ref="T139:U139" si="145">U$5+R139</f>
        <v>#VALUE!</v>
      </c>
      <c r="U139" s="134" t="e">
        <f t="shared" si="145"/>
        <v>#VALUE!</v>
      </c>
      <c r="V139" s="141" t="e">
        <f t="shared" si="137"/>
        <v>#VALUE!</v>
      </c>
      <c r="W139" s="18"/>
      <c r="X139" s="18"/>
      <c r="Y139" s="135" t="e">
        <f t="shared" si="75"/>
        <v>#VALUE!</v>
      </c>
      <c r="Z139" s="18"/>
      <c r="AA139" s="18"/>
      <c r="AB139" s="18"/>
      <c r="AC139" s="18"/>
      <c r="AD139" s="18"/>
    </row>
    <row r="140" spans="2:30" ht="15.75" customHeight="1" x14ac:dyDescent="0.35">
      <c r="B140" s="18"/>
      <c r="C140" s="166" t="s">
        <v>243</v>
      </c>
      <c r="D140" s="435"/>
      <c r="E140" s="137">
        <v>175</v>
      </c>
      <c r="F140" s="148"/>
      <c r="G140" s="166"/>
      <c r="H140" s="166"/>
      <c r="I140" s="134">
        <f t="shared" si="74"/>
        <v>0</v>
      </c>
      <c r="J140" s="140">
        <f t="shared" si="76"/>
        <v>0</v>
      </c>
      <c r="K140" s="141" t="e">
        <f t="shared" si="135"/>
        <v>#VALUE!</v>
      </c>
      <c r="L140" s="149"/>
      <c r="M140" s="162"/>
      <c r="N140" s="150"/>
      <c r="O140" s="166"/>
      <c r="P140" s="166"/>
      <c r="Q140" s="148"/>
      <c r="R140" s="134" t="e">
        <f t="shared" si="78"/>
        <v>#VALUE!</v>
      </c>
      <c r="S140" s="134" t="e">
        <f t="shared" si="79"/>
        <v>#VALUE!</v>
      </c>
      <c r="T140" s="134" t="e">
        <f t="shared" ref="T140:U140" si="146">U$5+R140</f>
        <v>#VALUE!</v>
      </c>
      <c r="U140" s="134" t="e">
        <f t="shared" si="146"/>
        <v>#VALUE!</v>
      </c>
      <c r="V140" s="141" t="e">
        <f t="shared" si="137"/>
        <v>#VALUE!</v>
      </c>
      <c r="W140" s="18"/>
      <c r="X140" s="18"/>
      <c r="Y140" s="135" t="e">
        <f t="shared" si="75"/>
        <v>#VALUE!</v>
      </c>
      <c r="Z140" s="18"/>
      <c r="AA140" s="18"/>
      <c r="AB140" s="18"/>
      <c r="AC140" s="18"/>
      <c r="AD140" s="18"/>
    </row>
    <row r="141" spans="2:30" ht="15.75" customHeight="1" x14ac:dyDescent="0.35">
      <c r="B141" s="18"/>
      <c r="C141" s="165" t="s">
        <v>244</v>
      </c>
      <c r="D141" s="435"/>
      <c r="E141" s="137">
        <v>175</v>
      </c>
      <c r="F141" s="148"/>
      <c r="G141" s="166"/>
      <c r="H141" s="166"/>
      <c r="I141" s="134">
        <f t="shared" si="74"/>
        <v>0</v>
      </c>
      <c r="J141" s="140">
        <f t="shared" si="76"/>
        <v>0</v>
      </c>
      <c r="K141" s="141" t="e">
        <f t="shared" si="135"/>
        <v>#VALUE!</v>
      </c>
      <c r="L141" s="149"/>
      <c r="M141" s="162"/>
      <c r="N141" s="150"/>
      <c r="O141" s="166"/>
      <c r="P141" s="166"/>
      <c r="Q141" s="148"/>
      <c r="R141" s="134" t="e">
        <f t="shared" si="78"/>
        <v>#VALUE!</v>
      </c>
      <c r="S141" s="134" t="e">
        <f t="shared" si="79"/>
        <v>#VALUE!</v>
      </c>
      <c r="T141" s="134" t="e">
        <f t="shared" ref="T141:U141" si="147">U$5+R141</f>
        <v>#VALUE!</v>
      </c>
      <c r="U141" s="134" t="e">
        <f t="shared" si="147"/>
        <v>#VALUE!</v>
      </c>
      <c r="V141" s="141" t="e">
        <f t="shared" si="137"/>
        <v>#VALUE!</v>
      </c>
      <c r="W141" s="18"/>
      <c r="X141" s="18"/>
      <c r="Y141" s="135" t="e">
        <f t="shared" si="75"/>
        <v>#VALUE!</v>
      </c>
      <c r="Z141" s="18"/>
      <c r="AA141" s="18"/>
      <c r="AB141" s="18"/>
      <c r="AC141" s="18"/>
      <c r="AD141" s="18"/>
    </row>
    <row r="142" spans="2:30" ht="15.75" customHeight="1" x14ac:dyDescent="0.3"/>
    <row r="143" spans="2:30" ht="15.75" customHeight="1" x14ac:dyDescent="0.3"/>
    <row r="144" spans="2:30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</sheetData>
  <mergeCells count="33">
    <mergeCell ref="V5:V6"/>
    <mergeCell ref="W5:W6"/>
    <mergeCell ref="C5:C6"/>
    <mergeCell ref="D5:D6"/>
    <mergeCell ref="E5:E6"/>
    <mergeCell ref="F5:H5"/>
    <mergeCell ref="O5:Q5"/>
    <mergeCell ref="I5:I6"/>
    <mergeCell ref="J5:J6"/>
    <mergeCell ref="R5:R6"/>
    <mergeCell ref="S5:S6"/>
    <mergeCell ref="T5:T6"/>
    <mergeCell ref="U5:U6"/>
    <mergeCell ref="D123:D141"/>
    <mergeCell ref="S74:S75"/>
    <mergeCell ref="T74:T75"/>
    <mergeCell ref="K5:K6"/>
    <mergeCell ref="L5:N5"/>
    <mergeCell ref="U74:U75"/>
    <mergeCell ref="V74:V75"/>
    <mergeCell ref="D77:D122"/>
    <mergeCell ref="R74:R75"/>
    <mergeCell ref="D8:D53"/>
    <mergeCell ref="D54:D72"/>
    <mergeCell ref="J74:J75"/>
    <mergeCell ref="K74:K75"/>
    <mergeCell ref="L74:N74"/>
    <mergeCell ref="O74:Q74"/>
    <mergeCell ref="C74:C75"/>
    <mergeCell ref="D74:D75"/>
    <mergeCell ref="E74:E75"/>
    <mergeCell ref="F74:H74"/>
    <mergeCell ref="I74:I75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D1:BF246"/>
  <sheetViews>
    <sheetView workbookViewId="0"/>
  </sheetViews>
  <sheetFormatPr defaultColWidth="14.33203125" defaultRowHeight="15" customHeight="1" x14ac:dyDescent="0.3"/>
  <cols>
    <col min="1" max="5" width="8.75" customWidth="1"/>
    <col min="6" max="6" width="6.75" customWidth="1"/>
    <col min="7" max="20" width="8.75" customWidth="1"/>
    <col min="21" max="21" width="10.83203125" customWidth="1"/>
    <col min="22" max="23" width="9.08203125" customWidth="1"/>
    <col min="24" max="24" width="10.08203125" customWidth="1"/>
    <col min="25" max="26" width="11.08203125" customWidth="1"/>
    <col min="27" max="36" width="8.75" customWidth="1"/>
    <col min="37" max="38" width="9.08203125" customWidth="1"/>
    <col min="39" max="40" width="8.75" customWidth="1"/>
    <col min="41" max="53" width="9.08203125" customWidth="1"/>
    <col min="54" max="54" width="10" customWidth="1"/>
    <col min="55" max="55" width="11.33203125" customWidth="1"/>
    <col min="56" max="56" width="9.08203125" customWidth="1"/>
    <col min="57" max="58" width="8.75" customWidth="1"/>
  </cols>
  <sheetData>
    <row r="1" ht="14.25" customHeight="1" x14ac:dyDescent="0.3"/>
    <row r="2" ht="14.25" customHeight="1" x14ac:dyDescent="0.3"/>
    <row r="3" ht="14.25" customHeight="1" x14ac:dyDescent="0.3"/>
    <row r="4" ht="14.25" customHeight="1" x14ac:dyDescent="0.3"/>
    <row r="5" ht="14.25" customHeight="1" x14ac:dyDescent="0.3"/>
    <row r="6" ht="14.25" customHeight="1" x14ac:dyDescent="0.3"/>
    <row r="7" ht="14.25" customHeight="1" x14ac:dyDescent="0.3"/>
    <row r="8" ht="14.25" customHeight="1" x14ac:dyDescent="0.3"/>
    <row r="9" ht="14.25" customHeight="1" x14ac:dyDescent="0.3"/>
    <row r="10" ht="14.25" customHeight="1" x14ac:dyDescent="0.3"/>
    <row r="11" ht="14.25" customHeight="1" x14ac:dyDescent="0.3"/>
    <row r="12" ht="14.25" customHeight="1" x14ac:dyDescent="0.3"/>
    <row r="13" ht="14.25" customHeight="1" x14ac:dyDescent="0.3"/>
    <row r="14" ht="14.25" customHeight="1" x14ac:dyDescent="0.3"/>
    <row r="15" ht="14.25" customHeight="1" x14ac:dyDescent="0.3"/>
    <row r="16" ht="14.25" customHeight="1" x14ac:dyDescent="0.3"/>
    <row r="17" spans="5:26" ht="14.25" customHeight="1" x14ac:dyDescent="0.3"/>
    <row r="18" spans="5:26" ht="14.25" customHeight="1" x14ac:dyDescent="0.3"/>
    <row r="19" spans="5:26" ht="14.25" customHeight="1" x14ac:dyDescent="0.3"/>
    <row r="20" spans="5:26" ht="14.25" customHeight="1" x14ac:dyDescent="0.3"/>
    <row r="21" spans="5:26" ht="14.25" customHeight="1" x14ac:dyDescent="0.3"/>
    <row r="22" spans="5:26" ht="14.25" customHeight="1" x14ac:dyDescent="0.3"/>
    <row r="23" spans="5:26" ht="14.25" customHeight="1" x14ac:dyDescent="0.3"/>
    <row r="24" spans="5:26" ht="14.25" customHeight="1" x14ac:dyDescent="0.3"/>
    <row r="25" spans="5:26" ht="14.25" customHeight="1" x14ac:dyDescent="0.3"/>
    <row r="26" spans="5:26" ht="14.25" customHeight="1" x14ac:dyDescent="0.3"/>
    <row r="27" spans="5:26" ht="14.25" customHeight="1" x14ac:dyDescent="0.3"/>
    <row r="28" spans="5:26" ht="14.25" customHeight="1" x14ac:dyDescent="0.3"/>
    <row r="29" spans="5:26" ht="14.25" customHeight="1" x14ac:dyDescent="0.3"/>
    <row r="30" spans="5:26" ht="14.25" customHeight="1" x14ac:dyDescent="0.3">
      <c r="E30" s="439" t="s">
        <v>245</v>
      </c>
      <c r="F30" s="348"/>
      <c r="G30" s="348"/>
      <c r="H30" s="348"/>
      <c r="I30" s="348"/>
      <c r="J30" s="348"/>
      <c r="K30" s="348"/>
      <c r="L30" s="348"/>
      <c r="M30" s="348"/>
      <c r="N30" s="348"/>
      <c r="O30" s="348"/>
      <c r="P30" s="348"/>
      <c r="Q30" s="348"/>
      <c r="R30" s="348"/>
      <c r="S30" s="348"/>
      <c r="T30" s="348"/>
      <c r="U30" s="348"/>
      <c r="V30" s="348"/>
      <c r="W30" s="348"/>
      <c r="X30" s="348"/>
      <c r="Y30" s="348"/>
      <c r="Z30" s="349"/>
    </row>
    <row r="31" spans="5:26" ht="14.25" customHeight="1" x14ac:dyDescent="0.3">
      <c r="E31" s="440"/>
      <c r="F31" s="332"/>
      <c r="G31" s="332"/>
      <c r="H31" s="332"/>
      <c r="I31" s="332"/>
      <c r="J31" s="332"/>
      <c r="K31" s="332"/>
      <c r="L31" s="332"/>
      <c r="M31" s="332"/>
      <c r="N31" s="332"/>
      <c r="O31" s="332"/>
      <c r="P31" s="332"/>
      <c r="Q31" s="332"/>
      <c r="R31" s="332"/>
      <c r="S31" s="332"/>
      <c r="T31" s="332"/>
      <c r="U31" s="332"/>
      <c r="V31" s="332"/>
      <c r="W31" s="332"/>
      <c r="X31" s="332"/>
      <c r="Y31" s="332"/>
      <c r="Z31" s="441"/>
    </row>
    <row r="32" spans="5:26" ht="14.25" customHeight="1" x14ac:dyDescent="0.3">
      <c r="E32" s="440"/>
      <c r="F32" s="332"/>
      <c r="G32" s="332"/>
      <c r="H32" s="332"/>
      <c r="I32" s="332"/>
      <c r="J32" s="332"/>
      <c r="K32" s="332"/>
      <c r="L32" s="332"/>
      <c r="M32" s="332"/>
      <c r="N32" s="332"/>
      <c r="O32" s="332"/>
      <c r="P32" s="332"/>
      <c r="Q32" s="332"/>
      <c r="R32" s="332"/>
      <c r="S32" s="332"/>
      <c r="T32" s="332"/>
      <c r="U32" s="332"/>
      <c r="V32" s="332"/>
      <c r="W32" s="332"/>
      <c r="X32" s="332"/>
      <c r="Y32" s="332"/>
      <c r="Z32" s="441"/>
    </row>
    <row r="33" spans="5:57" ht="14.25" customHeight="1" x14ac:dyDescent="0.3">
      <c r="E33" s="350"/>
      <c r="F33" s="333"/>
      <c r="G33" s="333"/>
      <c r="H33" s="333"/>
      <c r="I33" s="333"/>
      <c r="J33" s="333"/>
      <c r="K33" s="333"/>
      <c r="L33" s="333"/>
      <c r="M33" s="333"/>
      <c r="N33" s="333"/>
      <c r="O33" s="333"/>
      <c r="P33" s="333"/>
      <c r="Q33" s="333"/>
      <c r="R33" s="333"/>
      <c r="S33" s="333"/>
      <c r="T33" s="333"/>
      <c r="U33" s="333"/>
      <c r="V33" s="333"/>
      <c r="W33" s="333"/>
      <c r="X33" s="333"/>
      <c r="Y33" s="333"/>
      <c r="Z33" s="351"/>
    </row>
    <row r="34" spans="5:57" ht="14.25" customHeight="1" x14ac:dyDescent="0.3">
      <c r="E34" s="438" t="s">
        <v>246</v>
      </c>
      <c r="F34" s="330"/>
      <c r="G34" s="438" t="s">
        <v>247</v>
      </c>
      <c r="H34" s="329"/>
      <c r="I34" s="329"/>
      <c r="J34" s="330"/>
      <c r="K34" s="178" t="s">
        <v>248</v>
      </c>
      <c r="L34" s="438" t="s">
        <v>249</v>
      </c>
      <c r="M34" s="329"/>
      <c r="N34" s="329"/>
      <c r="O34" s="330"/>
      <c r="P34" s="438" t="s">
        <v>250</v>
      </c>
      <c r="Q34" s="329"/>
      <c r="R34" s="329"/>
      <c r="S34" s="330"/>
      <c r="T34" s="438" t="s">
        <v>251</v>
      </c>
      <c r="U34" s="329"/>
      <c r="V34" s="330"/>
      <c r="W34" s="437" t="s">
        <v>106</v>
      </c>
      <c r="X34" s="438" t="s">
        <v>252</v>
      </c>
      <c r="Y34" s="329"/>
      <c r="Z34" s="330"/>
    </row>
    <row r="35" spans="5:57" ht="14.25" customHeight="1" x14ac:dyDescent="0.3">
      <c r="E35" s="179" t="s">
        <v>253</v>
      </c>
      <c r="F35" s="179" t="s">
        <v>254</v>
      </c>
      <c r="G35" s="179" t="s">
        <v>255</v>
      </c>
      <c r="H35" s="179" t="s">
        <v>256</v>
      </c>
      <c r="I35" s="179" t="s">
        <v>257</v>
      </c>
      <c r="J35" s="179" t="s">
        <v>258</v>
      </c>
      <c r="K35" s="179" t="s">
        <v>259</v>
      </c>
      <c r="L35" s="179" t="s">
        <v>260</v>
      </c>
      <c r="M35" s="179" t="s">
        <v>261</v>
      </c>
      <c r="N35" s="179" t="s">
        <v>262</v>
      </c>
      <c r="O35" s="179" t="s">
        <v>259</v>
      </c>
      <c r="P35" s="179" t="s">
        <v>260</v>
      </c>
      <c r="Q35" s="179" t="s">
        <v>261</v>
      </c>
      <c r="R35" s="179" t="s">
        <v>262</v>
      </c>
      <c r="S35" s="179" t="s">
        <v>259</v>
      </c>
      <c r="T35" s="179" t="s">
        <v>114</v>
      </c>
      <c r="U35" s="179" t="s">
        <v>113</v>
      </c>
      <c r="V35" s="179" t="s">
        <v>112</v>
      </c>
      <c r="W35" s="443"/>
      <c r="X35" s="179" t="s">
        <v>79</v>
      </c>
      <c r="Y35" s="179" t="s">
        <v>80</v>
      </c>
      <c r="Z35" s="179" t="s">
        <v>81</v>
      </c>
      <c r="AI35" s="438" t="s">
        <v>263</v>
      </c>
      <c r="AJ35" s="330"/>
      <c r="AK35" s="438" t="s">
        <v>247</v>
      </c>
      <c r="AL35" s="329"/>
      <c r="AM35" s="329"/>
      <c r="AN35" s="330"/>
      <c r="AO35" s="178" t="s">
        <v>248</v>
      </c>
      <c r="AP35" s="438" t="s">
        <v>249</v>
      </c>
      <c r="AQ35" s="329"/>
      <c r="AR35" s="329"/>
      <c r="AS35" s="330"/>
      <c r="AT35" s="438" t="s">
        <v>250</v>
      </c>
      <c r="AU35" s="329"/>
      <c r="AV35" s="329"/>
      <c r="AW35" s="330"/>
      <c r="AX35" s="438" t="s">
        <v>251</v>
      </c>
      <c r="AY35" s="329"/>
      <c r="AZ35" s="330"/>
      <c r="BA35" s="437" t="s">
        <v>106</v>
      </c>
      <c r="BB35" s="438" t="s">
        <v>252</v>
      </c>
      <c r="BC35" s="329"/>
      <c r="BD35" s="330"/>
    </row>
    <row r="36" spans="5:57" ht="14.25" customHeight="1" x14ac:dyDescent="0.35">
      <c r="E36" s="180">
        <v>1.44</v>
      </c>
      <c r="F36" s="180" t="s">
        <v>16</v>
      </c>
      <c r="G36" s="180">
        <v>1.75</v>
      </c>
      <c r="H36" s="180" t="s">
        <v>264</v>
      </c>
      <c r="I36" s="180" t="s">
        <v>264</v>
      </c>
      <c r="J36" s="180" t="s">
        <v>265</v>
      </c>
      <c r="K36" s="181">
        <v>249.74600000000001</v>
      </c>
      <c r="L36" s="180">
        <v>0</v>
      </c>
      <c r="M36" s="180">
        <v>0</v>
      </c>
      <c r="N36" s="180">
        <v>41</v>
      </c>
      <c r="O36" s="181">
        <f t="shared" ref="O36:O82" si="0">L36+(M36/60)+(N36/3600)</f>
        <v>1.1388888888888889E-2</v>
      </c>
      <c r="P36" s="180">
        <v>86</v>
      </c>
      <c r="Q36" s="180">
        <v>4</v>
      </c>
      <c r="R36" s="180">
        <v>8</v>
      </c>
      <c r="S36" s="181">
        <f t="shared" ref="S36:S82" si="1">P36+(Q36/60)+(R36/3600)</f>
        <v>86.068888888888878</v>
      </c>
      <c r="T36" s="181">
        <v>129.614</v>
      </c>
      <c r="U36" s="181">
        <v>2.0990000000000002</v>
      </c>
      <c r="V36" s="181">
        <v>129.59700000000001</v>
      </c>
      <c r="W36" s="181">
        <f t="shared" ref="W36:W57" si="2">U36+$E$36-G36</f>
        <v>1.7890000000000001</v>
      </c>
      <c r="X36" s="182">
        <v>535310.50699999998</v>
      </c>
      <c r="Y36" s="182">
        <v>9407739.1050000004</v>
      </c>
      <c r="Z36" s="183">
        <v>106.786</v>
      </c>
      <c r="AI36" s="178" t="s">
        <v>253</v>
      </c>
      <c r="AJ36" s="178" t="s">
        <v>254</v>
      </c>
      <c r="AK36" s="178" t="s">
        <v>255</v>
      </c>
      <c r="AL36" s="178" t="s">
        <v>256</v>
      </c>
      <c r="AM36" s="178" t="s">
        <v>257</v>
      </c>
      <c r="AN36" s="178" t="s">
        <v>258</v>
      </c>
      <c r="AO36" s="178" t="s">
        <v>259</v>
      </c>
      <c r="AP36" s="178" t="s">
        <v>260</v>
      </c>
      <c r="AQ36" s="178" t="s">
        <v>261</v>
      </c>
      <c r="AR36" s="178" t="s">
        <v>262</v>
      </c>
      <c r="AS36" s="178" t="s">
        <v>259</v>
      </c>
      <c r="AT36" s="178" t="s">
        <v>260</v>
      </c>
      <c r="AU36" s="178" t="s">
        <v>261</v>
      </c>
      <c r="AV36" s="178" t="s">
        <v>262</v>
      </c>
      <c r="AW36" s="178" t="s">
        <v>259</v>
      </c>
      <c r="AX36" s="178" t="s">
        <v>114</v>
      </c>
      <c r="AY36" s="178" t="s">
        <v>113</v>
      </c>
      <c r="AZ36" s="178" t="s">
        <v>112</v>
      </c>
      <c r="BA36" s="339"/>
      <c r="BB36" s="178" t="s">
        <v>79</v>
      </c>
      <c r="BC36" s="178" t="s">
        <v>80</v>
      </c>
      <c r="BD36" s="178" t="s">
        <v>81</v>
      </c>
    </row>
    <row r="37" spans="5:57" ht="14.25" customHeight="1" x14ac:dyDescent="0.35">
      <c r="E37" s="180"/>
      <c r="F37" s="180"/>
      <c r="G37" s="184">
        <v>1.75</v>
      </c>
      <c r="H37" s="180">
        <v>1</v>
      </c>
      <c r="I37" s="180" t="s">
        <v>266</v>
      </c>
      <c r="J37" s="180"/>
      <c r="K37" s="181">
        <f t="shared" ref="K37:K82" si="3">IF($K$36+37&gt;=540,$K$36+O37-540,IF($K$36+O37&gt;=180,$K$36+O37-180,$K$36+O37+180))</f>
        <v>256.77988888888888</v>
      </c>
      <c r="L37" s="185">
        <v>187</v>
      </c>
      <c r="M37" s="185">
        <v>2</v>
      </c>
      <c r="N37" s="185">
        <v>2</v>
      </c>
      <c r="O37" s="181">
        <f t="shared" si="0"/>
        <v>187.0338888888889</v>
      </c>
      <c r="P37" s="185">
        <v>90</v>
      </c>
      <c r="Q37" s="185">
        <v>43</v>
      </c>
      <c r="R37" s="185">
        <v>25</v>
      </c>
      <c r="S37" s="181">
        <f t="shared" si="1"/>
        <v>90.723611111111111</v>
      </c>
      <c r="T37" s="186">
        <v>8.5649999999999995</v>
      </c>
      <c r="U37" s="186">
        <v>-0.108</v>
      </c>
      <c r="V37" s="186">
        <v>8.5640000000000001</v>
      </c>
      <c r="W37" s="181">
        <f t="shared" si="2"/>
        <v>-0.41800000000000015</v>
      </c>
      <c r="X37" s="182">
        <f t="shared" ref="X37:X58" si="4">$X$36+V37*SIN(RADIANS(K37))</f>
        <v>535302.16995721392</v>
      </c>
      <c r="Y37" s="182">
        <f t="shared" ref="Y37:Y58" si="5">$Y$36+V37*COS(RADIANS(K37))</f>
        <v>9407737.1464766841</v>
      </c>
      <c r="Z37" s="181">
        <f t="shared" ref="Z37:Z58" si="6">$Z$36+W37</f>
        <v>106.36799999999999</v>
      </c>
      <c r="AA37" s="187"/>
      <c r="AC37" t="str">
        <f t="shared" ref="AC37:AC155" si="7">CONCATENATE("PO"," ",X37,",",Y37)</f>
        <v>PO 535302,169957214,9407737,14647668</v>
      </c>
      <c r="AI37" s="188">
        <v>1.44</v>
      </c>
      <c r="AJ37" s="188" t="s">
        <v>16</v>
      </c>
      <c r="AK37" s="188">
        <v>1.75</v>
      </c>
      <c r="AL37" s="188" t="s">
        <v>264</v>
      </c>
      <c r="AM37" s="188" t="s">
        <v>264</v>
      </c>
      <c r="AN37" s="188" t="s">
        <v>267</v>
      </c>
      <c r="AO37" s="189">
        <v>249.74600000000001</v>
      </c>
      <c r="AP37" s="188">
        <v>0</v>
      </c>
      <c r="AQ37" s="188">
        <v>0</v>
      </c>
      <c r="AR37" s="188">
        <v>41</v>
      </c>
      <c r="AS37" s="189">
        <f t="shared" ref="AS37:AS59" si="8">AP37+(AQ37/60)+(AR37/3600)</f>
        <v>1.1388888888888889E-2</v>
      </c>
      <c r="AT37" s="188">
        <v>86</v>
      </c>
      <c r="AU37" s="188">
        <v>4</v>
      </c>
      <c r="AV37" s="188">
        <v>8</v>
      </c>
      <c r="AW37" s="189">
        <f t="shared" ref="AW37:AW59" si="9">AT37+(AU37/60)+(AV37/3600)</f>
        <v>86.068888888888878</v>
      </c>
      <c r="AX37" s="189">
        <v>129.614</v>
      </c>
      <c r="AY37" s="190">
        <v>2.0990000000000002</v>
      </c>
      <c r="AZ37" s="190">
        <v>129.59700000000001</v>
      </c>
      <c r="BA37" s="189">
        <f t="shared" ref="BA37:BA45" si="10">AY37+$E$36-AK37</f>
        <v>1.7890000000000001</v>
      </c>
      <c r="BB37" s="191">
        <v>535310.50699999998</v>
      </c>
      <c r="BC37" s="191">
        <v>9407739.1050000004</v>
      </c>
      <c r="BD37" s="92">
        <v>106.786</v>
      </c>
    </row>
    <row r="38" spans="5:57" ht="14.25" customHeight="1" x14ac:dyDescent="0.3">
      <c r="E38" s="192"/>
      <c r="F38" s="192"/>
      <c r="G38" s="184">
        <v>1.75</v>
      </c>
      <c r="H38" s="192">
        <v>2</v>
      </c>
      <c r="I38" s="180" t="s">
        <v>268</v>
      </c>
      <c r="J38" s="180"/>
      <c r="K38" s="181">
        <f t="shared" si="3"/>
        <v>256.06794444444449</v>
      </c>
      <c r="L38" s="185">
        <v>186</v>
      </c>
      <c r="M38" s="185">
        <v>19</v>
      </c>
      <c r="N38" s="185">
        <v>19</v>
      </c>
      <c r="O38" s="181">
        <f t="shared" si="0"/>
        <v>186.32194444444445</v>
      </c>
      <c r="P38" s="185">
        <v>89</v>
      </c>
      <c r="Q38" s="185">
        <v>7</v>
      </c>
      <c r="R38" s="185">
        <v>9</v>
      </c>
      <c r="S38" s="181">
        <f t="shared" si="1"/>
        <v>89.119166666666658</v>
      </c>
      <c r="T38" s="186">
        <v>8.5180000000000007</v>
      </c>
      <c r="U38" s="186">
        <v>0.13100000000000001</v>
      </c>
      <c r="V38" s="186">
        <v>8.5169999999999995</v>
      </c>
      <c r="W38" s="181">
        <f t="shared" si="2"/>
        <v>-0.17900000000000005</v>
      </c>
      <c r="X38" s="182">
        <f t="shared" si="4"/>
        <v>535302.24055371853</v>
      </c>
      <c r="Y38" s="182">
        <f t="shared" si="5"/>
        <v>9407737.0543525722</v>
      </c>
      <c r="Z38" s="181">
        <f t="shared" si="6"/>
        <v>106.607</v>
      </c>
      <c r="AC38" t="str">
        <f t="shared" si="7"/>
        <v>PO 535302,240553719,9407737,05435257</v>
      </c>
      <c r="AI38" s="9"/>
      <c r="AJ38" s="9"/>
      <c r="AK38" s="193">
        <v>1.75</v>
      </c>
      <c r="AL38" s="9">
        <v>1</v>
      </c>
      <c r="AM38" s="9" t="s">
        <v>266</v>
      </c>
      <c r="AN38" s="9"/>
      <c r="AO38" s="5">
        <f t="shared" ref="AO38:AO45" si="11">MOD($K$36+AS38,360)</f>
        <v>76.779888888888877</v>
      </c>
      <c r="AP38" s="194">
        <v>187</v>
      </c>
      <c r="AQ38" s="195">
        <v>2</v>
      </c>
      <c r="AR38" s="194">
        <v>2</v>
      </c>
      <c r="AS38" s="5">
        <f t="shared" si="8"/>
        <v>187.0338888888889</v>
      </c>
      <c r="AT38" s="196">
        <v>90</v>
      </c>
      <c r="AU38" s="197">
        <v>43</v>
      </c>
      <c r="AV38" s="194">
        <v>25</v>
      </c>
      <c r="AW38" s="5">
        <f t="shared" si="9"/>
        <v>90.723611111111111</v>
      </c>
      <c r="AX38" s="198">
        <v>8.5649999999999995</v>
      </c>
      <c r="AY38" s="199">
        <v>-0.108</v>
      </c>
      <c r="AZ38" s="199">
        <v>8.5640000000000001</v>
      </c>
      <c r="BA38" s="5">
        <f t="shared" si="10"/>
        <v>-0.41800000000000015</v>
      </c>
      <c r="BB38" s="200">
        <f t="shared" ref="BB38:BB45" si="12">$X$36+AZ38*SIN(RADIANS(AO38))</f>
        <v>535318.84404278605</v>
      </c>
      <c r="BC38" s="200">
        <f t="shared" ref="BC38:BC45" si="13">$Y$36+AZ38*COS(RADIANS(AO38))</f>
        <v>9407741.0635233168</v>
      </c>
      <c r="BD38" s="5">
        <f t="shared" ref="BD38:BD45" si="14">$Z$36+BA38</f>
        <v>106.36799999999999</v>
      </c>
      <c r="BE38" s="201"/>
    </row>
    <row r="39" spans="5:57" ht="14.25" customHeight="1" x14ac:dyDescent="0.3">
      <c r="E39" s="192"/>
      <c r="F39" s="192"/>
      <c r="G39" s="184">
        <v>1.75</v>
      </c>
      <c r="H39" s="192">
        <v>3</v>
      </c>
      <c r="I39" s="180" t="s">
        <v>269</v>
      </c>
      <c r="J39" s="180"/>
      <c r="K39" s="181">
        <f t="shared" si="3"/>
        <v>314.67849999999999</v>
      </c>
      <c r="L39" s="185">
        <v>244</v>
      </c>
      <c r="M39" s="185">
        <v>55</v>
      </c>
      <c r="N39" s="185">
        <v>57</v>
      </c>
      <c r="O39" s="181">
        <f t="shared" si="0"/>
        <v>244.9325</v>
      </c>
      <c r="P39" s="185">
        <v>89</v>
      </c>
      <c r="Q39" s="185">
        <v>58</v>
      </c>
      <c r="R39" s="185">
        <v>53</v>
      </c>
      <c r="S39" s="181">
        <f t="shared" si="1"/>
        <v>89.981388888888887</v>
      </c>
      <c r="T39" s="186">
        <v>11.362</v>
      </c>
      <c r="U39" s="186">
        <v>4.0000000000000001E-3</v>
      </c>
      <c r="V39" s="186">
        <v>11.362</v>
      </c>
      <c r="W39" s="181">
        <f t="shared" si="2"/>
        <v>-0.30600000000000005</v>
      </c>
      <c r="X39" s="182">
        <f t="shared" si="4"/>
        <v>535302.42789799324</v>
      </c>
      <c r="Y39" s="182">
        <f t="shared" si="5"/>
        <v>9407747.0939395279</v>
      </c>
      <c r="Z39" s="181">
        <f t="shared" si="6"/>
        <v>106.48</v>
      </c>
      <c r="AC39" t="str">
        <f t="shared" si="7"/>
        <v>PO 535302,427897993,9407747,09393953</v>
      </c>
      <c r="AI39" s="202"/>
      <c r="AJ39" s="202"/>
      <c r="AK39" s="193">
        <v>1.75</v>
      </c>
      <c r="AL39" s="202">
        <v>2</v>
      </c>
      <c r="AM39" s="9" t="s">
        <v>268</v>
      </c>
      <c r="AN39" s="9"/>
      <c r="AO39" s="5">
        <f t="shared" si="11"/>
        <v>76.067944444444493</v>
      </c>
      <c r="AP39" s="203">
        <v>186</v>
      </c>
      <c r="AQ39" s="197">
        <v>19</v>
      </c>
      <c r="AR39" s="203">
        <v>19</v>
      </c>
      <c r="AS39" s="5">
        <f t="shared" si="8"/>
        <v>186.32194444444445</v>
      </c>
      <c r="AT39" s="204">
        <v>89</v>
      </c>
      <c r="AU39" s="205">
        <v>7</v>
      </c>
      <c r="AV39" s="203">
        <v>9</v>
      </c>
      <c r="AW39" s="5">
        <f t="shared" si="9"/>
        <v>89.119166666666658</v>
      </c>
      <c r="AX39" s="206">
        <v>8.5180000000000007</v>
      </c>
      <c r="AY39" s="207">
        <v>0.13100000000000001</v>
      </c>
      <c r="AZ39" s="207">
        <v>8.5169999999999995</v>
      </c>
      <c r="BA39" s="5">
        <f t="shared" si="10"/>
        <v>-0.17900000000000005</v>
      </c>
      <c r="BB39" s="200">
        <f t="shared" si="12"/>
        <v>535318.77344628144</v>
      </c>
      <c r="BC39" s="200">
        <f t="shared" si="13"/>
        <v>9407741.1556474287</v>
      </c>
      <c r="BD39" s="5">
        <f t="shared" si="14"/>
        <v>106.607</v>
      </c>
      <c r="BE39" s="201"/>
    </row>
    <row r="40" spans="5:57" ht="14.25" customHeight="1" x14ac:dyDescent="0.3">
      <c r="E40" s="192"/>
      <c r="F40" s="192"/>
      <c r="G40" s="184">
        <v>1.75</v>
      </c>
      <c r="H40" s="192">
        <v>4</v>
      </c>
      <c r="I40" s="180" t="s">
        <v>270</v>
      </c>
      <c r="J40" s="180"/>
      <c r="K40" s="181">
        <f t="shared" si="3"/>
        <v>294.91572222222226</v>
      </c>
      <c r="L40" s="185">
        <v>225</v>
      </c>
      <c r="M40" s="185">
        <v>10</v>
      </c>
      <c r="N40" s="185">
        <v>11</v>
      </c>
      <c r="O40" s="181">
        <f t="shared" si="0"/>
        <v>225.16972222222222</v>
      </c>
      <c r="P40" s="185">
        <v>88</v>
      </c>
      <c r="Q40" s="185">
        <v>45</v>
      </c>
      <c r="R40" s="185">
        <v>59</v>
      </c>
      <c r="S40" s="181">
        <f t="shared" si="1"/>
        <v>88.766388888888883</v>
      </c>
      <c r="T40" s="186">
        <v>11.439</v>
      </c>
      <c r="U40" s="186">
        <v>0.246</v>
      </c>
      <c r="V40" s="186">
        <v>11.430999999999999</v>
      </c>
      <c r="W40" s="181">
        <f t="shared" si="2"/>
        <v>-6.4000000000000057E-2</v>
      </c>
      <c r="X40" s="182">
        <f t="shared" si="4"/>
        <v>535300.13990093372</v>
      </c>
      <c r="Y40" s="182">
        <f t="shared" si="5"/>
        <v>9407743.9207053427</v>
      </c>
      <c r="Z40" s="181">
        <f t="shared" si="6"/>
        <v>106.72200000000001</v>
      </c>
      <c r="AC40" t="str">
        <f t="shared" si="7"/>
        <v>PO 535300,139900934,9407743,92070534</v>
      </c>
      <c r="AI40" s="202"/>
      <c r="AJ40" s="202"/>
      <c r="AK40" s="193">
        <v>1.75</v>
      </c>
      <c r="AL40" s="202">
        <v>3</v>
      </c>
      <c r="AM40" s="9" t="s">
        <v>269</v>
      </c>
      <c r="AN40" s="9"/>
      <c r="AO40" s="5">
        <f t="shared" si="11"/>
        <v>134.67849999999999</v>
      </c>
      <c r="AP40" s="208">
        <v>244</v>
      </c>
      <c r="AQ40" s="205">
        <v>55</v>
      </c>
      <c r="AR40" s="208">
        <v>57</v>
      </c>
      <c r="AS40" s="5">
        <f t="shared" si="8"/>
        <v>244.9325</v>
      </c>
      <c r="AT40" s="209">
        <v>89</v>
      </c>
      <c r="AU40" s="197">
        <v>58</v>
      </c>
      <c r="AV40" s="208">
        <v>53</v>
      </c>
      <c r="AW40" s="5">
        <f t="shared" si="9"/>
        <v>89.981388888888887</v>
      </c>
      <c r="AX40" s="210">
        <v>11.362</v>
      </c>
      <c r="AY40" s="211">
        <v>4.0000000000000001E-3</v>
      </c>
      <c r="AZ40" s="211">
        <v>11.362</v>
      </c>
      <c r="BA40" s="5">
        <f t="shared" si="10"/>
        <v>-0.30600000000000005</v>
      </c>
      <c r="BB40" s="200">
        <f t="shared" si="12"/>
        <v>535318.58610200672</v>
      </c>
      <c r="BC40" s="200">
        <f t="shared" si="13"/>
        <v>9407731.116060473</v>
      </c>
      <c r="BD40" s="5">
        <f t="shared" si="14"/>
        <v>106.48</v>
      </c>
      <c r="BE40" s="201"/>
    </row>
    <row r="41" spans="5:57" ht="14.25" customHeight="1" x14ac:dyDescent="0.3">
      <c r="E41" s="192"/>
      <c r="F41" s="192"/>
      <c r="G41" s="184">
        <v>1.75</v>
      </c>
      <c r="H41" s="180">
        <v>5</v>
      </c>
      <c r="I41" s="180" t="s">
        <v>271</v>
      </c>
      <c r="J41" s="180"/>
      <c r="K41" s="181">
        <f t="shared" si="3"/>
        <v>305.3221111111111</v>
      </c>
      <c r="L41" s="185">
        <v>235</v>
      </c>
      <c r="M41" s="185">
        <v>34</v>
      </c>
      <c r="N41" s="185">
        <v>34</v>
      </c>
      <c r="O41" s="181">
        <f t="shared" si="0"/>
        <v>235.57611111111112</v>
      </c>
      <c r="P41" s="185">
        <v>89</v>
      </c>
      <c r="Q41" s="185">
        <v>56</v>
      </c>
      <c r="R41" s="185">
        <v>31</v>
      </c>
      <c r="S41" s="181">
        <f t="shared" si="1"/>
        <v>89.941944444444445</v>
      </c>
      <c r="T41" s="186">
        <v>11.448</v>
      </c>
      <c r="U41" s="186">
        <v>1.2E-2</v>
      </c>
      <c r="V41" s="186">
        <v>11.448</v>
      </c>
      <c r="W41" s="181">
        <f t="shared" si="2"/>
        <v>-0.29800000000000004</v>
      </c>
      <c r="X41" s="182">
        <f t="shared" si="4"/>
        <v>535301.16641049145</v>
      </c>
      <c r="Y41" s="182">
        <f t="shared" si="5"/>
        <v>9407745.7239192203</v>
      </c>
      <c r="Z41" s="181">
        <f t="shared" si="6"/>
        <v>106.488</v>
      </c>
      <c r="AC41" t="str">
        <f t="shared" si="7"/>
        <v>PO 535301,166410491,9407745,72391922</v>
      </c>
      <c r="AI41" s="202"/>
      <c r="AJ41" s="202"/>
      <c r="AK41" s="193">
        <v>1.75</v>
      </c>
      <c r="AL41" s="202">
        <v>4</v>
      </c>
      <c r="AM41" s="9" t="s">
        <v>270</v>
      </c>
      <c r="AN41" s="9"/>
      <c r="AO41" s="5">
        <f t="shared" si="11"/>
        <v>114.91572222222226</v>
      </c>
      <c r="AP41" s="203">
        <v>225</v>
      </c>
      <c r="AQ41" s="197">
        <v>10</v>
      </c>
      <c r="AR41" s="203">
        <v>11</v>
      </c>
      <c r="AS41" s="5">
        <f t="shared" si="8"/>
        <v>225.16972222222222</v>
      </c>
      <c r="AT41" s="204">
        <v>88</v>
      </c>
      <c r="AU41" s="197">
        <v>45</v>
      </c>
      <c r="AV41" s="203">
        <v>59</v>
      </c>
      <c r="AW41" s="5">
        <f t="shared" si="9"/>
        <v>88.766388888888883</v>
      </c>
      <c r="AX41" s="206">
        <v>11.439</v>
      </c>
      <c r="AY41" s="207">
        <v>0.246</v>
      </c>
      <c r="AZ41" s="207">
        <v>11.430999999999999</v>
      </c>
      <c r="BA41" s="5">
        <f t="shared" si="10"/>
        <v>-6.4000000000000057E-2</v>
      </c>
      <c r="BB41" s="200">
        <f t="shared" si="12"/>
        <v>535320.87409906625</v>
      </c>
      <c r="BC41" s="200">
        <f t="shared" si="13"/>
        <v>9407734.2892946582</v>
      </c>
      <c r="BD41" s="5">
        <f t="shared" si="14"/>
        <v>106.72200000000001</v>
      </c>
      <c r="BE41" s="201"/>
    </row>
    <row r="42" spans="5:57" ht="14.25" customHeight="1" x14ac:dyDescent="0.3">
      <c r="E42" s="192"/>
      <c r="F42" s="192"/>
      <c r="G42" s="184">
        <v>1.75</v>
      </c>
      <c r="H42" s="192">
        <v>6</v>
      </c>
      <c r="I42" s="180" t="s">
        <v>272</v>
      </c>
      <c r="J42" s="180"/>
      <c r="K42" s="181">
        <f t="shared" si="3"/>
        <v>305.03433333333334</v>
      </c>
      <c r="L42" s="185">
        <v>235</v>
      </c>
      <c r="M42" s="185">
        <v>17</v>
      </c>
      <c r="N42" s="185">
        <v>18</v>
      </c>
      <c r="O42" s="181">
        <f t="shared" si="0"/>
        <v>235.28833333333333</v>
      </c>
      <c r="P42" s="185">
        <v>89</v>
      </c>
      <c r="Q42" s="185">
        <v>52</v>
      </c>
      <c r="R42" s="185">
        <v>28</v>
      </c>
      <c r="S42" s="181">
        <f t="shared" si="1"/>
        <v>89.874444444444435</v>
      </c>
      <c r="T42" s="186">
        <v>11.404999999999999</v>
      </c>
      <c r="U42" s="186">
        <v>0.224</v>
      </c>
      <c r="V42" s="186">
        <v>11.403</v>
      </c>
      <c r="W42" s="181">
        <f t="shared" si="2"/>
        <v>-8.6000000000000076E-2</v>
      </c>
      <c r="X42" s="182">
        <f t="shared" si="4"/>
        <v>535301.17013017298</v>
      </c>
      <c r="Y42" s="182">
        <f t="shared" si="5"/>
        <v>9407745.6510882098</v>
      </c>
      <c r="Z42" s="181">
        <f t="shared" si="6"/>
        <v>106.7</v>
      </c>
      <c r="AC42" t="str">
        <f t="shared" si="7"/>
        <v>PO 535301,170130173,9407745,65108821</v>
      </c>
      <c r="AI42" s="202"/>
      <c r="AJ42" s="202"/>
      <c r="AK42" s="193">
        <v>1.75</v>
      </c>
      <c r="AL42" s="9">
        <v>5</v>
      </c>
      <c r="AM42" s="9" t="s">
        <v>271</v>
      </c>
      <c r="AN42" s="9"/>
      <c r="AO42" s="5">
        <f t="shared" si="11"/>
        <v>125.3221111111111</v>
      </c>
      <c r="AP42" s="203">
        <v>235</v>
      </c>
      <c r="AQ42" s="197">
        <v>34</v>
      </c>
      <c r="AR42" s="203">
        <v>34</v>
      </c>
      <c r="AS42" s="5">
        <f t="shared" si="8"/>
        <v>235.57611111111112</v>
      </c>
      <c r="AT42" s="204">
        <v>89</v>
      </c>
      <c r="AU42" s="197">
        <v>56</v>
      </c>
      <c r="AV42" s="203">
        <v>31</v>
      </c>
      <c r="AW42" s="5">
        <f t="shared" si="9"/>
        <v>89.941944444444445</v>
      </c>
      <c r="AX42" s="206">
        <v>11.448</v>
      </c>
      <c r="AY42" s="207">
        <v>1.2E-2</v>
      </c>
      <c r="AZ42" s="207">
        <v>11.448</v>
      </c>
      <c r="BA42" s="5">
        <f t="shared" si="10"/>
        <v>-0.29800000000000004</v>
      </c>
      <c r="BB42" s="200">
        <f t="shared" si="12"/>
        <v>535319.84758950851</v>
      </c>
      <c r="BC42" s="200">
        <f t="shared" si="13"/>
        <v>9407732.4860807806</v>
      </c>
      <c r="BD42" s="5">
        <f t="shared" si="14"/>
        <v>106.488</v>
      </c>
      <c r="BE42" s="201"/>
    </row>
    <row r="43" spans="5:57" ht="14.25" customHeight="1" x14ac:dyDescent="0.3">
      <c r="E43" s="192"/>
      <c r="F43" s="192"/>
      <c r="G43" s="184">
        <v>1.75</v>
      </c>
      <c r="H43" s="192">
        <v>7</v>
      </c>
      <c r="I43" s="180" t="s">
        <v>273</v>
      </c>
      <c r="J43" s="180"/>
      <c r="K43" s="181">
        <f t="shared" si="3"/>
        <v>315.30544444444445</v>
      </c>
      <c r="L43" s="185">
        <v>245</v>
      </c>
      <c r="M43" s="185">
        <v>33</v>
      </c>
      <c r="N43" s="185">
        <v>34</v>
      </c>
      <c r="O43" s="181">
        <f t="shared" si="0"/>
        <v>245.55944444444447</v>
      </c>
      <c r="P43" s="185">
        <v>90</v>
      </c>
      <c r="Q43" s="185">
        <v>54</v>
      </c>
      <c r="R43" s="185">
        <v>0</v>
      </c>
      <c r="S43" s="181">
        <f t="shared" si="1"/>
        <v>90.9</v>
      </c>
      <c r="T43" s="186">
        <v>18.114999999999998</v>
      </c>
      <c r="U43" s="186">
        <v>-0.28499999999999998</v>
      </c>
      <c r="V43" s="186">
        <v>18.113</v>
      </c>
      <c r="W43" s="181">
        <f t="shared" si="2"/>
        <v>-0.59499999999999997</v>
      </c>
      <c r="X43" s="182">
        <f t="shared" si="4"/>
        <v>535297.76763520529</v>
      </c>
      <c r="Y43" s="182">
        <f t="shared" si="5"/>
        <v>9407751.9809214678</v>
      </c>
      <c r="Z43" s="181">
        <f t="shared" si="6"/>
        <v>106.191</v>
      </c>
      <c r="AC43" t="str">
        <f t="shared" si="7"/>
        <v>PO 535297,767635205,9407751,98092147</v>
      </c>
      <c r="AI43" s="202"/>
      <c r="AJ43" s="202"/>
      <c r="AK43" s="193">
        <v>1.75</v>
      </c>
      <c r="AL43" s="202">
        <v>6</v>
      </c>
      <c r="AM43" s="9" t="s">
        <v>272</v>
      </c>
      <c r="AN43" s="9"/>
      <c r="AO43" s="5">
        <f t="shared" si="11"/>
        <v>125.03433333333334</v>
      </c>
      <c r="AP43" s="203">
        <v>235</v>
      </c>
      <c r="AQ43" s="197">
        <v>17</v>
      </c>
      <c r="AR43" s="203">
        <v>18</v>
      </c>
      <c r="AS43" s="5">
        <f t="shared" si="8"/>
        <v>235.28833333333333</v>
      </c>
      <c r="AT43" s="204">
        <v>89</v>
      </c>
      <c r="AU43" s="197">
        <v>52</v>
      </c>
      <c r="AV43" s="203">
        <v>28</v>
      </c>
      <c r="AW43" s="5">
        <f t="shared" si="9"/>
        <v>89.874444444444435</v>
      </c>
      <c r="AX43" s="206">
        <v>11.404999999999999</v>
      </c>
      <c r="AY43" s="207">
        <v>0.224</v>
      </c>
      <c r="AZ43" s="207">
        <v>11.403</v>
      </c>
      <c r="BA43" s="5">
        <f t="shared" si="10"/>
        <v>-8.6000000000000076E-2</v>
      </c>
      <c r="BB43" s="200">
        <f t="shared" si="12"/>
        <v>535319.84386982699</v>
      </c>
      <c r="BC43" s="200">
        <f t="shared" si="13"/>
        <v>9407732.5589117911</v>
      </c>
      <c r="BD43" s="5">
        <f t="shared" si="14"/>
        <v>106.7</v>
      </c>
      <c r="BE43" s="201"/>
    </row>
    <row r="44" spans="5:57" ht="14.25" customHeight="1" x14ac:dyDescent="0.3">
      <c r="E44" s="192"/>
      <c r="F44" s="192"/>
      <c r="G44" s="184">
        <v>1.75</v>
      </c>
      <c r="H44" s="192">
        <v>8</v>
      </c>
      <c r="I44" s="180" t="s">
        <v>274</v>
      </c>
      <c r="J44" s="180"/>
      <c r="K44" s="181">
        <f t="shared" si="3"/>
        <v>315.49127777777778</v>
      </c>
      <c r="L44" s="185">
        <v>245</v>
      </c>
      <c r="M44" s="185">
        <v>44</v>
      </c>
      <c r="N44" s="185">
        <v>43</v>
      </c>
      <c r="O44" s="181">
        <f t="shared" si="0"/>
        <v>245.74527777777777</v>
      </c>
      <c r="P44" s="185">
        <v>90</v>
      </c>
      <c r="Q44" s="185">
        <v>26</v>
      </c>
      <c r="R44" s="185">
        <v>14</v>
      </c>
      <c r="S44" s="181">
        <f t="shared" si="1"/>
        <v>90.437222222222232</v>
      </c>
      <c r="T44" s="186">
        <v>18.148</v>
      </c>
      <c r="U44" s="186">
        <v>-0.13800000000000001</v>
      </c>
      <c r="V44" s="186">
        <v>18.146999999999998</v>
      </c>
      <c r="W44" s="181">
        <f t="shared" si="2"/>
        <v>-0.44799999999999995</v>
      </c>
      <c r="X44" s="182">
        <f t="shared" si="4"/>
        <v>535297.78562934173</v>
      </c>
      <c r="Y44" s="182">
        <f t="shared" si="5"/>
        <v>9407752.0464194585</v>
      </c>
      <c r="Z44" s="181">
        <f t="shared" si="6"/>
        <v>106.33800000000001</v>
      </c>
      <c r="AC44" t="str">
        <f t="shared" si="7"/>
        <v>PO 535297,785629342,9407752,04641946</v>
      </c>
      <c r="AI44" s="202"/>
      <c r="AJ44" s="202"/>
      <c r="AK44" s="193">
        <v>1.75</v>
      </c>
      <c r="AL44" s="202">
        <v>7</v>
      </c>
      <c r="AM44" s="9" t="s">
        <v>273</v>
      </c>
      <c r="AN44" s="9"/>
      <c r="AO44" s="5">
        <f t="shared" si="11"/>
        <v>135.30544444444445</v>
      </c>
      <c r="AP44" s="203">
        <v>245</v>
      </c>
      <c r="AQ44" s="197">
        <v>33</v>
      </c>
      <c r="AR44" s="203">
        <v>34</v>
      </c>
      <c r="AS44" s="5">
        <f t="shared" si="8"/>
        <v>245.55944444444447</v>
      </c>
      <c r="AT44" s="204">
        <v>90</v>
      </c>
      <c r="AU44" s="197">
        <v>54</v>
      </c>
      <c r="AV44" s="203">
        <v>0</v>
      </c>
      <c r="AW44" s="5">
        <f t="shared" si="9"/>
        <v>90.9</v>
      </c>
      <c r="AX44" s="206">
        <v>18.114999999999998</v>
      </c>
      <c r="AY44" s="207">
        <v>-0.28499999999999998</v>
      </c>
      <c r="AZ44" s="207">
        <v>18.113</v>
      </c>
      <c r="BA44" s="5">
        <f t="shared" si="10"/>
        <v>-0.59499999999999997</v>
      </c>
      <c r="BB44" s="200">
        <f t="shared" si="12"/>
        <v>535323.24636479467</v>
      </c>
      <c r="BC44" s="200">
        <f t="shared" si="13"/>
        <v>9407726.2290785331</v>
      </c>
      <c r="BD44" s="5">
        <f t="shared" si="14"/>
        <v>106.191</v>
      </c>
      <c r="BE44" s="201"/>
    </row>
    <row r="45" spans="5:57" ht="14.25" customHeight="1" x14ac:dyDescent="0.3">
      <c r="E45" s="192"/>
      <c r="F45" s="192"/>
      <c r="G45" s="184">
        <v>1.75</v>
      </c>
      <c r="H45" s="180">
        <v>9</v>
      </c>
      <c r="I45" s="180" t="s">
        <v>275</v>
      </c>
      <c r="J45" s="180"/>
      <c r="K45" s="181">
        <f t="shared" si="3"/>
        <v>325.66072222222226</v>
      </c>
      <c r="L45" s="185">
        <v>255</v>
      </c>
      <c r="M45" s="185">
        <v>54</v>
      </c>
      <c r="N45" s="185">
        <v>53</v>
      </c>
      <c r="O45" s="181">
        <f t="shared" si="0"/>
        <v>255.91472222222222</v>
      </c>
      <c r="P45" s="185">
        <v>91</v>
      </c>
      <c r="Q45" s="185">
        <v>30</v>
      </c>
      <c r="R45" s="185">
        <v>59</v>
      </c>
      <c r="S45" s="181">
        <f t="shared" si="1"/>
        <v>91.516388888888883</v>
      </c>
      <c r="T45" s="186">
        <v>17.125</v>
      </c>
      <c r="U45" s="186">
        <v>-0.154</v>
      </c>
      <c r="V45" s="186">
        <v>17.123999999999999</v>
      </c>
      <c r="W45" s="181">
        <f t="shared" si="2"/>
        <v>-0.46399999999999997</v>
      </c>
      <c r="X45" s="182">
        <f t="shared" si="4"/>
        <v>535300.84748467419</v>
      </c>
      <c r="Y45" s="182">
        <f t="shared" si="5"/>
        <v>9407753.244488664</v>
      </c>
      <c r="Z45" s="181">
        <f t="shared" si="6"/>
        <v>106.322</v>
      </c>
      <c r="AC45" t="str">
        <f t="shared" si="7"/>
        <v>PO 535300,847484674,9407753,24448866</v>
      </c>
      <c r="AI45" s="202"/>
      <c r="AJ45" s="202"/>
      <c r="AK45" s="193">
        <v>1.75</v>
      </c>
      <c r="AL45" s="202">
        <v>8</v>
      </c>
      <c r="AM45" s="9" t="s">
        <v>274</v>
      </c>
      <c r="AN45" s="9"/>
      <c r="AO45" s="5">
        <f t="shared" si="11"/>
        <v>135.49127777777778</v>
      </c>
      <c r="AP45" s="203">
        <v>245</v>
      </c>
      <c r="AQ45" s="197">
        <v>44</v>
      </c>
      <c r="AR45" s="203">
        <v>43</v>
      </c>
      <c r="AS45" s="5">
        <f t="shared" si="8"/>
        <v>245.74527777777777</v>
      </c>
      <c r="AT45" s="204">
        <v>90</v>
      </c>
      <c r="AU45" s="197">
        <v>26</v>
      </c>
      <c r="AV45" s="203">
        <v>14</v>
      </c>
      <c r="AW45" s="5">
        <f t="shared" si="9"/>
        <v>90.437222222222232</v>
      </c>
      <c r="AX45" s="206">
        <v>18.148</v>
      </c>
      <c r="AY45" s="207">
        <v>-0.13800000000000001</v>
      </c>
      <c r="AZ45" s="207">
        <v>18.146999999999998</v>
      </c>
      <c r="BA45" s="5">
        <f t="shared" si="10"/>
        <v>-0.44799999999999995</v>
      </c>
      <c r="BB45" s="200">
        <f t="shared" si="12"/>
        <v>535323.22837065824</v>
      </c>
      <c r="BC45" s="200">
        <f t="shared" si="13"/>
        <v>9407726.1635805424</v>
      </c>
      <c r="BD45" s="5">
        <f t="shared" si="14"/>
        <v>106.33800000000001</v>
      </c>
      <c r="BE45" s="201"/>
    </row>
    <row r="46" spans="5:57" ht="14.25" customHeight="1" x14ac:dyDescent="0.3">
      <c r="E46" s="192"/>
      <c r="F46" s="192"/>
      <c r="G46" s="184">
        <v>1.75</v>
      </c>
      <c r="H46" s="192">
        <v>10</v>
      </c>
      <c r="I46" s="180" t="s">
        <v>276</v>
      </c>
      <c r="J46" s="180"/>
      <c r="K46" s="181">
        <f t="shared" si="3"/>
        <v>354.33905555555555</v>
      </c>
      <c r="L46" s="185">
        <v>284</v>
      </c>
      <c r="M46" s="185">
        <v>35</v>
      </c>
      <c r="N46" s="185">
        <v>35</v>
      </c>
      <c r="O46" s="181">
        <f t="shared" si="0"/>
        <v>284.59305555555551</v>
      </c>
      <c r="P46" s="185">
        <v>90</v>
      </c>
      <c r="Q46" s="185">
        <v>10</v>
      </c>
      <c r="R46" s="185">
        <v>51</v>
      </c>
      <c r="S46" s="181">
        <f t="shared" si="1"/>
        <v>90.180833333333339</v>
      </c>
      <c r="T46" s="186">
        <v>17.312000000000001</v>
      </c>
      <c r="U46" s="186">
        <v>-5.5E-2</v>
      </c>
      <c r="V46" s="186">
        <v>17.312000000000001</v>
      </c>
      <c r="W46" s="181">
        <f t="shared" si="2"/>
        <v>-0.36499999999999999</v>
      </c>
      <c r="X46" s="182">
        <f t="shared" si="4"/>
        <v>535308.79931923409</v>
      </c>
      <c r="Y46" s="182">
        <f t="shared" si="5"/>
        <v>9407756.3325700667</v>
      </c>
      <c r="Z46" s="181">
        <f t="shared" si="6"/>
        <v>106.42100000000001</v>
      </c>
      <c r="AC46" t="str">
        <f t="shared" si="7"/>
        <v>PO 535308,799319234,9407756,33257007</v>
      </c>
      <c r="AI46" s="202"/>
      <c r="AJ46" s="202"/>
      <c r="AK46" s="193">
        <v>1.75</v>
      </c>
      <c r="AL46" s="202">
        <v>23</v>
      </c>
      <c r="AM46" s="202" t="s">
        <v>277</v>
      </c>
      <c r="AN46" s="9"/>
      <c r="AO46" s="5">
        <f t="shared" ref="AO46:AO59" si="15">MOD($K$58+AS46,360)</f>
        <v>49.831277777777814</v>
      </c>
      <c r="AP46" s="203">
        <v>375</v>
      </c>
      <c r="AQ46" s="197">
        <v>41</v>
      </c>
      <c r="AR46" s="203">
        <v>43</v>
      </c>
      <c r="AS46" s="5">
        <f t="shared" si="8"/>
        <v>375.69527777777779</v>
      </c>
      <c r="AT46" s="204">
        <v>89</v>
      </c>
      <c r="AU46" s="197">
        <v>29</v>
      </c>
      <c r="AV46" s="203">
        <v>59</v>
      </c>
      <c r="AW46" s="5">
        <f t="shared" si="9"/>
        <v>89.499722222222218</v>
      </c>
      <c r="AX46" s="206">
        <v>39.478999999999999</v>
      </c>
      <c r="AY46" s="207">
        <v>0.34499999999999997</v>
      </c>
      <c r="AZ46" s="207">
        <v>39.476999999999997</v>
      </c>
      <c r="BA46" s="5">
        <f t="shared" ref="BA46:BA59" si="16">AY46+$E$58-AK46</f>
        <v>3.499999999999992E-2</v>
      </c>
      <c r="BB46" s="200">
        <f t="shared" ref="BB46:BB59" si="17">$X$58+AZ46*SIN(RADIANS(AO46))</f>
        <v>535366.99389095337</v>
      </c>
      <c r="BC46" s="200">
        <f t="shared" ref="BC46:BC59" si="18">$Y$58+AZ46*COS(RADIANS(AO46))</f>
        <v>9407803.3920810279</v>
      </c>
      <c r="BD46" s="5">
        <f t="shared" ref="BD46:BD59" si="19">$Z$58+BA46</f>
        <v>107.658</v>
      </c>
      <c r="BE46" s="201"/>
    </row>
    <row r="47" spans="5:57" ht="14.25" customHeight="1" x14ac:dyDescent="0.3">
      <c r="E47" s="192"/>
      <c r="F47" s="192"/>
      <c r="G47" s="184">
        <v>1.75</v>
      </c>
      <c r="H47" s="192">
        <v>11</v>
      </c>
      <c r="I47" s="180" t="s">
        <v>278</v>
      </c>
      <c r="J47" s="180"/>
      <c r="K47" s="181">
        <f t="shared" si="3"/>
        <v>330.66127777777774</v>
      </c>
      <c r="L47" s="185">
        <v>260</v>
      </c>
      <c r="M47" s="185">
        <v>54</v>
      </c>
      <c r="N47" s="185">
        <v>55</v>
      </c>
      <c r="O47" s="181">
        <f t="shared" si="0"/>
        <v>260.91527777777776</v>
      </c>
      <c r="P47" s="185">
        <v>89</v>
      </c>
      <c r="Q47" s="185">
        <v>59</v>
      </c>
      <c r="R47" s="185">
        <v>47</v>
      </c>
      <c r="S47" s="181">
        <f t="shared" si="1"/>
        <v>89.996388888888887</v>
      </c>
      <c r="T47" s="186">
        <v>18.812999999999999</v>
      </c>
      <c r="U47" s="186">
        <v>1E-3</v>
      </c>
      <c r="V47" s="186">
        <v>18.812999999999999</v>
      </c>
      <c r="W47" s="181">
        <f t="shared" si="2"/>
        <v>-0.30900000000000016</v>
      </c>
      <c r="X47" s="182">
        <f t="shared" si="4"/>
        <v>535301.28916220553</v>
      </c>
      <c r="Y47" s="182">
        <f t="shared" si="5"/>
        <v>9407755.505013274</v>
      </c>
      <c r="Z47" s="181">
        <f t="shared" si="6"/>
        <v>106.477</v>
      </c>
      <c r="AC47" t="str">
        <f t="shared" si="7"/>
        <v>PO 535301,289162206,9407755,50501327</v>
      </c>
      <c r="AI47" s="202"/>
      <c r="AJ47" s="202"/>
      <c r="AK47" s="193">
        <v>1.75</v>
      </c>
      <c r="AL47" s="202">
        <v>24</v>
      </c>
      <c r="AM47" s="202" t="s">
        <v>279</v>
      </c>
      <c r="AN47" s="9"/>
      <c r="AO47" s="5">
        <f t="shared" si="15"/>
        <v>9.5179444444444243</v>
      </c>
      <c r="AP47" s="203">
        <v>335</v>
      </c>
      <c r="AQ47" s="197">
        <v>22</v>
      </c>
      <c r="AR47" s="203">
        <v>55</v>
      </c>
      <c r="AS47" s="5">
        <f t="shared" si="8"/>
        <v>335.38194444444446</v>
      </c>
      <c r="AT47" s="204">
        <v>89</v>
      </c>
      <c r="AU47" s="197">
        <v>5</v>
      </c>
      <c r="AV47" s="203">
        <v>15</v>
      </c>
      <c r="AW47" s="5">
        <f t="shared" si="9"/>
        <v>89.087499999999991</v>
      </c>
      <c r="AX47" s="206">
        <v>39.603999999999999</v>
      </c>
      <c r="AY47" s="207">
        <v>0.63100000000000001</v>
      </c>
      <c r="AZ47" s="207">
        <v>39.598999999999997</v>
      </c>
      <c r="BA47" s="5">
        <f t="shared" si="16"/>
        <v>0.32099999999999973</v>
      </c>
      <c r="BB47" s="200">
        <f t="shared" si="17"/>
        <v>535343.37556142127</v>
      </c>
      <c r="BC47" s="200">
        <f t="shared" si="18"/>
        <v>9407816.9816865735</v>
      </c>
      <c r="BD47" s="5">
        <f t="shared" si="19"/>
        <v>107.944</v>
      </c>
      <c r="BE47" s="201"/>
    </row>
    <row r="48" spans="5:57" ht="14.25" customHeight="1" x14ac:dyDescent="0.3">
      <c r="E48" s="192"/>
      <c r="F48" s="192"/>
      <c r="G48" s="184">
        <v>1.75</v>
      </c>
      <c r="H48" s="192">
        <v>12</v>
      </c>
      <c r="I48" s="180" t="s">
        <v>280</v>
      </c>
      <c r="J48" s="180"/>
      <c r="K48" s="181">
        <f t="shared" si="3"/>
        <v>335.91572222222226</v>
      </c>
      <c r="L48" s="185">
        <v>266</v>
      </c>
      <c r="M48" s="185">
        <v>10</v>
      </c>
      <c r="N48" s="185">
        <v>11</v>
      </c>
      <c r="O48" s="181">
        <f t="shared" si="0"/>
        <v>266.16972222222222</v>
      </c>
      <c r="P48" s="185">
        <v>89</v>
      </c>
      <c r="Q48" s="185">
        <v>49</v>
      </c>
      <c r="R48" s="185">
        <v>2</v>
      </c>
      <c r="S48" s="181">
        <f t="shared" si="1"/>
        <v>89.817222222222213</v>
      </c>
      <c r="T48" s="186">
        <v>22.196999999999999</v>
      </c>
      <c r="U48" s="186">
        <v>7.0999999999999994E-2</v>
      </c>
      <c r="V48" s="186">
        <v>22.196999999999999</v>
      </c>
      <c r="W48" s="181">
        <f t="shared" si="2"/>
        <v>-0.2390000000000001</v>
      </c>
      <c r="X48" s="182">
        <f t="shared" si="4"/>
        <v>535301.44884914637</v>
      </c>
      <c r="Y48" s="182">
        <f t="shared" si="5"/>
        <v>9407759.3696665931</v>
      </c>
      <c r="Z48" s="181">
        <f t="shared" si="6"/>
        <v>106.547</v>
      </c>
      <c r="AC48" t="str">
        <f t="shared" si="7"/>
        <v>PO 535301,448849146,9407759,36966659</v>
      </c>
      <c r="AI48" s="202"/>
      <c r="AJ48" s="202"/>
      <c r="AK48" s="193">
        <v>1.75</v>
      </c>
      <c r="AL48" s="202">
        <v>25</v>
      </c>
      <c r="AM48" s="202" t="s">
        <v>281</v>
      </c>
      <c r="AN48" s="9"/>
      <c r="AO48" s="5">
        <f t="shared" si="15"/>
        <v>19.135999999999967</v>
      </c>
      <c r="AP48" s="203">
        <v>345</v>
      </c>
      <c r="AQ48" s="197">
        <v>0</v>
      </c>
      <c r="AR48" s="203">
        <v>0</v>
      </c>
      <c r="AS48" s="5">
        <f t="shared" si="8"/>
        <v>345</v>
      </c>
      <c r="AT48" s="204">
        <v>89</v>
      </c>
      <c r="AU48" s="197">
        <v>3</v>
      </c>
      <c r="AV48" s="203">
        <v>47</v>
      </c>
      <c r="AW48" s="5">
        <f t="shared" si="9"/>
        <v>89.06305555555555</v>
      </c>
      <c r="AX48" s="206">
        <v>36.677999999999997</v>
      </c>
      <c r="AY48" s="207">
        <v>0.6</v>
      </c>
      <c r="AZ48" s="207">
        <v>36.673000000000002</v>
      </c>
      <c r="BA48" s="5">
        <f t="shared" si="16"/>
        <v>0.29000000000000004</v>
      </c>
      <c r="BB48" s="200">
        <f t="shared" si="17"/>
        <v>535348.84944314649</v>
      </c>
      <c r="BC48" s="200">
        <f t="shared" si="18"/>
        <v>9407812.5743766278</v>
      </c>
      <c r="BD48" s="5">
        <f t="shared" si="19"/>
        <v>107.91300000000001</v>
      </c>
      <c r="BE48" s="201"/>
    </row>
    <row r="49" spans="4:58" ht="14.25" customHeight="1" x14ac:dyDescent="0.3">
      <c r="E49" s="192"/>
      <c r="F49" s="192"/>
      <c r="G49" s="184">
        <v>1.75</v>
      </c>
      <c r="H49" s="180">
        <v>13</v>
      </c>
      <c r="I49" s="180" t="s">
        <v>282</v>
      </c>
      <c r="J49" s="180"/>
      <c r="K49" s="181">
        <f t="shared" si="3"/>
        <v>336.71183333333329</v>
      </c>
      <c r="L49" s="185">
        <v>266</v>
      </c>
      <c r="M49" s="185">
        <v>57</v>
      </c>
      <c r="N49" s="185">
        <v>57</v>
      </c>
      <c r="O49" s="181">
        <f t="shared" si="0"/>
        <v>266.96583333333331</v>
      </c>
      <c r="P49" s="185">
        <v>89</v>
      </c>
      <c r="Q49" s="185">
        <v>45</v>
      </c>
      <c r="R49" s="185">
        <v>40</v>
      </c>
      <c r="S49" s="181">
        <f t="shared" si="1"/>
        <v>89.761111111111106</v>
      </c>
      <c r="T49" s="186">
        <v>28.687999999999999</v>
      </c>
      <c r="U49" s="186">
        <v>0.12</v>
      </c>
      <c r="V49" s="186">
        <v>28.687999999999999</v>
      </c>
      <c r="W49" s="181">
        <f t="shared" si="2"/>
        <v>-0.18999999999999995</v>
      </c>
      <c r="X49" s="182">
        <f t="shared" si="4"/>
        <v>535299.16503261391</v>
      </c>
      <c r="Y49" s="182">
        <f t="shared" si="5"/>
        <v>9407765.455732815</v>
      </c>
      <c r="Z49" s="181">
        <f t="shared" si="6"/>
        <v>106.596</v>
      </c>
      <c r="AC49" t="str">
        <f t="shared" si="7"/>
        <v>PO 535299,165032614,9407765,45573281</v>
      </c>
      <c r="AI49" s="202"/>
      <c r="AJ49" s="202"/>
      <c r="AK49" s="193">
        <v>1.75</v>
      </c>
      <c r="AL49" s="202">
        <v>26</v>
      </c>
      <c r="AM49" s="202" t="s">
        <v>283</v>
      </c>
      <c r="AN49" s="9"/>
      <c r="AO49" s="5">
        <f t="shared" si="15"/>
        <v>19.424611111111062</v>
      </c>
      <c r="AP49" s="203">
        <v>345</v>
      </c>
      <c r="AQ49" s="197">
        <v>17</v>
      </c>
      <c r="AR49" s="203">
        <v>19</v>
      </c>
      <c r="AS49" s="5">
        <f t="shared" si="8"/>
        <v>345.28861111111115</v>
      </c>
      <c r="AT49" s="204">
        <v>88</v>
      </c>
      <c r="AU49" s="197">
        <v>41</v>
      </c>
      <c r="AV49" s="203">
        <v>4</v>
      </c>
      <c r="AW49" s="5">
        <f t="shared" si="9"/>
        <v>88.684444444444452</v>
      </c>
      <c r="AX49" s="206">
        <v>36.645000000000003</v>
      </c>
      <c r="AY49" s="207">
        <v>0.84099999999999997</v>
      </c>
      <c r="AZ49" s="207">
        <v>36.634999999999998</v>
      </c>
      <c r="BA49" s="5">
        <f t="shared" si="16"/>
        <v>0.53099999999999969</v>
      </c>
      <c r="BB49" s="200">
        <f t="shared" si="17"/>
        <v>535349.01117453899</v>
      </c>
      <c r="BC49" s="200">
        <f t="shared" si="18"/>
        <v>9407812.4775437471</v>
      </c>
      <c r="BD49" s="5">
        <f t="shared" si="19"/>
        <v>108.15400000000001</v>
      </c>
      <c r="BE49" s="201"/>
    </row>
    <row r="50" spans="4:58" ht="14.25" customHeight="1" x14ac:dyDescent="0.3">
      <c r="E50" s="192"/>
      <c r="F50" s="192"/>
      <c r="G50" s="184">
        <v>1.75</v>
      </c>
      <c r="H50" s="192">
        <v>14</v>
      </c>
      <c r="I50" s="180" t="s">
        <v>284</v>
      </c>
      <c r="J50" s="180"/>
      <c r="K50" s="181">
        <f t="shared" si="3"/>
        <v>341.52572222222227</v>
      </c>
      <c r="L50" s="185">
        <v>271</v>
      </c>
      <c r="M50" s="185">
        <v>46</v>
      </c>
      <c r="N50" s="185">
        <v>47</v>
      </c>
      <c r="O50" s="181">
        <f t="shared" si="0"/>
        <v>271.77972222222223</v>
      </c>
      <c r="P50" s="185">
        <v>89</v>
      </c>
      <c r="Q50" s="185">
        <v>36</v>
      </c>
      <c r="R50" s="185">
        <v>22</v>
      </c>
      <c r="S50" s="181">
        <f t="shared" si="1"/>
        <v>89.606111111111105</v>
      </c>
      <c r="T50" s="186">
        <v>28.76</v>
      </c>
      <c r="U50" s="186">
        <v>0.19700000000000001</v>
      </c>
      <c r="V50" s="186">
        <v>28.759</v>
      </c>
      <c r="W50" s="181">
        <f t="shared" si="2"/>
        <v>-0.11299999999999999</v>
      </c>
      <c r="X50" s="182">
        <f t="shared" si="4"/>
        <v>535301.39388010534</v>
      </c>
      <c r="Y50" s="182">
        <f t="shared" si="5"/>
        <v>9407766.3819339704</v>
      </c>
      <c r="Z50" s="181">
        <f t="shared" si="6"/>
        <v>106.673</v>
      </c>
      <c r="AC50" t="str">
        <f t="shared" si="7"/>
        <v>PO 535301,393880105,9407766,38193397</v>
      </c>
      <c r="AI50" s="202"/>
      <c r="AJ50" s="202"/>
      <c r="AK50" s="193">
        <v>1.75</v>
      </c>
      <c r="AL50" s="202">
        <v>27</v>
      </c>
      <c r="AM50" s="202" t="s">
        <v>285</v>
      </c>
      <c r="AN50" s="9"/>
      <c r="AO50" s="5">
        <f t="shared" si="15"/>
        <v>21.2548888888889</v>
      </c>
      <c r="AP50" s="203">
        <v>347</v>
      </c>
      <c r="AQ50" s="197">
        <v>7</v>
      </c>
      <c r="AR50" s="203">
        <v>8</v>
      </c>
      <c r="AS50" s="5">
        <f t="shared" si="8"/>
        <v>347.11888888888888</v>
      </c>
      <c r="AT50" s="204">
        <v>89</v>
      </c>
      <c r="AU50" s="197">
        <v>2</v>
      </c>
      <c r="AV50" s="203">
        <v>6</v>
      </c>
      <c r="AW50" s="5">
        <f t="shared" si="9"/>
        <v>89.034999999999997</v>
      </c>
      <c r="AX50" s="206">
        <v>36.219000000000001</v>
      </c>
      <c r="AY50" s="207">
        <v>0.61</v>
      </c>
      <c r="AZ50" s="207">
        <v>36.213999999999999</v>
      </c>
      <c r="BA50" s="5">
        <f t="shared" si="16"/>
        <v>0.29999999999999982</v>
      </c>
      <c r="BB50" s="200">
        <f t="shared" si="17"/>
        <v>535349.95582069876</v>
      </c>
      <c r="BC50" s="200">
        <f t="shared" si="18"/>
        <v>9407811.6784247812</v>
      </c>
      <c r="BD50" s="5">
        <f t="shared" si="19"/>
        <v>107.923</v>
      </c>
      <c r="BE50" s="201"/>
    </row>
    <row r="51" spans="4:58" ht="14.25" customHeight="1" x14ac:dyDescent="0.3">
      <c r="E51" s="192"/>
      <c r="F51" s="192"/>
      <c r="G51" s="184">
        <v>1.75</v>
      </c>
      <c r="H51" s="192">
        <v>15</v>
      </c>
      <c r="I51" s="192" t="s">
        <v>286</v>
      </c>
      <c r="J51" s="180"/>
      <c r="K51" s="181">
        <f t="shared" si="3"/>
        <v>350.55988888888896</v>
      </c>
      <c r="L51" s="185">
        <v>280</v>
      </c>
      <c r="M51" s="185">
        <v>48</v>
      </c>
      <c r="N51" s="185">
        <v>50</v>
      </c>
      <c r="O51" s="181">
        <f t="shared" si="0"/>
        <v>280.81388888888893</v>
      </c>
      <c r="P51" s="185">
        <v>87</v>
      </c>
      <c r="Q51" s="185">
        <v>9</v>
      </c>
      <c r="R51" s="185">
        <v>38</v>
      </c>
      <c r="S51" s="181">
        <f t="shared" si="1"/>
        <v>87.160555555555561</v>
      </c>
      <c r="T51" s="186">
        <v>29.53</v>
      </c>
      <c r="U51" s="186">
        <v>1.4630000000000001</v>
      </c>
      <c r="V51" s="186">
        <v>29.498999999999999</v>
      </c>
      <c r="W51" s="181">
        <f t="shared" si="2"/>
        <v>1.153</v>
      </c>
      <c r="X51" s="182">
        <f t="shared" si="4"/>
        <v>535305.66867453256</v>
      </c>
      <c r="Y51" s="182">
        <f t="shared" si="5"/>
        <v>9407768.2045121565</v>
      </c>
      <c r="Z51" s="181">
        <f t="shared" si="6"/>
        <v>107.93900000000001</v>
      </c>
      <c r="AC51" t="str">
        <f t="shared" si="7"/>
        <v>PO 535305,668674533,9407768,20451216</v>
      </c>
      <c r="AI51" s="202"/>
      <c r="AJ51" s="202"/>
      <c r="AK51" s="193">
        <v>1.75</v>
      </c>
      <c r="AL51" s="202">
        <v>28</v>
      </c>
      <c r="AM51" s="202" t="s">
        <v>287</v>
      </c>
      <c r="AN51" s="9"/>
      <c r="AO51" s="5">
        <f t="shared" si="15"/>
        <v>20.898500000000013</v>
      </c>
      <c r="AP51" s="203">
        <v>346</v>
      </c>
      <c r="AQ51" s="197">
        <v>45</v>
      </c>
      <c r="AR51" s="203">
        <v>45</v>
      </c>
      <c r="AS51" s="5">
        <f t="shared" si="8"/>
        <v>346.76249999999999</v>
      </c>
      <c r="AT51" s="204">
        <v>88</v>
      </c>
      <c r="AU51" s="197">
        <v>39</v>
      </c>
      <c r="AV51" s="203">
        <v>25</v>
      </c>
      <c r="AW51" s="5">
        <f t="shared" si="9"/>
        <v>88.656944444444449</v>
      </c>
      <c r="AX51" s="206">
        <v>36.323999999999998</v>
      </c>
      <c r="AY51" s="207">
        <v>0.84899999999999998</v>
      </c>
      <c r="AZ51" s="207">
        <v>36.249000000000002</v>
      </c>
      <c r="BA51" s="5">
        <f t="shared" si="16"/>
        <v>0.5389999999999997</v>
      </c>
      <c r="BB51" s="200">
        <f t="shared" si="17"/>
        <v>535349.75811886298</v>
      </c>
      <c r="BC51" s="200">
        <f t="shared" si="18"/>
        <v>9407811.7921283953</v>
      </c>
      <c r="BD51" s="5">
        <f t="shared" si="19"/>
        <v>108.16200000000001</v>
      </c>
      <c r="BE51" s="201"/>
    </row>
    <row r="52" spans="4:58" ht="14.25" customHeight="1" x14ac:dyDescent="0.35">
      <c r="D52" s="212"/>
      <c r="E52" s="192"/>
      <c r="F52" s="192"/>
      <c r="G52" s="184">
        <v>1.75</v>
      </c>
      <c r="H52" s="192">
        <v>16</v>
      </c>
      <c r="I52" s="192" t="s">
        <v>288</v>
      </c>
      <c r="J52" s="180"/>
      <c r="K52" s="181">
        <f t="shared" si="3"/>
        <v>340.2546111111111</v>
      </c>
      <c r="L52" s="185">
        <v>270</v>
      </c>
      <c r="M52" s="185">
        <v>30</v>
      </c>
      <c r="N52" s="185">
        <v>31</v>
      </c>
      <c r="O52" s="181">
        <f t="shared" si="0"/>
        <v>270.50861111111112</v>
      </c>
      <c r="P52" s="185">
        <v>89</v>
      </c>
      <c r="Q52" s="185">
        <v>41</v>
      </c>
      <c r="R52" s="185">
        <v>53</v>
      </c>
      <c r="S52" s="181">
        <f t="shared" si="1"/>
        <v>89.698055555555555</v>
      </c>
      <c r="T52" s="186">
        <v>42.334000000000003</v>
      </c>
      <c r="U52" s="186">
        <v>0.224</v>
      </c>
      <c r="V52" s="186">
        <v>42.332999999999998</v>
      </c>
      <c r="W52" s="181">
        <f t="shared" si="2"/>
        <v>-8.6000000000000076E-2</v>
      </c>
      <c r="X52" s="182">
        <f t="shared" si="4"/>
        <v>535296.20517813496</v>
      </c>
      <c r="Y52" s="182">
        <f t="shared" si="5"/>
        <v>9407778.9489553813</v>
      </c>
      <c r="Z52" s="181">
        <f t="shared" si="6"/>
        <v>106.7</v>
      </c>
      <c r="AA52" s="212"/>
      <c r="AB52" s="212"/>
      <c r="AC52" s="212" t="str">
        <f t="shared" si="7"/>
        <v>PO 535296,205178135,9407778,94895538</v>
      </c>
      <c r="AD52" s="212"/>
      <c r="AE52" s="212"/>
      <c r="AF52" s="212"/>
      <c r="AG52" s="212"/>
      <c r="AH52" s="212"/>
      <c r="AI52" s="202"/>
      <c r="AJ52" s="202"/>
      <c r="AK52" s="193">
        <v>1.75</v>
      </c>
      <c r="AL52" s="202">
        <v>28</v>
      </c>
      <c r="AM52" s="202" t="s">
        <v>289</v>
      </c>
      <c r="AN52" s="9"/>
      <c r="AO52" s="5">
        <f t="shared" si="15"/>
        <v>32.339888888888822</v>
      </c>
      <c r="AP52" s="203">
        <v>358</v>
      </c>
      <c r="AQ52" s="197">
        <v>12</v>
      </c>
      <c r="AR52" s="203">
        <v>14</v>
      </c>
      <c r="AS52" s="5">
        <f t="shared" si="8"/>
        <v>358.20388888888886</v>
      </c>
      <c r="AT52" s="204">
        <v>89</v>
      </c>
      <c r="AU52" s="197">
        <v>15</v>
      </c>
      <c r="AV52" s="203">
        <v>38</v>
      </c>
      <c r="AW52" s="5">
        <f t="shared" si="9"/>
        <v>89.260555555555555</v>
      </c>
      <c r="AX52" s="206">
        <v>35.267000000000003</v>
      </c>
      <c r="AY52" s="207">
        <v>0.42499999999999999</v>
      </c>
      <c r="AZ52" s="207">
        <v>35.264000000000003</v>
      </c>
      <c r="BA52" s="5">
        <f t="shared" si="16"/>
        <v>0.11499999999999999</v>
      </c>
      <c r="BB52" s="200">
        <f t="shared" si="17"/>
        <v>535355.69175799401</v>
      </c>
      <c r="BC52" s="200">
        <f t="shared" si="18"/>
        <v>9407807.7219993044</v>
      </c>
      <c r="BD52" s="5">
        <f t="shared" si="19"/>
        <v>107.738</v>
      </c>
      <c r="BE52" s="213"/>
      <c r="BF52" s="214"/>
    </row>
    <row r="53" spans="4:58" ht="14.25" customHeight="1" x14ac:dyDescent="0.35">
      <c r="D53" s="212"/>
      <c r="E53" s="192"/>
      <c r="F53" s="192"/>
      <c r="G53" s="184">
        <v>1.75</v>
      </c>
      <c r="H53" s="180">
        <v>17</v>
      </c>
      <c r="I53" s="180" t="s">
        <v>290</v>
      </c>
      <c r="J53" s="180"/>
      <c r="K53" s="181">
        <f t="shared" si="3"/>
        <v>345.62738888888896</v>
      </c>
      <c r="L53" s="185">
        <v>275</v>
      </c>
      <c r="M53" s="185">
        <v>52</v>
      </c>
      <c r="N53" s="185">
        <v>53</v>
      </c>
      <c r="O53" s="181">
        <f t="shared" si="0"/>
        <v>275.88138888888892</v>
      </c>
      <c r="P53" s="185">
        <v>89</v>
      </c>
      <c r="Q53" s="185">
        <v>35</v>
      </c>
      <c r="R53" s="185">
        <v>40</v>
      </c>
      <c r="S53" s="181">
        <f t="shared" si="1"/>
        <v>89.594444444444434</v>
      </c>
      <c r="T53" s="186">
        <v>42.584000000000003</v>
      </c>
      <c r="U53" s="186">
        <v>0.30199999999999999</v>
      </c>
      <c r="V53" s="186">
        <v>42.582999999999998</v>
      </c>
      <c r="W53" s="181">
        <f t="shared" si="2"/>
        <v>-8.0000000000000071E-3</v>
      </c>
      <c r="X53" s="182">
        <f t="shared" si="4"/>
        <v>535299.93675602286</v>
      </c>
      <c r="Y53" s="182">
        <f t="shared" si="5"/>
        <v>9407780.3552343175</v>
      </c>
      <c r="Z53" s="181">
        <f t="shared" si="6"/>
        <v>106.77800000000001</v>
      </c>
      <c r="AA53" s="212"/>
      <c r="AB53" s="212"/>
      <c r="AC53" s="212" t="str">
        <f t="shared" si="7"/>
        <v>PO 535299,936756023,9407780,35523432</v>
      </c>
      <c r="AD53" s="212"/>
      <c r="AE53" s="212"/>
      <c r="AF53" s="212"/>
      <c r="AG53" s="212"/>
      <c r="AH53" s="212"/>
      <c r="AI53" s="202"/>
      <c r="AJ53" s="202"/>
      <c r="AK53" s="193">
        <v>1.75</v>
      </c>
      <c r="AL53" s="202">
        <v>28</v>
      </c>
      <c r="AM53" s="202" t="s">
        <v>291</v>
      </c>
      <c r="AN53" s="9"/>
      <c r="AO53" s="5">
        <f t="shared" si="15"/>
        <v>32.712666666666564</v>
      </c>
      <c r="AP53" s="203">
        <v>358</v>
      </c>
      <c r="AQ53" s="197">
        <v>34</v>
      </c>
      <c r="AR53" s="203">
        <v>36</v>
      </c>
      <c r="AS53" s="5">
        <f t="shared" si="8"/>
        <v>358.57666666666665</v>
      </c>
      <c r="AT53" s="204">
        <v>88</v>
      </c>
      <c r="AU53" s="197">
        <v>48</v>
      </c>
      <c r="AV53" s="203">
        <v>45</v>
      </c>
      <c r="AW53" s="5">
        <f t="shared" si="9"/>
        <v>88.8125</v>
      </c>
      <c r="AX53" s="206">
        <v>35.270000000000003</v>
      </c>
      <c r="AY53" s="207">
        <v>0.73099999999999998</v>
      </c>
      <c r="AZ53" s="207">
        <v>35.262</v>
      </c>
      <c r="BA53" s="5">
        <f t="shared" si="16"/>
        <v>0.42099999999999982</v>
      </c>
      <c r="BB53" s="200">
        <f t="shared" si="17"/>
        <v>535355.88412343978</v>
      </c>
      <c r="BC53" s="200">
        <f t="shared" si="18"/>
        <v>9407807.5969528724</v>
      </c>
      <c r="BD53" s="5">
        <f t="shared" si="19"/>
        <v>108.04400000000001</v>
      </c>
      <c r="BE53" s="213"/>
      <c r="BF53" s="214"/>
    </row>
    <row r="54" spans="4:58" ht="14.25" customHeight="1" x14ac:dyDescent="0.3">
      <c r="E54" s="192"/>
      <c r="F54" s="192"/>
      <c r="G54" s="184">
        <v>1.75</v>
      </c>
      <c r="H54" s="192">
        <v>18</v>
      </c>
      <c r="I54" s="192" t="s">
        <v>292</v>
      </c>
      <c r="J54" s="180"/>
      <c r="K54" s="181">
        <f t="shared" si="3"/>
        <v>344.9662777777778</v>
      </c>
      <c r="L54" s="185">
        <v>275</v>
      </c>
      <c r="M54" s="185">
        <v>13</v>
      </c>
      <c r="N54" s="185">
        <v>13</v>
      </c>
      <c r="O54" s="181">
        <f t="shared" si="0"/>
        <v>275.22027777777777</v>
      </c>
      <c r="P54" s="185">
        <v>88</v>
      </c>
      <c r="Q54" s="185">
        <v>23</v>
      </c>
      <c r="R54" s="185">
        <v>18</v>
      </c>
      <c r="S54" s="181">
        <f t="shared" si="1"/>
        <v>88.388333333333335</v>
      </c>
      <c r="T54" s="186">
        <v>50.087000000000003</v>
      </c>
      <c r="U54" s="186">
        <v>1.409</v>
      </c>
      <c r="V54" s="186">
        <v>50.067</v>
      </c>
      <c r="W54" s="181">
        <f t="shared" si="2"/>
        <v>1.0990000000000002</v>
      </c>
      <c r="X54" s="182">
        <f t="shared" si="4"/>
        <v>535297.52024557558</v>
      </c>
      <c r="Y54" s="182">
        <f t="shared" si="5"/>
        <v>9407787.4583731871</v>
      </c>
      <c r="Z54" s="181">
        <f t="shared" si="6"/>
        <v>107.88500000000001</v>
      </c>
      <c r="AC54" t="str">
        <f t="shared" si="7"/>
        <v>PO 535297,520245576,9407787,45837319</v>
      </c>
      <c r="AI54" s="202"/>
      <c r="AJ54" s="202"/>
      <c r="AK54" s="193">
        <v>1.75</v>
      </c>
      <c r="AL54" s="202">
        <v>28</v>
      </c>
      <c r="AM54" s="202" t="s">
        <v>293</v>
      </c>
      <c r="AN54" s="9"/>
      <c r="AO54" s="5">
        <f t="shared" si="15"/>
        <v>32.91599999999994</v>
      </c>
      <c r="AP54" s="203">
        <v>358</v>
      </c>
      <c r="AQ54" s="197">
        <v>46</v>
      </c>
      <c r="AR54" s="203">
        <v>48</v>
      </c>
      <c r="AS54" s="5">
        <f t="shared" si="8"/>
        <v>358.78</v>
      </c>
      <c r="AT54" s="204">
        <v>48</v>
      </c>
      <c r="AU54" s="197">
        <v>6</v>
      </c>
      <c r="AV54" s="203">
        <v>16</v>
      </c>
      <c r="AW54" s="5">
        <f t="shared" si="9"/>
        <v>48.104444444444447</v>
      </c>
      <c r="AX54" s="206">
        <v>55.323999999999998</v>
      </c>
      <c r="AY54" s="207">
        <v>0.86499999999999999</v>
      </c>
      <c r="AZ54" s="207">
        <v>55.317</v>
      </c>
      <c r="BA54" s="5">
        <f t="shared" si="16"/>
        <v>0.55499999999999972</v>
      </c>
      <c r="BB54" s="200">
        <f t="shared" si="17"/>
        <v>535366.88735952426</v>
      </c>
      <c r="BC54" s="200">
        <f t="shared" si="18"/>
        <v>9407824.364671465</v>
      </c>
      <c r="BD54" s="5">
        <f t="shared" si="19"/>
        <v>108.178</v>
      </c>
      <c r="BE54" s="201"/>
      <c r="BF54" s="215"/>
    </row>
    <row r="55" spans="4:58" ht="14.25" customHeight="1" x14ac:dyDescent="0.3">
      <c r="E55" s="192"/>
      <c r="F55" s="192"/>
      <c r="G55" s="184">
        <v>1.75</v>
      </c>
      <c r="H55" s="180">
        <v>19</v>
      </c>
      <c r="I55" s="192" t="s">
        <v>294</v>
      </c>
      <c r="J55" s="180"/>
      <c r="K55" s="181">
        <f t="shared" si="3"/>
        <v>386.13572222222217</v>
      </c>
      <c r="L55" s="185">
        <v>316</v>
      </c>
      <c r="M55" s="185">
        <v>23</v>
      </c>
      <c r="N55" s="185">
        <v>23</v>
      </c>
      <c r="O55" s="181">
        <f t="shared" si="0"/>
        <v>316.38972222222219</v>
      </c>
      <c r="P55" s="185">
        <v>88</v>
      </c>
      <c r="Q55" s="185">
        <v>7</v>
      </c>
      <c r="R55" s="185">
        <v>20</v>
      </c>
      <c r="S55" s="181">
        <f t="shared" si="1"/>
        <v>88.12222222222222</v>
      </c>
      <c r="T55" s="186">
        <v>42.704999999999998</v>
      </c>
      <c r="U55" s="186">
        <v>1.4</v>
      </c>
      <c r="V55" s="186">
        <v>42.682000000000002</v>
      </c>
      <c r="W55" s="181">
        <f t="shared" si="2"/>
        <v>1.0899999999999999</v>
      </c>
      <c r="X55" s="182">
        <f t="shared" si="4"/>
        <v>535329.30837737559</v>
      </c>
      <c r="Y55" s="182">
        <f t="shared" si="5"/>
        <v>9407777.4228983354</v>
      </c>
      <c r="Z55" s="181">
        <f t="shared" si="6"/>
        <v>107.876</v>
      </c>
      <c r="AC55" t="str">
        <f t="shared" si="7"/>
        <v>PO 535329,308377376,9407777,42289834</v>
      </c>
      <c r="AI55" s="202"/>
      <c r="AJ55" s="202"/>
      <c r="AK55" s="193">
        <v>1.75</v>
      </c>
      <c r="AL55" s="202">
        <v>28</v>
      </c>
      <c r="AM55" s="202" t="s">
        <v>295</v>
      </c>
      <c r="AN55" s="9"/>
      <c r="AO55" s="5">
        <f t="shared" si="15"/>
        <v>33.136277777777764</v>
      </c>
      <c r="AP55" s="203">
        <v>359</v>
      </c>
      <c r="AQ55" s="197">
        <v>0</v>
      </c>
      <c r="AR55" s="203">
        <v>1</v>
      </c>
      <c r="AS55" s="5">
        <f t="shared" si="8"/>
        <v>359.0002777777778</v>
      </c>
      <c r="AT55" s="204">
        <v>88</v>
      </c>
      <c r="AU55" s="197">
        <v>47</v>
      </c>
      <c r="AV55" s="203">
        <v>36</v>
      </c>
      <c r="AW55" s="5">
        <f t="shared" si="9"/>
        <v>88.793333333333337</v>
      </c>
      <c r="AX55" s="206">
        <v>55.347000000000001</v>
      </c>
      <c r="AY55" s="207">
        <v>1.1659999999999999</v>
      </c>
      <c r="AZ55" s="207">
        <v>55.335000000000001</v>
      </c>
      <c r="BA55" s="5">
        <f t="shared" si="16"/>
        <v>0.85599999999999987</v>
      </c>
      <c r="BB55" s="200">
        <f t="shared" si="17"/>
        <v>535367.07550618588</v>
      </c>
      <c r="BC55" s="200">
        <f t="shared" si="18"/>
        <v>9407824.2638343871</v>
      </c>
      <c r="BD55" s="5">
        <f t="shared" si="19"/>
        <v>108.479</v>
      </c>
      <c r="BE55" s="201"/>
      <c r="BF55" s="215"/>
    </row>
    <row r="56" spans="4:58" ht="14.25" customHeight="1" x14ac:dyDescent="0.3">
      <c r="E56" s="192"/>
      <c r="F56" s="192"/>
      <c r="G56" s="184">
        <v>1.75</v>
      </c>
      <c r="H56" s="192">
        <v>20</v>
      </c>
      <c r="I56" s="192" t="s">
        <v>296</v>
      </c>
      <c r="J56" s="180"/>
      <c r="K56" s="181">
        <f t="shared" si="3"/>
        <v>386.27183333333335</v>
      </c>
      <c r="L56" s="185">
        <v>316</v>
      </c>
      <c r="M56" s="185">
        <v>31</v>
      </c>
      <c r="N56" s="185">
        <v>33</v>
      </c>
      <c r="O56" s="181">
        <f t="shared" si="0"/>
        <v>316.52583333333331</v>
      </c>
      <c r="P56" s="185">
        <v>88</v>
      </c>
      <c r="Q56" s="185">
        <v>27</v>
      </c>
      <c r="R56" s="185">
        <v>38</v>
      </c>
      <c r="S56" s="181">
        <f t="shared" si="1"/>
        <v>88.460555555555558</v>
      </c>
      <c r="T56" s="186">
        <v>42.677</v>
      </c>
      <c r="U56" s="186">
        <v>1.147</v>
      </c>
      <c r="V56" s="186">
        <v>42.661999999999999</v>
      </c>
      <c r="W56" s="181">
        <f t="shared" si="2"/>
        <v>0.83699999999999974</v>
      </c>
      <c r="X56" s="182">
        <f t="shared" si="4"/>
        <v>535329.3904991321</v>
      </c>
      <c r="Y56" s="182">
        <f t="shared" si="5"/>
        <v>9407777.3601918649</v>
      </c>
      <c r="Z56" s="181">
        <f t="shared" si="6"/>
        <v>107.623</v>
      </c>
      <c r="AC56" t="str">
        <f t="shared" si="7"/>
        <v>PO 535329,390499132,9407777,36019186</v>
      </c>
      <c r="AI56" s="202"/>
      <c r="AJ56" s="202"/>
      <c r="AK56" s="193">
        <v>1.75</v>
      </c>
      <c r="AL56" s="202">
        <v>28</v>
      </c>
      <c r="AM56" s="202" t="s">
        <v>297</v>
      </c>
      <c r="AN56" s="9"/>
      <c r="AO56" s="5">
        <f t="shared" si="15"/>
        <v>25.881555555555565</v>
      </c>
      <c r="AP56" s="203">
        <v>351</v>
      </c>
      <c r="AQ56" s="197">
        <v>44</v>
      </c>
      <c r="AR56" s="216">
        <v>44</v>
      </c>
      <c r="AS56" s="5">
        <f t="shared" si="8"/>
        <v>351.7455555555556</v>
      </c>
      <c r="AT56" s="204">
        <v>88</v>
      </c>
      <c r="AU56" s="197">
        <v>59</v>
      </c>
      <c r="AV56" s="203">
        <v>1</v>
      </c>
      <c r="AW56" s="5">
        <f t="shared" si="9"/>
        <v>88.983611111111117</v>
      </c>
      <c r="AX56" s="206">
        <v>56.139000000000003</v>
      </c>
      <c r="AY56" s="207">
        <v>0.996</v>
      </c>
      <c r="AZ56" s="207">
        <v>56.13</v>
      </c>
      <c r="BA56" s="5">
        <f t="shared" si="16"/>
        <v>0.68599999999999994</v>
      </c>
      <c r="BB56" s="200">
        <f t="shared" si="17"/>
        <v>535361.32903854363</v>
      </c>
      <c r="BC56" s="200">
        <f t="shared" si="18"/>
        <v>9407828.427880032</v>
      </c>
      <c r="BD56" s="5">
        <f t="shared" si="19"/>
        <v>108.309</v>
      </c>
      <c r="BE56" s="201"/>
      <c r="BF56" s="215"/>
    </row>
    <row r="57" spans="4:58" ht="14.25" customHeight="1" x14ac:dyDescent="0.3">
      <c r="E57" s="192"/>
      <c r="F57" s="192"/>
      <c r="G57" s="184">
        <v>1.75</v>
      </c>
      <c r="H57" s="192">
        <v>21</v>
      </c>
      <c r="I57" s="192" t="s">
        <v>298</v>
      </c>
      <c r="J57" s="180"/>
      <c r="K57" s="181">
        <f t="shared" si="3"/>
        <v>388.39016666666669</v>
      </c>
      <c r="L57" s="185">
        <v>318</v>
      </c>
      <c r="M57" s="185">
        <v>38</v>
      </c>
      <c r="N57" s="185">
        <v>39</v>
      </c>
      <c r="O57" s="181">
        <f t="shared" si="0"/>
        <v>318.64416666666665</v>
      </c>
      <c r="P57" s="185">
        <v>88</v>
      </c>
      <c r="Q57" s="185">
        <v>25</v>
      </c>
      <c r="R57" s="185">
        <v>39</v>
      </c>
      <c r="S57" s="181">
        <f t="shared" si="1"/>
        <v>88.427500000000009</v>
      </c>
      <c r="T57" s="186">
        <v>41.149000000000001</v>
      </c>
      <c r="U57" s="186">
        <v>1.1299999999999999</v>
      </c>
      <c r="V57" s="186">
        <v>41.133000000000003</v>
      </c>
      <c r="W57" s="181">
        <f t="shared" si="2"/>
        <v>0.81999999999999984</v>
      </c>
      <c r="X57" s="182">
        <f t="shared" si="4"/>
        <v>535330.0646405021</v>
      </c>
      <c r="Y57" s="182">
        <f t="shared" si="5"/>
        <v>9407775.2909418419</v>
      </c>
      <c r="Z57" s="181">
        <f t="shared" si="6"/>
        <v>107.60599999999999</v>
      </c>
      <c r="AC57" t="str">
        <f t="shared" si="7"/>
        <v>PO 535330,064640502,9407775,29094184</v>
      </c>
      <c r="AI57" s="202"/>
      <c r="AJ57" s="202"/>
      <c r="AK57" s="193">
        <v>1.75</v>
      </c>
      <c r="AL57" s="202">
        <v>28</v>
      </c>
      <c r="AM57" s="202" t="s">
        <v>299</v>
      </c>
      <c r="AN57" s="9"/>
      <c r="AO57" s="5">
        <f t="shared" si="15"/>
        <v>25.679333333333261</v>
      </c>
      <c r="AP57" s="203">
        <v>351</v>
      </c>
      <c r="AQ57" s="197">
        <v>32</v>
      </c>
      <c r="AR57" s="203">
        <v>36</v>
      </c>
      <c r="AS57" s="5">
        <f t="shared" si="8"/>
        <v>351.54333333333335</v>
      </c>
      <c r="AT57" s="204">
        <v>88</v>
      </c>
      <c r="AU57" s="197">
        <v>43</v>
      </c>
      <c r="AV57" s="203">
        <v>29</v>
      </c>
      <c r="AW57" s="5">
        <f t="shared" si="9"/>
        <v>88.724722222222226</v>
      </c>
      <c r="AX57" s="206">
        <v>56.085000000000001</v>
      </c>
      <c r="AY57" s="207">
        <v>1.248</v>
      </c>
      <c r="AZ57" s="207">
        <v>56.070999999999998</v>
      </c>
      <c r="BA57" s="5">
        <f t="shared" si="16"/>
        <v>0.93799999999999972</v>
      </c>
      <c r="BB57" s="200">
        <f t="shared" si="17"/>
        <v>535361.12508245651</v>
      </c>
      <c r="BC57" s="200">
        <f t="shared" si="18"/>
        <v>9407828.4608689565</v>
      </c>
      <c r="BD57" s="5">
        <f t="shared" si="19"/>
        <v>108.56100000000001</v>
      </c>
      <c r="BE57" s="201"/>
      <c r="BF57" s="215"/>
    </row>
    <row r="58" spans="4:58" ht="14.25" customHeight="1" x14ac:dyDescent="0.35">
      <c r="D58" s="212"/>
      <c r="E58" s="180">
        <v>1.44</v>
      </c>
      <c r="F58" s="180"/>
      <c r="G58" s="184">
        <v>1.75</v>
      </c>
      <c r="H58" s="180" t="s">
        <v>300</v>
      </c>
      <c r="I58" s="192" t="s">
        <v>301</v>
      </c>
      <c r="J58" s="180"/>
      <c r="K58" s="181">
        <f t="shared" si="3"/>
        <v>394.13599999999997</v>
      </c>
      <c r="L58" s="185">
        <v>324</v>
      </c>
      <c r="M58" s="185">
        <v>23</v>
      </c>
      <c r="N58" s="185">
        <v>24</v>
      </c>
      <c r="O58" s="181">
        <f t="shared" si="0"/>
        <v>324.39</v>
      </c>
      <c r="P58" s="185">
        <v>88</v>
      </c>
      <c r="Q58" s="185">
        <v>35</v>
      </c>
      <c r="R58" s="185">
        <v>54</v>
      </c>
      <c r="S58" s="181">
        <f t="shared" si="1"/>
        <v>88.598333333333329</v>
      </c>
      <c r="T58" s="186">
        <v>46.917999999999999</v>
      </c>
      <c r="U58" s="186">
        <v>1.147</v>
      </c>
      <c r="V58" s="186">
        <v>46.904000000000003</v>
      </c>
      <c r="W58" s="181">
        <f>U58+E58-G58</f>
        <v>0.83699999999999974</v>
      </c>
      <c r="X58" s="182">
        <f t="shared" si="4"/>
        <v>535336.827609687</v>
      </c>
      <c r="Y58" s="182">
        <f t="shared" si="5"/>
        <v>9407777.9278118741</v>
      </c>
      <c r="Z58" s="181">
        <f t="shared" si="6"/>
        <v>107.623</v>
      </c>
      <c r="AA58" s="212"/>
      <c r="AB58" s="212"/>
      <c r="AC58" s="212" t="str">
        <f t="shared" si="7"/>
        <v>PO 535336,827609687,9407777,92781187</v>
      </c>
      <c r="AD58" s="212"/>
      <c r="AE58" s="212"/>
      <c r="AF58" s="212"/>
      <c r="AG58" s="212"/>
      <c r="AH58" s="212"/>
      <c r="AI58" s="202"/>
      <c r="AJ58" s="202"/>
      <c r="AK58" s="193">
        <v>1.75</v>
      </c>
      <c r="AL58" s="202">
        <v>28</v>
      </c>
      <c r="AM58" s="202" t="s">
        <v>302</v>
      </c>
      <c r="AN58" s="9"/>
      <c r="AO58" s="5">
        <f t="shared" si="15"/>
        <v>24.458499999999958</v>
      </c>
      <c r="AP58" s="203">
        <v>350</v>
      </c>
      <c r="AQ58" s="197">
        <v>19</v>
      </c>
      <c r="AR58" s="203">
        <v>21</v>
      </c>
      <c r="AS58" s="5">
        <f t="shared" si="8"/>
        <v>350.32249999999999</v>
      </c>
      <c r="AT58" s="204">
        <v>88</v>
      </c>
      <c r="AU58" s="197">
        <v>57</v>
      </c>
      <c r="AV58" s="203">
        <v>11</v>
      </c>
      <c r="AW58" s="5">
        <f t="shared" si="9"/>
        <v>88.953055555555565</v>
      </c>
      <c r="AX58" s="206">
        <v>56.347999999999999</v>
      </c>
      <c r="AY58" s="207">
        <v>1.03</v>
      </c>
      <c r="AZ58" s="207">
        <v>56.338999999999999</v>
      </c>
      <c r="BA58" s="5">
        <f t="shared" si="16"/>
        <v>0.71999999999999975</v>
      </c>
      <c r="BB58" s="200">
        <f t="shared" si="17"/>
        <v>535360.15387337608</v>
      </c>
      <c r="BC58" s="200">
        <f t="shared" si="18"/>
        <v>9407829.2110288497</v>
      </c>
      <c r="BD58" s="5">
        <f t="shared" si="19"/>
        <v>108.343</v>
      </c>
      <c r="BE58" s="213"/>
      <c r="BF58" s="214"/>
    </row>
    <row r="59" spans="4:58" ht="14.25" customHeight="1" x14ac:dyDescent="0.3">
      <c r="E59" s="192"/>
      <c r="F59" s="192"/>
      <c r="G59" s="184">
        <v>1.75</v>
      </c>
      <c r="H59" s="192">
        <v>22</v>
      </c>
      <c r="I59" s="192" t="s">
        <v>303</v>
      </c>
      <c r="J59" s="180"/>
      <c r="K59" s="181">
        <f t="shared" si="3"/>
        <v>392.03433333333339</v>
      </c>
      <c r="L59" s="185">
        <v>322</v>
      </c>
      <c r="M59" s="185">
        <v>17</v>
      </c>
      <c r="N59" s="185">
        <v>18</v>
      </c>
      <c r="O59" s="181">
        <f t="shared" si="0"/>
        <v>322.28833333333336</v>
      </c>
      <c r="P59" s="185">
        <v>88</v>
      </c>
      <c r="Q59" s="185">
        <v>23</v>
      </c>
      <c r="R59" s="185">
        <v>19</v>
      </c>
      <c r="S59" s="181">
        <f t="shared" si="1"/>
        <v>88.388611111111118</v>
      </c>
      <c r="T59" s="186">
        <v>48.218000000000004</v>
      </c>
      <c r="U59" s="186">
        <v>1.359</v>
      </c>
      <c r="V59" s="186">
        <v>48.198999999999998</v>
      </c>
      <c r="W59" s="181">
        <f t="shared" ref="W59:W82" si="20">U59+$E$58-G59</f>
        <v>1.0489999999999999</v>
      </c>
      <c r="X59" s="182">
        <f t="shared" ref="X59:X82" si="21">$X$58+V59*SIN(RADIANS(K59))</f>
        <v>535362.39367727307</v>
      </c>
      <c r="Y59" s="182">
        <f t="shared" ref="Y59:Y82" si="22">$Y$58+V59*COS(RADIANS(K59))</f>
        <v>9407818.7875694502</v>
      </c>
      <c r="Z59" s="181">
        <f t="shared" ref="Z59:Z82" si="23">$Z$58+W59</f>
        <v>108.67200000000001</v>
      </c>
      <c r="AC59" t="str">
        <f t="shared" si="7"/>
        <v>PO 535362,393677273,9407818,78756945</v>
      </c>
      <c r="AI59" s="202"/>
      <c r="AJ59" s="202"/>
      <c r="AK59" s="193">
        <v>1.75</v>
      </c>
      <c r="AL59" s="202">
        <v>28</v>
      </c>
      <c r="AM59" s="202" t="s">
        <v>304</v>
      </c>
      <c r="AN59" s="9"/>
      <c r="AO59" s="5">
        <f t="shared" si="15"/>
        <v>24.678777777777782</v>
      </c>
      <c r="AP59" s="203">
        <v>350</v>
      </c>
      <c r="AQ59" s="197">
        <v>32</v>
      </c>
      <c r="AR59" s="203">
        <v>34</v>
      </c>
      <c r="AS59" s="5">
        <f t="shared" si="8"/>
        <v>350.54277777777781</v>
      </c>
      <c r="AT59" s="204">
        <v>88</v>
      </c>
      <c r="AU59" s="197">
        <v>45</v>
      </c>
      <c r="AV59" s="203">
        <v>2</v>
      </c>
      <c r="AW59" s="5">
        <f t="shared" si="9"/>
        <v>88.75055555555555</v>
      </c>
      <c r="AX59" s="206">
        <v>56.378</v>
      </c>
      <c r="AY59" s="207">
        <v>1.23</v>
      </c>
      <c r="AZ59" s="207">
        <v>56.365000000000002</v>
      </c>
      <c r="BA59" s="5">
        <f t="shared" si="16"/>
        <v>0.91999999999999993</v>
      </c>
      <c r="BB59" s="200">
        <f t="shared" si="17"/>
        <v>535360.36171834008</v>
      </c>
      <c r="BC59" s="200">
        <f t="shared" si="18"/>
        <v>9407829.1445957925</v>
      </c>
      <c r="BD59" s="5">
        <f t="shared" si="19"/>
        <v>108.54300000000001</v>
      </c>
      <c r="BE59" s="201"/>
      <c r="BF59" s="215"/>
    </row>
    <row r="60" spans="4:58" ht="14.25" customHeight="1" x14ac:dyDescent="0.3">
      <c r="E60" s="192"/>
      <c r="F60" s="192"/>
      <c r="G60" s="184">
        <v>1.75</v>
      </c>
      <c r="H60" s="192">
        <v>23</v>
      </c>
      <c r="I60" s="192" t="s">
        <v>277</v>
      </c>
      <c r="J60" s="180"/>
      <c r="K60" s="181">
        <f t="shared" si="3"/>
        <v>445.44127777777783</v>
      </c>
      <c r="L60" s="185">
        <v>375</v>
      </c>
      <c r="M60" s="185">
        <v>41</v>
      </c>
      <c r="N60" s="185">
        <v>43</v>
      </c>
      <c r="O60" s="181">
        <f t="shared" si="0"/>
        <v>375.69527777777779</v>
      </c>
      <c r="P60" s="185">
        <v>89</v>
      </c>
      <c r="Q60" s="185">
        <v>29</v>
      </c>
      <c r="R60" s="185">
        <v>59</v>
      </c>
      <c r="S60" s="181">
        <f t="shared" si="1"/>
        <v>89.499722222222218</v>
      </c>
      <c r="T60" s="186">
        <v>39.478999999999999</v>
      </c>
      <c r="U60" s="186">
        <v>0.34499999999999997</v>
      </c>
      <c r="V60" s="186">
        <v>39.476999999999997</v>
      </c>
      <c r="W60" s="181">
        <f t="shared" si="20"/>
        <v>3.499999999999992E-2</v>
      </c>
      <c r="X60" s="182">
        <f t="shared" si="21"/>
        <v>535376.17972016043</v>
      </c>
      <c r="Y60" s="182">
        <f t="shared" si="22"/>
        <v>9407781.0654750615</v>
      </c>
      <c r="Z60" s="181">
        <f t="shared" si="23"/>
        <v>107.658</v>
      </c>
      <c r="AC60" t="str">
        <f t="shared" si="7"/>
        <v>PO 535376,17972016,9407781,06547506</v>
      </c>
      <c r="AI60" s="202"/>
      <c r="AJ60" s="202"/>
      <c r="AK60" s="193"/>
      <c r="AL60" s="202"/>
      <c r="AM60" s="202"/>
      <c r="AN60" s="9"/>
      <c r="AO60" s="5"/>
      <c r="AP60" s="203"/>
      <c r="AQ60" s="197"/>
      <c r="AR60" s="203"/>
      <c r="AS60" s="5"/>
      <c r="AT60" s="204"/>
      <c r="AU60" s="197"/>
      <c r="AV60" s="203"/>
      <c r="AW60" s="5"/>
      <c r="AX60" s="206"/>
      <c r="AY60" s="207"/>
      <c r="AZ60" s="207"/>
      <c r="BA60" s="201"/>
      <c r="BB60" s="201"/>
      <c r="BC60" s="201"/>
      <c r="BD60" s="201"/>
      <c r="BE60" s="201"/>
      <c r="BF60" s="215"/>
    </row>
    <row r="61" spans="4:58" ht="14.25" customHeight="1" x14ac:dyDescent="0.35">
      <c r="E61" s="192"/>
      <c r="F61" s="192"/>
      <c r="G61" s="184">
        <v>1.75</v>
      </c>
      <c r="H61" s="192">
        <v>24</v>
      </c>
      <c r="I61" s="192" t="s">
        <v>279</v>
      </c>
      <c r="J61" s="180"/>
      <c r="K61" s="181">
        <f t="shared" si="3"/>
        <v>405.12794444444444</v>
      </c>
      <c r="L61" s="185">
        <v>335</v>
      </c>
      <c r="M61" s="185">
        <v>22</v>
      </c>
      <c r="N61" s="185">
        <v>55</v>
      </c>
      <c r="O61" s="181">
        <f t="shared" si="0"/>
        <v>335.38194444444446</v>
      </c>
      <c r="P61" s="185">
        <v>89</v>
      </c>
      <c r="Q61" s="185">
        <v>5</v>
      </c>
      <c r="R61" s="185">
        <v>15</v>
      </c>
      <c r="S61" s="181">
        <f t="shared" si="1"/>
        <v>89.087499999999991</v>
      </c>
      <c r="T61" s="186">
        <v>39.603999999999999</v>
      </c>
      <c r="U61" s="186">
        <v>0.63100000000000001</v>
      </c>
      <c r="V61" s="186">
        <v>39.598999999999997</v>
      </c>
      <c r="W61" s="181">
        <f t="shared" si="20"/>
        <v>0.32099999999999973</v>
      </c>
      <c r="X61" s="182">
        <f t="shared" si="21"/>
        <v>535364.89078831195</v>
      </c>
      <c r="Y61" s="182">
        <f t="shared" si="22"/>
        <v>9407805.8659364786</v>
      </c>
      <c r="Z61" s="181">
        <f t="shared" si="23"/>
        <v>107.944</v>
      </c>
      <c r="AC61" t="str">
        <f t="shared" si="7"/>
        <v>PO 535364,890788312,9407805,86593648</v>
      </c>
      <c r="AI61" s="217"/>
      <c r="AJ61" s="217"/>
      <c r="AK61" s="218">
        <v>1.56</v>
      </c>
      <c r="AL61" s="217"/>
      <c r="AM61" s="217" t="s">
        <v>305</v>
      </c>
      <c r="AN61" s="217"/>
      <c r="AO61" s="5">
        <f t="shared" ref="AO61:AO101" si="24">MOD($K$102+AS61,360)</f>
        <v>57.482500000000002</v>
      </c>
      <c r="AP61" s="219">
        <v>57</v>
      </c>
      <c r="AQ61" s="219">
        <v>28</v>
      </c>
      <c r="AR61" s="219">
        <v>57</v>
      </c>
      <c r="AS61" s="5">
        <f t="shared" ref="AS61:AS101" si="25">AP61+(AQ61/60)+(AR61/3600)</f>
        <v>57.482500000000002</v>
      </c>
      <c r="AT61" s="219">
        <v>89</v>
      </c>
      <c r="AU61" s="219">
        <v>26</v>
      </c>
      <c r="AV61" s="219">
        <v>51</v>
      </c>
      <c r="AW61" s="5">
        <f t="shared" ref="AW61:AW101" si="26">AT61+(AU61/60)+(AV61/3600)</f>
        <v>89.447500000000005</v>
      </c>
      <c r="AX61" s="220">
        <v>34.036000000000001</v>
      </c>
      <c r="AY61" s="221">
        <v>24.344000000000001</v>
      </c>
      <c r="AZ61" s="221">
        <v>0.23499999999999999</v>
      </c>
      <c r="BA61" s="221">
        <v>24.343</v>
      </c>
      <c r="BB61" s="200">
        <v>535310.50699999998</v>
      </c>
      <c r="BC61" s="200">
        <v>9407739.1050000004</v>
      </c>
      <c r="BD61" s="222">
        <v>106.786</v>
      </c>
      <c r="BE61" s="201"/>
    </row>
    <row r="62" spans="4:58" ht="14.25" customHeight="1" x14ac:dyDescent="0.3">
      <c r="E62" s="192"/>
      <c r="F62" s="192"/>
      <c r="G62" s="184">
        <v>1.75</v>
      </c>
      <c r="H62" s="192">
        <v>25</v>
      </c>
      <c r="I62" s="192" t="s">
        <v>281</v>
      </c>
      <c r="J62" s="180"/>
      <c r="K62" s="181">
        <f t="shared" si="3"/>
        <v>414.74599999999998</v>
      </c>
      <c r="L62" s="185">
        <v>345</v>
      </c>
      <c r="M62" s="185">
        <v>0</v>
      </c>
      <c r="N62" s="185">
        <v>0</v>
      </c>
      <c r="O62" s="181">
        <f t="shared" si="0"/>
        <v>345</v>
      </c>
      <c r="P62" s="185">
        <v>89</v>
      </c>
      <c r="Q62" s="185">
        <v>3</v>
      </c>
      <c r="R62" s="185">
        <v>47</v>
      </c>
      <c r="S62" s="181">
        <f t="shared" si="1"/>
        <v>89.06305555555555</v>
      </c>
      <c r="T62" s="186">
        <v>36.677999999999997</v>
      </c>
      <c r="U62" s="186">
        <v>0.6</v>
      </c>
      <c r="V62" s="186">
        <v>36.673000000000002</v>
      </c>
      <c r="W62" s="181">
        <f t="shared" si="20"/>
        <v>0.29000000000000004</v>
      </c>
      <c r="X62" s="182">
        <f t="shared" si="21"/>
        <v>535366.7748277256</v>
      </c>
      <c r="Y62" s="182">
        <f t="shared" si="22"/>
        <v>9407799.0955481902</v>
      </c>
      <c r="Z62" s="181">
        <f t="shared" si="23"/>
        <v>107.91300000000001</v>
      </c>
      <c r="AC62" t="str">
        <f t="shared" si="7"/>
        <v>PO 535366,774827726,9407799,09554819</v>
      </c>
      <c r="AI62" s="217"/>
      <c r="AJ62" s="217"/>
      <c r="AK62" s="218">
        <v>1.56</v>
      </c>
      <c r="AL62" s="217"/>
      <c r="AM62" s="217" t="s">
        <v>306</v>
      </c>
      <c r="AN62" s="217"/>
      <c r="AO62" s="5">
        <f t="shared" si="24"/>
        <v>55.389722222222218</v>
      </c>
      <c r="AP62" s="219">
        <v>55</v>
      </c>
      <c r="AQ62" s="219">
        <v>23</v>
      </c>
      <c r="AR62" s="219">
        <v>23</v>
      </c>
      <c r="AS62" s="5">
        <f t="shared" si="25"/>
        <v>55.389722222222218</v>
      </c>
      <c r="AT62" s="219">
        <v>90</v>
      </c>
      <c r="AU62" s="219">
        <v>59</v>
      </c>
      <c r="AV62" s="219">
        <v>33</v>
      </c>
      <c r="AW62" s="5">
        <f t="shared" si="26"/>
        <v>90.992500000000007</v>
      </c>
      <c r="AX62" s="220">
        <v>34.036000000000001</v>
      </c>
      <c r="AY62" s="221">
        <v>12.057</v>
      </c>
      <c r="AZ62" s="221">
        <v>-0.20899999999999999</v>
      </c>
      <c r="BA62" s="221">
        <v>12.055</v>
      </c>
      <c r="BB62" s="43">
        <f t="shared" ref="BB62:BB101" si="27">$X$102+AZ62*SIN(RADIANS(AO62))</f>
        <v>535310.33498579054</v>
      </c>
      <c r="BC62" s="43">
        <f t="shared" ref="BC62:BC101" si="28">$Y$102+AZ62*COS(RADIANS(AO62))</f>
        <v>9407738.9862897992</v>
      </c>
      <c r="BD62" s="5">
        <f t="shared" ref="BD62:BD101" si="29">$Z$58+BA62</f>
        <v>119.678</v>
      </c>
      <c r="BE62" s="201"/>
    </row>
    <row r="63" spans="4:58" ht="14.25" customHeight="1" x14ac:dyDescent="0.3">
      <c r="E63" s="192"/>
      <c r="F63" s="192"/>
      <c r="G63" s="184">
        <v>1.75</v>
      </c>
      <c r="H63" s="192">
        <v>26</v>
      </c>
      <c r="I63" s="192" t="s">
        <v>283</v>
      </c>
      <c r="J63" s="180"/>
      <c r="K63" s="181">
        <f t="shared" si="3"/>
        <v>415.03461111111119</v>
      </c>
      <c r="L63" s="185">
        <v>345</v>
      </c>
      <c r="M63" s="185">
        <v>17</v>
      </c>
      <c r="N63" s="185">
        <v>19</v>
      </c>
      <c r="O63" s="181">
        <f t="shared" si="0"/>
        <v>345.28861111111115</v>
      </c>
      <c r="P63" s="185">
        <v>88</v>
      </c>
      <c r="Q63" s="185">
        <v>41</v>
      </c>
      <c r="R63" s="185">
        <v>4</v>
      </c>
      <c r="S63" s="181">
        <f t="shared" si="1"/>
        <v>88.684444444444452</v>
      </c>
      <c r="T63" s="186">
        <v>36.645000000000003</v>
      </c>
      <c r="U63" s="186">
        <v>0.84099999999999997</v>
      </c>
      <c r="V63" s="186">
        <v>36.634999999999998</v>
      </c>
      <c r="W63" s="181">
        <f t="shared" si="20"/>
        <v>0.53099999999999969</v>
      </c>
      <c r="X63" s="182">
        <f t="shared" si="21"/>
        <v>535366.84993282473</v>
      </c>
      <c r="Y63" s="182">
        <f t="shared" si="22"/>
        <v>9407798.922652632</v>
      </c>
      <c r="Z63" s="181">
        <f t="shared" si="23"/>
        <v>108.15400000000001</v>
      </c>
      <c r="AC63" t="str">
        <f t="shared" si="7"/>
        <v>PO 535366,849932825,9407798,92265263</v>
      </c>
      <c r="AI63" s="217"/>
      <c r="AJ63" s="217"/>
      <c r="AK63" s="218">
        <v>1.56</v>
      </c>
      <c r="AL63" s="217"/>
      <c r="AM63" s="217" t="s">
        <v>307</v>
      </c>
      <c r="AN63" s="217"/>
      <c r="AO63" s="5">
        <f t="shared" si="24"/>
        <v>40.727777777777781</v>
      </c>
      <c r="AP63" s="223">
        <v>40</v>
      </c>
      <c r="AQ63" s="219">
        <v>43</v>
      </c>
      <c r="AR63" s="219">
        <v>40</v>
      </c>
      <c r="AS63" s="5">
        <f t="shared" si="25"/>
        <v>40.727777777777781</v>
      </c>
      <c r="AT63" s="219">
        <v>90</v>
      </c>
      <c r="AU63" s="219">
        <v>59</v>
      </c>
      <c r="AV63" s="219">
        <v>36</v>
      </c>
      <c r="AW63" s="5">
        <f t="shared" si="26"/>
        <v>90.993333333333339</v>
      </c>
      <c r="AX63" s="220">
        <v>34.036000000000001</v>
      </c>
      <c r="AY63" s="221">
        <v>8.9440000000000008</v>
      </c>
      <c r="AZ63" s="221">
        <v>-0.155</v>
      </c>
      <c r="BA63" s="221">
        <v>8.9440000000000008</v>
      </c>
      <c r="BB63" s="43">
        <f t="shared" si="27"/>
        <v>535310.40586778836</v>
      </c>
      <c r="BC63" s="43">
        <f t="shared" si="28"/>
        <v>9407738.9875381943</v>
      </c>
      <c r="BD63" s="5">
        <f t="shared" si="29"/>
        <v>116.56700000000001</v>
      </c>
      <c r="BE63" s="201"/>
    </row>
    <row r="64" spans="4:58" ht="14.25" customHeight="1" x14ac:dyDescent="0.3">
      <c r="E64" s="192"/>
      <c r="F64" s="192"/>
      <c r="G64" s="184">
        <v>1.75</v>
      </c>
      <c r="H64" s="192">
        <v>27</v>
      </c>
      <c r="I64" s="192" t="s">
        <v>285</v>
      </c>
      <c r="J64" s="180"/>
      <c r="K64" s="181">
        <f t="shared" si="3"/>
        <v>416.86488888888891</v>
      </c>
      <c r="L64" s="185">
        <v>347</v>
      </c>
      <c r="M64" s="185">
        <v>7</v>
      </c>
      <c r="N64" s="185">
        <v>8</v>
      </c>
      <c r="O64" s="181">
        <f t="shared" si="0"/>
        <v>347.11888888888888</v>
      </c>
      <c r="P64" s="185">
        <v>89</v>
      </c>
      <c r="Q64" s="185">
        <v>2</v>
      </c>
      <c r="R64" s="185">
        <v>6</v>
      </c>
      <c r="S64" s="181">
        <f t="shared" si="1"/>
        <v>89.034999999999997</v>
      </c>
      <c r="T64" s="186">
        <v>36.219000000000001</v>
      </c>
      <c r="U64" s="186">
        <v>0.61</v>
      </c>
      <c r="V64" s="186">
        <v>36.213999999999999</v>
      </c>
      <c r="W64" s="181">
        <f t="shared" si="20"/>
        <v>0.29999999999999982</v>
      </c>
      <c r="X64" s="182">
        <f t="shared" si="21"/>
        <v>535367.15263044485</v>
      </c>
      <c r="Y64" s="182">
        <f t="shared" si="22"/>
        <v>9407797.7229353152</v>
      </c>
      <c r="Z64" s="181">
        <f t="shared" si="23"/>
        <v>107.923</v>
      </c>
      <c r="AC64" t="str">
        <f t="shared" si="7"/>
        <v>PO 535367,152630445,9407797,72293532</v>
      </c>
      <c r="AI64" s="217"/>
      <c r="AJ64" s="217"/>
      <c r="AK64" s="218">
        <v>1.56</v>
      </c>
      <c r="AL64" s="217"/>
      <c r="AM64" s="217" t="s">
        <v>308</v>
      </c>
      <c r="AN64" s="217"/>
      <c r="AO64" s="5">
        <f t="shared" si="24"/>
        <v>36.978611111111114</v>
      </c>
      <c r="AP64" s="219">
        <v>36</v>
      </c>
      <c r="AQ64" s="219">
        <v>58</v>
      </c>
      <c r="AR64" s="219">
        <v>43</v>
      </c>
      <c r="AS64" s="5">
        <f t="shared" si="25"/>
        <v>36.978611111111114</v>
      </c>
      <c r="AT64" s="219">
        <v>90</v>
      </c>
      <c r="AU64" s="219">
        <v>59</v>
      </c>
      <c r="AV64" s="219">
        <v>39</v>
      </c>
      <c r="AW64" s="5">
        <f t="shared" si="26"/>
        <v>90.994166666666672</v>
      </c>
      <c r="AX64" s="220">
        <v>34.036000000000001</v>
      </c>
      <c r="AY64" s="221">
        <v>9.4359999999999999</v>
      </c>
      <c r="AZ64" s="221">
        <v>-0.16400000000000001</v>
      </c>
      <c r="BA64" s="221">
        <v>9.4350000000000005</v>
      </c>
      <c r="BB64" s="43">
        <f t="shared" si="27"/>
        <v>535310.4083512373</v>
      </c>
      <c r="BC64" s="43">
        <f t="shared" si="28"/>
        <v>9407738.9739869423</v>
      </c>
      <c r="BD64" s="5">
        <f t="shared" si="29"/>
        <v>117.05800000000001</v>
      </c>
      <c r="BE64" s="201"/>
    </row>
    <row r="65" spans="4:57" ht="14.25" customHeight="1" x14ac:dyDescent="0.3">
      <c r="E65" s="192"/>
      <c r="F65" s="192"/>
      <c r="G65" s="184">
        <v>1.75</v>
      </c>
      <c r="H65" s="192">
        <v>28</v>
      </c>
      <c r="I65" s="192" t="s">
        <v>287</v>
      </c>
      <c r="J65" s="180"/>
      <c r="K65" s="181">
        <f t="shared" si="3"/>
        <v>416.50850000000003</v>
      </c>
      <c r="L65" s="185">
        <v>346</v>
      </c>
      <c r="M65" s="185">
        <v>45</v>
      </c>
      <c r="N65" s="185">
        <v>45</v>
      </c>
      <c r="O65" s="181">
        <f t="shared" si="0"/>
        <v>346.76249999999999</v>
      </c>
      <c r="P65" s="185">
        <v>88</v>
      </c>
      <c r="Q65" s="185">
        <v>39</v>
      </c>
      <c r="R65" s="185">
        <v>25</v>
      </c>
      <c r="S65" s="181">
        <f t="shared" si="1"/>
        <v>88.656944444444449</v>
      </c>
      <c r="T65" s="186">
        <v>36.323999999999998</v>
      </c>
      <c r="U65" s="186">
        <v>0.84899999999999998</v>
      </c>
      <c r="V65" s="186">
        <v>36.249000000000002</v>
      </c>
      <c r="W65" s="181">
        <f t="shared" si="20"/>
        <v>0.5389999999999997</v>
      </c>
      <c r="X65" s="182">
        <f t="shared" si="21"/>
        <v>535367.05810464092</v>
      </c>
      <c r="Y65" s="182">
        <f t="shared" si="22"/>
        <v>9407797.9304910898</v>
      </c>
      <c r="Z65" s="181">
        <f t="shared" si="23"/>
        <v>108.16200000000001</v>
      </c>
      <c r="AC65" t="str">
        <f t="shared" si="7"/>
        <v>PO 535367,058104641,9407797,93049109</v>
      </c>
      <c r="AI65" s="217"/>
      <c r="AJ65" s="217"/>
      <c r="AK65" s="218">
        <v>1.56</v>
      </c>
      <c r="AL65" s="217"/>
      <c r="AM65" s="217" t="s">
        <v>309</v>
      </c>
      <c r="AN65" s="217"/>
      <c r="AO65" s="5">
        <f t="shared" si="24"/>
        <v>7.4563888888888892</v>
      </c>
      <c r="AP65" s="223">
        <v>7</v>
      </c>
      <c r="AQ65" s="219">
        <v>27</v>
      </c>
      <c r="AR65" s="219">
        <v>23</v>
      </c>
      <c r="AS65" s="5">
        <f t="shared" si="25"/>
        <v>7.4563888888888892</v>
      </c>
      <c r="AT65" s="219">
        <v>90</v>
      </c>
      <c r="AU65" s="219">
        <v>59</v>
      </c>
      <c r="AV65" s="219">
        <v>38</v>
      </c>
      <c r="AW65" s="5">
        <f t="shared" si="26"/>
        <v>90.99388888888889</v>
      </c>
      <c r="AX65" s="220">
        <v>34.036000000000001</v>
      </c>
      <c r="AY65" s="221">
        <v>8.5470000000000006</v>
      </c>
      <c r="AZ65" s="221">
        <v>-0.14799999999999999</v>
      </c>
      <c r="BA65" s="221">
        <v>8.5459999999999994</v>
      </c>
      <c r="BB65" s="43">
        <f t="shared" si="27"/>
        <v>535310.48779381672</v>
      </c>
      <c r="BC65" s="43">
        <f t="shared" si="28"/>
        <v>9407738.9582514986</v>
      </c>
      <c r="BD65" s="5">
        <f t="shared" si="29"/>
        <v>116.16900000000001</v>
      </c>
      <c r="BE65" s="201"/>
    </row>
    <row r="66" spans="4:57" ht="14.25" customHeight="1" x14ac:dyDescent="0.3">
      <c r="E66" s="192"/>
      <c r="F66" s="192"/>
      <c r="G66" s="184">
        <v>1.75</v>
      </c>
      <c r="H66" s="192">
        <v>28</v>
      </c>
      <c r="I66" s="192" t="s">
        <v>289</v>
      </c>
      <c r="J66" s="180"/>
      <c r="K66" s="181">
        <f t="shared" si="3"/>
        <v>427.94988888888884</v>
      </c>
      <c r="L66" s="185">
        <v>358</v>
      </c>
      <c r="M66" s="185">
        <v>12</v>
      </c>
      <c r="N66" s="185">
        <v>14</v>
      </c>
      <c r="O66" s="181">
        <f t="shared" si="0"/>
        <v>358.20388888888886</v>
      </c>
      <c r="P66" s="185">
        <v>89</v>
      </c>
      <c r="Q66" s="185">
        <v>15</v>
      </c>
      <c r="R66" s="185">
        <v>38</v>
      </c>
      <c r="S66" s="181">
        <f t="shared" si="1"/>
        <v>89.260555555555555</v>
      </c>
      <c r="T66" s="186">
        <v>35.267000000000003</v>
      </c>
      <c r="U66" s="186">
        <v>0.42499999999999999</v>
      </c>
      <c r="V66" s="186">
        <v>35.264000000000003</v>
      </c>
      <c r="W66" s="181">
        <f t="shared" si="20"/>
        <v>0.11499999999999999</v>
      </c>
      <c r="X66" s="182">
        <f t="shared" si="21"/>
        <v>535369.51225500251</v>
      </c>
      <c r="Y66" s="182">
        <f t="shared" si="22"/>
        <v>9407791.1665299609</v>
      </c>
      <c r="Z66" s="181">
        <f t="shared" si="23"/>
        <v>107.738</v>
      </c>
      <c r="AC66" t="str">
        <f t="shared" si="7"/>
        <v>PO 535369,512255003,9407791,16652996</v>
      </c>
      <c r="AI66" s="217"/>
      <c r="AJ66" s="217"/>
      <c r="AK66" s="218">
        <v>1.56</v>
      </c>
      <c r="AL66" s="217"/>
      <c r="AM66" s="217" t="s">
        <v>310</v>
      </c>
      <c r="AN66" s="217"/>
      <c r="AO66" s="5">
        <f t="shared" si="24"/>
        <v>8.4288888888888884</v>
      </c>
      <c r="AP66" s="219">
        <v>8</v>
      </c>
      <c r="AQ66" s="219">
        <v>25</v>
      </c>
      <c r="AR66" s="219">
        <v>44</v>
      </c>
      <c r="AS66" s="5">
        <f t="shared" si="25"/>
        <v>8.4288888888888884</v>
      </c>
      <c r="AT66" s="219">
        <v>90</v>
      </c>
      <c r="AU66" s="219">
        <v>59</v>
      </c>
      <c r="AV66" s="219">
        <v>37</v>
      </c>
      <c r="AW66" s="5">
        <f t="shared" si="26"/>
        <v>90.993611111111107</v>
      </c>
      <c r="AX66" s="220">
        <v>34.036000000000001</v>
      </c>
      <c r="AY66" s="221">
        <v>9.4550000000000001</v>
      </c>
      <c r="AZ66" s="221">
        <v>-0.154</v>
      </c>
      <c r="BA66" s="221">
        <v>9.4540000000000006</v>
      </c>
      <c r="BB66" s="43">
        <f t="shared" si="27"/>
        <v>535310.48442640167</v>
      </c>
      <c r="BC66" s="43">
        <f t="shared" si="28"/>
        <v>9407738.9526634235</v>
      </c>
      <c r="BD66" s="5">
        <f t="shared" si="29"/>
        <v>117.077</v>
      </c>
      <c r="BE66" s="201"/>
    </row>
    <row r="67" spans="4:57" ht="14.25" customHeight="1" x14ac:dyDescent="0.35">
      <c r="E67" s="192"/>
      <c r="F67" s="192"/>
      <c r="G67" s="184">
        <v>1.75</v>
      </c>
      <c r="H67" s="192">
        <v>28</v>
      </c>
      <c r="I67" s="192" t="s">
        <v>291</v>
      </c>
      <c r="J67" s="180"/>
      <c r="K67" s="181">
        <f t="shared" si="3"/>
        <v>428.32266666666669</v>
      </c>
      <c r="L67" s="185">
        <v>358</v>
      </c>
      <c r="M67" s="185">
        <v>34</v>
      </c>
      <c r="N67" s="185">
        <v>36</v>
      </c>
      <c r="O67" s="181">
        <f t="shared" si="0"/>
        <v>358.57666666666665</v>
      </c>
      <c r="P67" s="185">
        <v>88</v>
      </c>
      <c r="Q67" s="185">
        <v>48</v>
      </c>
      <c r="R67" s="185">
        <v>45</v>
      </c>
      <c r="S67" s="181">
        <f t="shared" si="1"/>
        <v>88.8125</v>
      </c>
      <c r="T67" s="186">
        <v>35.270000000000003</v>
      </c>
      <c r="U67" s="186">
        <v>0.73099999999999998</v>
      </c>
      <c r="V67" s="186">
        <v>35.262</v>
      </c>
      <c r="W67" s="181">
        <f t="shared" si="20"/>
        <v>0.42099999999999982</v>
      </c>
      <c r="X67" s="182">
        <f t="shared" si="21"/>
        <v>535369.59583780111</v>
      </c>
      <c r="Y67" s="182">
        <f t="shared" si="22"/>
        <v>9407790.9528596774</v>
      </c>
      <c r="Z67" s="181">
        <f t="shared" si="23"/>
        <v>108.04400000000001</v>
      </c>
      <c r="AC67" t="str">
        <f t="shared" si="7"/>
        <v>PO 535369,595837801,9407790,95285968</v>
      </c>
      <c r="AI67" s="224"/>
      <c r="AJ67" s="225"/>
      <c r="AK67" s="218">
        <v>1.56</v>
      </c>
      <c r="AL67" s="217"/>
      <c r="AM67" s="217" t="s">
        <v>311</v>
      </c>
      <c r="AN67" s="217"/>
      <c r="AO67" s="5">
        <f t="shared" si="24"/>
        <v>341.16055555555556</v>
      </c>
      <c r="AP67" s="219">
        <v>341</v>
      </c>
      <c r="AQ67" s="219">
        <v>9</v>
      </c>
      <c r="AR67" s="219">
        <v>38</v>
      </c>
      <c r="AS67" s="5">
        <f t="shared" si="25"/>
        <v>341.16055555555556</v>
      </c>
      <c r="AT67" s="219">
        <v>91</v>
      </c>
      <c r="AU67" s="219">
        <v>0</v>
      </c>
      <c r="AV67" s="219">
        <v>2</v>
      </c>
      <c r="AW67" s="5">
        <f t="shared" si="26"/>
        <v>91.00055555555555</v>
      </c>
      <c r="AX67" s="220">
        <v>34.036000000000001</v>
      </c>
      <c r="AY67" s="221">
        <v>11.298</v>
      </c>
      <c r="AZ67" s="221">
        <v>-0.19700000000000001</v>
      </c>
      <c r="BA67" s="221">
        <v>11.295999999999999</v>
      </c>
      <c r="BB67" s="43">
        <f t="shared" si="27"/>
        <v>535310.57061471313</v>
      </c>
      <c r="BC67" s="43">
        <f t="shared" si="28"/>
        <v>9407738.918553846</v>
      </c>
      <c r="BD67" s="226">
        <f t="shared" si="29"/>
        <v>118.91900000000001</v>
      </c>
      <c r="BE67" s="201"/>
    </row>
    <row r="68" spans="4:57" ht="14.25" customHeight="1" x14ac:dyDescent="0.3">
      <c r="E68" s="192"/>
      <c r="F68" s="192"/>
      <c r="G68" s="184">
        <v>1.75</v>
      </c>
      <c r="H68" s="192">
        <v>28</v>
      </c>
      <c r="I68" s="192" t="s">
        <v>293</v>
      </c>
      <c r="J68" s="180"/>
      <c r="K68" s="181">
        <f t="shared" si="3"/>
        <v>428.52599999999995</v>
      </c>
      <c r="L68" s="185">
        <v>358</v>
      </c>
      <c r="M68" s="185">
        <v>46</v>
      </c>
      <c r="N68" s="185">
        <v>48</v>
      </c>
      <c r="O68" s="181">
        <f t="shared" si="0"/>
        <v>358.78</v>
      </c>
      <c r="P68" s="185">
        <v>48</v>
      </c>
      <c r="Q68" s="185">
        <v>6</v>
      </c>
      <c r="R68" s="185">
        <v>16</v>
      </c>
      <c r="S68" s="181">
        <f t="shared" si="1"/>
        <v>48.104444444444447</v>
      </c>
      <c r="T68" s="186">
        <v>55.323999999999998</v>
      </c>
      <c r="U68" s="186">
        <v>0.86499999999999999</v>
      </c>
      <c r="V68" s="186">
        <v>55.317</v>
      </c>
      <c r="W68" s="181">
        <f t="shared" si="20"/>
        <v>0.55499999999999972</v>
      </c>
      <c r="X68" s="182">
        <f t="shared" si="21"/>
        <v>535388.30471293069</v>
      </c>
      <c r="Y68" s="182">
        <f t="shared" si="22"/>
        <v>9407798.1782027502</v>
      </c>
      <c r="Z68" s="181">
        <f t="shared" si="23"/>
        <v>108.178</v>
      </c>
      <c r="AC68" t="str">
        <f t="shared" si="7"/>
        <v>PO 535388,304712931,9407798,17820275</v>
      </c>
      <c r="AI68" s="9"/>
      <c r="AJ68" s="9"/>
      <c r="AK68" s="218">
        <v>1.56</v>
      </c>
      <c r="AL68" s="217"/>
      <c r="AM68" s="217" t="s">
        <v>312</v>
      </c>
      <c r="AN68" s="217"/>
      <c r="AO68" s="5">
        <f t="shared" si="24"/>
        <v>343.45333333333332</v>
      </c>
      <c r="AP68" s="219">
        <v>343</v>
      </c>
      <c r="AQ68" s="219">
        <v>27</v>
      </c>
      <c r="AR68" s="219">
        <v>12</v>
      </c>
      <c r="AS68" s="5">
        <f t="shared" si="25"/>
        <v>343.45333333333332</v>
      </c>
      <c r="AT68" s="219">
        <v>90</v>
      </c>
      <c r="AU68" s="219">
        <v>59</v>
      </c>
      <c r="AV68" s="219">
        <v>58</v>
      </c>
      <c r="AW68" s="5">
        <f t="shared" si="26"/>
        <v>90.99944444444445</v>
      </c>
      <c r="AX68" s="220">
        <v>34.036000000000001</v>
      </c>
      <c r="AY68" s="221">
        <v>11.973000000000001</v>
      </c>
      <c r="AZ68" s="221">
        <v>-0.20899999999999999</v>
      </c>
      <c r="BA68" s="221">
        <v>11.971</v>
      </c>
      <c r="BB68" s="43">
        <f t="shared" si="27"/>
        <v>535310.56652240502</v>
      </c>
      <c r="BC68" s="43">
        <f t="shared" si="28"/>
        <v>9407738.9046550896</v>
      </c>
      <c r="BD68" s="226">
        <f t="shared" si="29"/>
        <v>119.59400000000001</v>
      </c>
      <c r="BE68" s="201"/>
    </row>
    <row r="69" spans="4:57" ht="14.25" customHeight="1" x14ac:dyDescent="0.35">
      <c r="E69" s="192"/>
      <c r="F69" s="192"/>
      <c r="G69" s="184">
        <v>1.75</v>
      </c>
      <c r="H69" s="192">
        <v>28</v>
      </c>
      <c r="I69" s="192" t="s">
        <v>295</v>
      </c>
      <c r="J69" s="180"/>
      <c r="K69" s="181">
        <f t="shared" si="3"/>
        <v>428.74627777777778</v>
      </c>
      <c r="L69" s="185">
        <v>359</v>
      </c>
      <c r="M69" s="185">
        <v>0</v>
      </c>
      <c r="N69" s="185">
        <v>1</v>
      </c>
      <c r="O69" s="181">
        <f t="shared" si="0"/>
        <v>359.0002777777778</v>
      </c>
      <c r="P69" s="185">
        <v>88</v>
      </c>
      <c r="Q69" s="185">
        <v>47</v>
      </c>
      <c r="R69" s="185">
        <v>36</v>
      </c>
      <c r="S69" s="181">
        <f t="shared" si="1"/>
        <v>88.793333333333337</v>
      </c>
      <c r="T69" s="186">
        <v>55.347000000000001</v>
      </c>
      <c r="U69" s="186">
        <v>1.1659999999999999</v>
      </c>
      <c r="V69" s="186">
        <v>55.335000000000001</v>
      </c>
      <c r="W69" s="181">
        <f t="shared" si="20"/>
        <v>0.85599999999999987</v>
      </c>
      <c r="X69" s="182">
        <f t="shared" si="21"/>
        <v>535388.39896211808</v>
      </c>
      <c r="Y69" s="182">
        <f t="shared" si="22"/>
        <v>9407797.9866710994</v>
      </c>
      <c r="Z69" s="181">
        <f t="shared" si="23"/>
        <v>108.479</v>
      </c>
      <c r="AC69" t="str">
        <f t="shared" si="7"/>
        <v>PO 535388,398962118,9407797,9866711</v>
      </c>
      <c r="AI69" s="5"/>
      <c r="AJ69" s="5"/>
      <c r="AK69" s="218">
        <v>1.56</v>
      </c>
      <c r="AL69" s="69"/>
      <c r="AM69" s="217" t="s">
        <v>313</v>
      </c>
      <c r="AN69" s="69"/>
      <c r="AO69" s="5">
        <f t="shared" si="24"/>
        <v>329.94305555555553</v>
      </c>
      <c r="AP69" s="219">
        <v>329</v>
      </c>
      <c r="AQ69" s="219">
        <v>56</v>
      </c>
      <c r="AR69" s="219">
        <v>35</v>
      </c>
      <c r="AS69" s="5">
        <f t="shared" si="25"/>
        <v>329.94305555555553</v>
      </c>
      <c r="AT69" s="219">
        <v>91</v>
      </c>
      <c r="AU69" s="219">
        <v>0</v>
      </c>
      <c r="AV69" s="219">
        <v>4</v>
      </c>
      <c r="AW69" s="5">
        <f t="shared" si="26"/>
        <v>91.001111111111115</v>
      </c>
      <c r="AX69" s="220">
        <v>34.036000000000001</v>
      </c>
      <c r="AY69" s="221">
        <v>13.680999999999999</v>
      </c>
      <c r="AZ69" s="221">
        <v>-0.23899999999999999</v>
      </c>
      <c r="BA69" s="221">
        <v>13.679</v>
      </c>
      <c r="BB69" s="43">
        <f t="shared" si="27"/>
        <v>535310.62670565175</v>
      </c>
      <c r="BC69" s="43">
        <f t="shared" si="28"/>
        <v>9407738.8981387988</v>
      </c>
      <c r="BD69" s="226">
        <f t="shared" si="29"/>
        <v>121.30200000000001</v>
      </c>
      <c r="BE69" s="201"/>
    </row>
    <row r="70" spans="4:57" ht="14.25" customHeight="1" x14ac:dyDescent="0.35">
      <c r="E70" s="192"/>
      <c r="F70" s="192"/>
      <c r="G70" s="184">
        <v>1.75</v>
      </c>
      <c r="H70" s="192">
        <v>28</v>
      </c>
      <c r="I70" s="192" t="s">
        <v>297</v>
      </c>
      <c r="J70" s="180"/>
      <c r="K70" s="181">
        <f t="shared" si="3"/>
        <v>421.49155555555558</v>
      </c>
      <c r="L70" s="185">
        <v>351</v>
      </c>
      <c r="M70" s="185">
        <v>44</v>
      </c>
      <c r="N70" s="227">
        <v>44</v>
      </c>
      <c r="O70" s="181">
        <f t="shared" si="0"/>
        <v>351.7455555555556</v>
      </c>
      <c r="P70" s="185">
        <v>88</v>
      </c>
      <c r="Q70" s="185">
        <v>59</v>
      </c>
      <c r="R70" s="185">
        <v>1</v>
      </c>
      <c r="S70" s="181">
        <f t="shared" si="1"/>
        <v>88.983611111111117</v>
      </c>
      <c r="T70" s="186">
        <v>56.139000000000003</v>
      </c>
      <c r="U70" s="186">
        <v>0.996</v>
      </c>
      <c r="V70" s="186">
        <v>56.13</v>
      </c>
      <c r="W70" s="181">
        <f t="shared" si="20"/>
        <v>0.68599999999999994</v>
      </c>
      <c r="X70" s="182">
        <f t="shared" si="21"/>
        <v>535386.15166632808</v>
      </c>
      <c r="Y70" s="182">
        <f t="shared" si="22"/>
        <v>9407804.7180029228</v>
      </c>
      <c r="Z70" s="181">
        <f t="shared" si="23"/>
        <v>108.309</v>
      </c>
      <c r="AC70" t="str">
        <f t="shared" si="7"/>
        <v>PO 535386,151666328,9407804,71800292</v>
      </c>
      <c r="AI70" s="5"/>
      <c r="AJ70" s="5"/>
      <c r="AK70" s="218">
        <v>1.56</v>
      </c>
      <c r="AL70" s="69"/>
      <c r="AM70" s="217" t="s">
        <v>314</v>
      </c>
      <c r="AN70" s="69"/>
      <c r="AO70" s="5">
        <f t="shared" si="24"/>
        <v>330.71749999999997</v>
      </c>
      <c r="AP70" s="219">
        <v>330</v>
      </c>
      <c r="AQ70" s="219">
        <v>43</v>
      </c>
      <c r="AR70" s="219">
        <v>3</v>
      </c>
      <c r="AS70" s="5">
        <f t="shared" si="25"/>
        <v>330.71749999999997</v>
      </c>
      <c r="AT70" s="219">
        <v>91</v>
      </c>
      <c r="AU70" s="219">
        <v>0</v>
      </c>
      <c r="AV70" s="219">
        <v>1</v>
      </c>
      <c r="AW70" s="5">
        <f t="shared" si="26"/>
        <v>91.000277777777782</v>
      </c>
      <c r="AX70" s="220">
        <v>34.036000000000001</v>
      </c>
      <c r="AY70" s="221">
        <v>14.006</v>
      </c>
      <c r="AZ70" s="221">
        <v>-0.245</v>
      </c>
      <c r="BA70" s="221">
        <v>14.004</v>
      </c>
      <c r="BB70" s="43">
        <f t="shared" si="27"/>
        <v>535310.62683343724</v>
      </c>
      <c r="BC70" s="43">
        <f t="shared" si="28"/>
        <v>9407738.8913064171</v>
      </c>
      <c r="BD70" s="226">
        <f t="shared" si="29"/>
        <v>121.62700000000001</v>
      </c>
      <c r="BE70" s="201"/>
    </row>
    <row r="71" spans="4:57" ht="14.25" customHeight="1" x14ac:dyDescent="0.3">
      <c r="E71" s="192"/>
      <c r="F71" s="192"/>
      <c r="G71" s="184">
        <v>1.75</v>
      </c>
      <c r="H71" s="192">
        <v>28</v>
      </c>
      <c r="I71" s="192" t="s">
        <v>299</v>
      </c>
      <c r="J71" s="180"/>
      <c r="K71" s="181">
        <f t="shared" si="3"/>
        <v>421.28933333333339</v>
      </c>
      <c r="L71" s="185">
        <v>351</v>
      </c>
      <c r="M71" s="185">
        <v>32</v>
      </c>
      <c r="N71" s="185">
        <v>36</v>
      </c>
      <c r="O71" s="181">
        <f t="shared" si="0"/>
        <v>351.54333333333335</v>
      </c>
      <c r="P71" s="185">
        <v>88</v>
      </c>
      <c r="Q71" s="185">
        <v>43</v>
      </c>
      <c r="R71" s="185">
        <v>29</v>
      </c>
      <c r="S71" s="181">
        <f t="shared" si="1"/>
        <v>88.724722222222226</v>
      </c>
      <c r="T71" s="186">
        <v>56.085000000000001</v>
      </c>
      <c r="U71" s="186">
        <v>1.248</v>
      </c>
      <c r="V71" s="186">
        <v>56.070999999999998</v>
      </c>
      <c r="W71" s="181">
        <f t="shared" si="20"/>
        <v>0.93799999999999972</v>
      </c>
      <c r="X71" s="182">
        <f t="shared" si="21"/>
        <v>535386.00505849416</v>
      </c>
      <c r="Y71" s="182">
        <f t="shared" si="22"/>
        <v>9407804.8635793552</v>
      </c>
      <c r="Z71" s="181">
        <f t="shared" si="23"/>
        <v>108.56100000000001</v>
      </c>
      <c r="AC71" t="str">
        <f t="shared" si="7"/>
        <v>PO 535386,005058494,9407804,86357936</v>
      </c>
      <c r="AI71" s="5"/>
      <c r="AJ71" s="5"/>
      <c r="AK71" s="218">
        <v>1.56</v>
      </c>
      <c r="AL71" s="217"/>
      <c r="AM71" s="217" t="s">
        <v>315</v>
      </c>
      <c r="AN71" s="217"/>
      <c r="AO71" s="5">
        <f t="shared" si="24"/>
        <v>328.625</v>
      </c>
      <c r="AP71" s="219">
        <v>328</v>
      </c>
      <c r="AQ71" s="219">
        <v>37</v>
      </c>
      <c r="AR71" s="219">
        <v>30</v>
      </c>
      <c r="AS71" s="5">
        <f t="shared" si="25"/>
        <v>328.625</v>
      </c>
      <c r="AT71" s="219">
        <v>91</v>
      </c>
      <c r="AU71" s="219">
        <v>0</v>
      </c>
      <c r="AV71" s="219">
        <v>17</v>
      </c>
      <c r="AW71" s="5">
        <f t="shared" si="26"/>
        <v>91.004722222222227</v>
      </c>
      <c r="AX71" s="220">
        <v>34.036000000000001</v>
      </c>
      <c r="AY71" s="221">
        <v>16.079000000000001</v>
      </c>
      <c r="AZ71" s="221">
        <v>-0.28199999999999997</v>
      </c>
      <c r="BA71" s="221">
        <v>16.077000000000002</v>
      </c>
      <c r="BB71" s="43">
        <f t="shared" si="27"/>
        <v>535310.65381967637</v>
      </c>
      <c r="BC71" s="43">
        <f t="shared" si="28"/>
        <v>9407738.8642345909</v>
      </c>
      <c r="BD71" s="226">
        <f t="shared" si="29"/>
        <v>123.7</v>
      </c>
      <c r="BE71" s="201"/>
    </row>
    <row r="72" spans="4:57" ht="14.25" customHeight="1" x14ac:dyDescent="0.3">
      <c r="E72" s="192"/>
      <c r="F72" s="192"/>
      <c r="G72" s="184">
        <v>1.75</v>
      </c>
      <c r="H72" s="192">
        <v>28</v>
      </c>
      <c r="I72" s="192" t="s">
        <v>302</v>
      </c>
      <c r="J72" s="180"/>
      <c r="K72" s="181">
        <f t="shared" si="3"/>
        <v>420.06849999999997</v>
      </c>
      <c r="L72" s="185">
        <v>350</v>
      </c>
      <c r="M72" s="185">
        <v>19</v>
      </c>
      <c r="N72" s="185">
        <v>21</v>
      </c>
      <c r="O72" s="181">
        <f t="shared" si="0"/>
        <v>350.32249999999999</v>
      </c>
      <c r="P72" s="185">
        <v>88</v>
      </c>
      <c r="Q72" s="185">
        <v>57</v>
      </c>
      <c r="R72" s="185">
        <v>11</v>
      </c>
      <c r="S72" s="181">
        <f t="shared" si="1"/>
        <v>88.953055555555565</v>
      </c>
      <c r="T72" s="186">
        <v>56.347999999999999</v>
      </c>
      <c r="U72" s="186">
        <v>1.03</v>
      </c>
      <c r="V72" s="186">
        <v>56.338999999999999</v>
      </c>
      <c r="W72" s="181">
        <f t="shared" si="20"/>
        <v>0.71999999999999975</v>
      </c>
      <c r="X72" s="182">
        <f t="shared" si="21"/>
        <v>535385.65225809417</v>
      </c>
      <c r="Y72" s="182">
        <f t="shared" si="22"/>
        <v>9407806.0389596429</v>
      </c>
      <c r="Z72" s="181">
        <f t="shared" si="23"/>
        <v>108.343</v>
      </c>
      <c r="AC72" t="str">
        <f t="shared" si="7"/>
        <v>PO 535385,652258094,9407806,03895964</v>
      </c>
      <c r="AI72" s="5"/>
      <c r="AJ72" s="5"/>
      <c r="AK72" s="218">
        <v>1.56</v>
      </c>
      <c r="AL72" s="217"/>
      <c r="AM72" s="217" t="s">
        <v>316</v>
      </c>
      <c r="AN72" s="217"/>
      <c r="AO72" s="5">
        <f t="shared" si="24"/>
        <v>328.36027777777781</v>
      </c>
      <c r="AP72" s="219">
        <v>328</v>
      </c>
      <c r="AQ72" s="219">
        <v>21</v>
      </c>
      <c r="AR72" s="219">
        <v>37</v>
      </c>
      <c r="AS72" s="5">
        <f t="shared" si="25"/>
        <v>328.36027777777781</v>
      </c>
      <c r="AT72" s="219">
        <v>91</v>
      </c>
      <c r="AU72" s="219">
        <v>0</v>
      </c>
      <c r="AV72" s="219">
        <v>16</v>
      </c>
      <c r="AW72" s="5">
        <f t="shared" si="26"/>
        <v>91.004444444444445</v>
      </c>
      <c r="AX72" s="220">
        <v>34.036000000000001</v>
      </c>
      <c r="AY72" s="221">
        <v>16.218</v>
      </c>
      <c r="AZ72" s="221">
        <v>-0.28599999999999998</v>
      </c>
      <c r="BA72" s="221">
        <v>16.216000000000001</v>
      </c>
      <c r="BB72" s="43">
        <f t="shared" si="27"/>
        <v>535310.65702881268</v>
      </c>
      <c r="BC72" s="43">
        <f t="shared" si="28"/>
        <v>9407738.8615100514</v>
      </c>
      <c r="BD72" s="226">
        <f t="shared" si="29"/>
        <v>123.839</v>
      </c>
      <c r="BE72" s="201"/>
    </row>
    <row r="73" spans="4:57" ht="14.25" customHeight="1" x14ac:dyDescent="0.3">
      <c r="E73" s="192"/>
      <c r="F73" s="192"/>
      <c r="G73" s="184">
        <v>1.75</v>
      </c>
      <c r="H73" s="192">
        <v>28</v>
      </c>
      <c r="I73" s="192" t="s">
        <v>304</v>
      </c>
      <c r="J73" s="180"/>
      <c r="K73" s="181">
        <f t="shared" si="3"/>
        <v>420.2887777777778</v>
      </c>
      <c r="L73" s="185">
        <v>350</v>
      </c>
      <c r="M73" s="185">
        <v>32</v>
      </c>
      <c r="N73" s="185">
        <v>34</v>
      </c>
      <c r="O73" s="181">
        <f t="shared" si="0"/>
        <v>350.54277777777781</v>
      </c>
      <c r="P73" s="185">
        <v>88</v>
      </c>
      <c r="Q73" s="185">
        <v>45</v>
      </c>
      <c r="R73" s="185">
        <v>2</v>
      </c>
      <c r="S73" s="181">
        <f t="shared" si="1"/>
        <v>88.75055555555555</v>
      </c>
      <c r="T73" s="186">
        <v>56.378</v>
      </c>
      <c r="U73" s="186">
        <v>1.23</v>
      </c>
      <c r="V73" s="186">
        <v>56.365000000000002</v>
      </c>
      <c r="W73" s="181">
        <f t="shared" si="20"/>
        <v>0.91999999999999993</v>
      </c>
      <c r="X73" s="182">
        <f t="shared" si="21"/>
        <v>535385.7825542374</v>
      </c>
      <c r="Y73" s="182">
        <f t="shared" si="22"/>
        <v>9407805.8639288023</v>
      </c>
      <c r="Z73" s="181">
        <f t="shared" si="23"/>
        <v>108.54300000000001</v>
      </c>
      <c r="AC73" t="str">
        <f t="shared" si="7"/>
        <v>PO 535385,782554237,9407805,8639288</v>
      </c>
      <c r="AI73" s="5"/>
      <c r="AJ73" s="5"/>
      <c r="AK73" s="218">
        <v>1.56</v>
      </c>
      <c r="AL73" s="217"/>
      <c r="AM73" s="217" t="s">
        <v>317</v>
      </c>
      <c r="AN73" s="217"/>
      <c r="AO73" s="5">
        <f t="shared" si="24"/>
        <v>323.64277777777778</v>
      </c>
      <c r="AP73" s="219">
        <v>323</v>
      </c>
      <c r="AQ73" s="219">
        <v>38</v>
      </c>
      <c r="AR73" s="219">
        <v>34</v>
      </c>
      <c r="AS73" s="5">
        <f t="shared" si="25"/>
        <v>323.64277777777778</v>
      </c>
      <c r="AT73" s="219">
        <v>91</v>
      </c>
      <c r="AU73" s="219">
        <v>0</v>
      </c>
      <c r="AV73" s="219">
        <v>15</v>
      </c>
      <c r="AW73" s="5">
        <f t="shared" si="26"/>
        <v>91.004166666666663</v>
      </c>
      <c r="AX73" s="220">
        <v>34.036000000000001</v>
      </c>
      <c r="AY73" s="221">
        <v>17.856999999999999</v>
      </c>
      <c r="AZ73" s="221">
        <v>-0.313</v>
      </c>
      <c r="BA73" s="221">
        <v>17.853999999999999</v>
      </c>
      <c r="BB73" s="43">
        <f t="shared" si="27"/>
        <v>535310.6925519642</v>
      </c>
      <c r="BC73" s="43">
        <f t="shared" si="28"/>
        <v>9407738.8529296368</v>
      </c>
      <c r="BD73" s="226">
        <f t="shared" si="29"/>
        <v>125.477</v>
      </c>
      <c r="BE73" s="201"/>
    </row>
    <row r="74" spans="4:57" ht="14.25" customHeight="1" x14ac:dyDescent="0.3">
      <c r="E74" s="192"/>
      <c r="F74" s="192"/>
      <c r="G74" s="184">
        <v>1.75</v>
      </c>
      <c r="H74" s="192">
        <v>28</v>
      </c>
      <c r="I74" s="192" t="s">
        <v>318</v>
      </c>
      <c r="J74" s="180"/>
      <c r="K74" s="181">
        <f t="shared" si="3"/>
        <v>413.59377777777775</v>
      </c>
      <c r="L74" s="185">
        <v>343</v>
      </c>
      <c r="M74" s="185">
        <v>50</v>
      </c>
      <c r="N74" s="185">
        <v>52</v>
      </c>
      <c r="O74" s="181">
        <f t="shared" si="0"/>
        <v>343.84777777777776</v>
      </c>
      <c r="P74" s="185">
        <v>89</v>
      </c>
      <c r="Q74" s="185">
        <v>9</v>
      </c>
      <c r="R74" s="185">
        <v>56</v>
      </c>
      <c r="S74" s="181">
        <f t="shared" si="1"/>
        <v>89.165555555555557</v>
      </c>
      <c r="T74" s="186">
        <v>57.972999999999999</v>
      </c>
      <c r="U74" s="186">
        <v>0.89500000000000002</v>
      </c>
      <c r="V74" s="186">
        <v>56.966000000000001</v>
      </c>
      <c r="W74" s="181">
        <f t="shared" si="20"/>
        <v>0.58499999999999996</v>
      </c>
      <c r="X74" s="182">
        <f t="shared" si="21"/>
        <v>535382.67551834497</v>
      </c>
      <c r="Y74" s="182">
        <f t="shared" si="22"/>
        <v>9407811.7374913711</v>
      </c>
      <c r="Z74" s="181">
        <f t="shared" si="23"/>
        <v>108.208</v>
      </c>
      <c r="AC74" t="str">
        <f t="shared" si="7"/>
        <v>PO 535382,675518345,9407811,73749137</v>
      </c>
      <c r="AI74" s="5"/>
      <c r="AJ74" s="5"/>
      <c r="AK74" s="218">
        <v>1.56</v>
      </c>
      <c r="AL74" s="217"/>
      <c r="AM74" s="217" t="s">
        <v>319</v>
      </c>
      <c r="AN74" s="217"/>
      <c r="AO74" s="5">
        <f t="shared" si="24"/>
        <v>323.23722222222221</v>
      </c>
      <c r="AP74" s="219">
        <v>323</v>
      </c>
      <c r="AQ74" s="219">
        <v>14</v>
      </c>
      <c r="AR74" s="219">
        <v>14</v>
      </c>
      <c r="AS74" s="5">
        <f t="shared" si="25"/>
        <v>323.23722222222221</v>
      </c>
      <c r="AT74" s="219">
        <v>91</v>
      </c>
      <c r="AU74" s="219">
        <v>0</v>
      </c>
      <c r="AV74" s="219">
        <v>4</v>
      </c>
      <c r="AW74" s="5">
        <f t="shared" si="26"/>
        <v>91.001111111111115</v>
      </c>
      <c r="AX74" s="220">
        <v>34.036000000000001</v>
      </c>
      <c r="AY74" s="221">
        <v>17.856999999999999</v>
      </c>
      <c r="AZ74" s="221">
        <v>-0.32500000000000001</v>
      </c>
      <c r="BA74" s="221">
        <v>17.346</v>
      </c>
      <c r="BB74" s="43">
        <f t="shared" si="27"/>
        <v>535310.70151356491</v>
      </c>
      <c r="BC74" s="43">
        <f t="shared" si="28"/>
        <v>9407738.8446358833</v>
      </c>
      <c r="BD74" s="226">
        <f t="shared" si="29"/>
        <v>124.96900000000001</v>
      </c>
      <c r="BE74" s="201"/>
    </row>
    <row r="75" spans="4:57" ht="14.25" customHeight="1" x14ac:dyDescent="0.3">
      <c r="E75" s="192"/>
      <c r="F75" s="192"/>
      <c r="G75" s="184">
        <v>1.75</v>
      </c>
      <c r="H75" s="192">
        <v>28</v>
      </c>
      <c r="I75" s="192" t="s">
        <v>320</v>
      </c>
      <c r="J75" s="180"/>
      <c r="K75" s="181">
        <f t="shared" si="3"/>
        <v>412.66127777777774</v>
      </c>
      <c r="L75" s="185">
        <v>342</v>
      </c>
      <c r="M75" s="185">
        <v>54</v>
      </c>
      <c r="N75" s="185">
        <v>55</v>
      </c>
      <c r="O75" s="181">
        <f t="shared" si="0"/>
        <v>342.91527777777776</v>
      </c>
      <c r="P75" s="185">
        <v>89</v>
      </c>
      <c r="Q75" s="185">
        <v>7</v>
      </c>
      <c r="R75" s="185">
        <v>55</v>
      </c>
      <c r="S75" s="181">
        <f t="shared" si="1"/>
        <v>89.131944444444443</v>
      </c>
      <c r="T75" s="186">
        <v>54.037999999999997</v>
      </c>
      <c r="U75" s="186">
        <v>0.83099999999999996</v>
      </c>
      <c r="V75" s="186">
        <v>54.832000000000001</v>
      </c>
      <c r="W75" s="181">
        <f t="shared" si="20"/>
        <v>0.52099999999999991</v>
      </c>
      <c r="X75" s="182">
        <f t="shared" si="21"/>
        <v>535380.42254544178</v>
      </c>
      <c r="Y75" s="182">
        <f t="shared" si="22"/>
        <v>9407811.1848382074</v>
      </c>
      <c r="Z75" s="181">
        <f t="shared" si="23"/>
        <v>108.14400000000001</v>
      </c>
      <c r="AC75" t="str">
        <f t="shared" si="7"/>
        <v>PO 535380,422545442,9407811,18483821</v>
      </c>
      <c r="AI75" s="5"/>
      <c r="AJ75" s="5"/>
      <c r="AK75" s="218">
        <v>1.56</v>
      </c>
      <c r="AL75" s="217"/>
      <c r="AM75" s="217" t="s">
        <v>321</v>
      </c>
      <c r="AN75" s="217"/>
      <c r="AO75" s="5">
        <f t="shared" si="24"/>
        <v>314.66166666666663</v>
      </c>
      <c r="AP75" s="219">
        <v>314</v>
      </c>
      <c r="AQ75" s="219">
        <v>39</v>
      </c>
      <c r="AR75" s="219">
        <v>42</v>
      </c>
      <c r="AS75" s="5">
        <f t="shared" si="25"/>
        <v>314.66166666666663</v>
      </c>
      <c r="AT75" s="219">
        <v>91</v>
      </c>
      <c r="AU75" s="219">
        <v>2</v>
      </c>
      <c r="AV75" s="219">
        <v>51</v>
      </c>
      <c r="AW75" s="5">
        <f t="shared" si="26"/>
        <v>91.047499999999999</v>
      </c>
      <c r="AX75" s="220">
        <v>34.036000000000001</v>
      </c>
      <c r="AY75" s="221">
        <v>24.155999999999999</v>
      </c>
      <c r="AZ75" s="221">
        <v>-0.442</v>
      </c>
      <c r="BA75" s="221">
        <v>24.152000000000001</v>
      </c>
      <c r="BB75" s="43">
        <f t="shared" si="27"/>
        <v>535310.8213813029</v>
      </c>
      <c r="BC75" s="43">
        <f t="shared" si="28"/>
        <v>9407738.7943098061</v>
      </c>
      <c r="BD75" s="226">
        <f t="shared" si="29"/>
        <v>131.77500000000001</v>
      </c>
      <c r="BE75" s="201"/>
    </row>
    <row r="76" spans="4:57" ht="14.25" customHeight="1" x14ac:dyDescent="0.3">
      <c r="E76" s="192"/>
      <c r="F76" s="192"/>
      <c r="G76" s="184">
        <v>1.75</v>
      </c>
      <c r="H76" s="192">
        <v>28</v>
      </c>
      <c r="I76" s="192" t="s">
        <v>322</v>
      </c>
      <c r="J76" s="180"/>
      <c r="K76" s="181">
        <f t="shared" si="3"/>
        <v>410.15266666666662</v>
      </c>
      <c r="L76" s="185">
        <v>340</v>
      </c>
      <c r="M76" s="185">
        <v>24</v>
      </c>
      <c r="N76" s="185">
        <v>24</v>
      </c>
      <c r="O76" s="181">
        <f t="shared" si="0"/>
        <v>340.40666666666664</v>
      </c>
      <c r="P76" s="185">
        <v>88</v>
      </c>
      <c r="Q76" s="185">
        <v>53</v>
      </c>
      <c r="R76" s="185">
        <v>32</v>
      </c>
      <c r="S76" s="181">
        <f t="shared" si="1"/>
        <v>88.89222222222223</v>
      </c>
      <c r="T76" s="186">
        <v>55.548999999999999</v>
      </c>
      <c r="U76" s="186">
        <v>1.0740000000000001</v>
      </c>
      <c r="V76" s="186">
        <v>55.539000000000001</v>
      </c>
      <c r="W76" s="181">
        <f t="shared" si="20"/>
        <v>0.76400000000000023</v>
      </c>
      <c r="X76" s="182">
        <f t="shared" si="21"/>
        <v>535379.46792422177</v>
      </c>
      <c r="Y76" s="182">
        <f t="shared" si="22"/>
        <v>9407813.5141027365</v>
      </c>
      <c r="Z76" s="181">
        <f t="shared" si="23"/>
        <v>108.387</v>
      </c>
      <c r="AC76" t="str">
        <f t="shared" si="7"/>
        <v>PO 535379,467924222,9407813,51410274</v>
      </c>
      <c r="AI76" s="5"/>
      <c r="AJ76" s="5"/>
      <c r="AK76" s="218">
        <v>1.56</v>
      </c>
      <c r="AL76" s="217"/>
      <c r="AM76" s="217" t="s">
        <v>323</v>
      </c>
      <c r="AN76" s="217"/>
      <c r="AO76" s="5">
        <f t="shared" si="24"/>
        <v>314.4758333333333</v>
      </c>
      <c r="AP76" s="219">
        <v>314</v>
      </c>
      <c r="AQ76" s="219">
        <v>28</v>
      </c>
      <c r="AR76" s="219">
        <v>33</v>
      </c>
      <c r="AS76" s="5">
        <f t="shared" si="25"/>
        <v>314.4758333333333</v>
      </c>
      <c r="AT76" s="219">
        <v>91</v>
      </c>
      <c r="AU76" s="219">
        <v>2</v>
      </c>
      <c r="AV76" s="219">
        <v>49</v>
      </c>
      <c r="AW76" s="5">
        <f t="shared" si="26"/>
        <v>91.046944444444449</v>
      </c>
      <c r="AX76" s="220">
        <v>34.036000000000001</v>
      </c>
      <c r="AY76" s="221">
        <v>24.170999999999999</v>
      </c>
      <c r="AZ76" s="221">
        <v>-0.442</v>
      </c>
      <c r="BA76" s="221">
        <v>24.167000000000002</v>
      </c>
      <c r="BB76" s="43">
        <f t="shared" si="27"/>
        <v>535310.82238734118</v>
      </c>
      <c r="BC76" s="43">
        <f t="shared" si="28"/>
        <v>9407738.7953311037</v>
      </c>
      <c r="BD76" s="226">
        <f t="shared" si="29"/>
        <v>131.79000000000002</v>
      </c>
      <c r="BE76" s="201"/>
    </row>
    <row r="77" spans="4:57" ht="14.25" customHeight="1" x14ac:dyDescent="0.3">
      <c r="E77" s="192"/>
      <c r="F77" s="192"/>
      <c r="G77" s="184">
        <v>1.75</v>
      </c>
      <c r="H77" s="192">
        <v>28</v>
      </c>
      <c r="I77" s="192" t="s">
        <v>324</v>
      </c>
      <c r="J77" s="180"/>
      <c r="K77" s="181">
        <f t="shared" si="3"/>
        <v>354.42433333333338</v>
      </c>
      <c r="L77" s="185">
        <v>284</v>
      </c>
      <c r="M77" s="185">
        <v>40</v>
      </c>
      <c r="N77" s="185">
        <v>42</v>
      </c>
      <c r="O77" s="181">
        <f t="shared" si="0"/>
        <v>284.67833333333334</v>
      </c>
      <c r="P77" s="185">
        <v>89</v>
      </c>
      <c r="Q77" s="185">
        <v>55</v>
      </c>
      <c r="R77" s="185">
        <v>46</v>
      </c>
      <c r="S77" s="181">
        <f t="shared" si="1"/>
        <v>89.929444444444442</v>
      </c>
      <c r="T77" s="186">
        <v>23.398</v>
      </c>
      <c r="U77" s="186">
        <v>2.9000000000000001E-2</v>
      </c>
      <c r="V77" s="186">
        <v>23.398</v>
      </c>
      <c r="W77" s="181">
        <f t="shared" si="20"/>
        <v>-0.28100000000000014</v>
      </c>
      <c r="X77" s="182">
        <f t="shared" si="21"/>
        <v>535334.55425483384</v>
      </c>
      <c r="Y77" s="182">
        <f t="shared" si="22"/>
        <v>9407801.215110166</v>
      </c>
      <c r="Z77" s="181">
        <f t="shared" si="23"/>
        <v>107.342</v>
      </c>
      <c r="AC77" t="str">
        <f t="shared" si="7"/>
        <v>PO 535334,554254834,9407801,21511017</v>
      </c>
      <c r="AI77" s="5"/>
      <c r="AJ77" s="5"/>
      <c r="AK77" s="218">
        <v>1.56</v>
      </c>
      <c r="AL77" s="217"/>
      <c r="AM77" s="217" t="s">
        <v>325</v>
      </c>
      <c r="AN77" s="217"/>
      <c r="AO77" s="5">
        <f t="shared" si="24"/>
        <v>313.15277777777777</v>
      </c>
      <c r="AP77" s="219">
        <v>313</v>
      </c>
      <c r="AQ77" s="219">
        <v>9</v>
      </c>
      <c r="AR77" s="219">
        <v>10</v>
      </c>
      <c r="AS77" s="5">
        <f t="shared" si="25"/>
        <v>313.15277777777777</v>
      </c>
      <c r="AT77" s="219">
        <v>91</v>
      </c>
      <c r="AU77" s="219">
        <v>2</v>
      </c>
      <c r="AV77" s="219">
        <v>49</v>
      </c>
      <c r="AW77" s="5">
        <f t="shared" si="26"/>
        <v>91.046944444444449</v>
      </c>
      <c r="AX77" s="220">
        <v>34.036000000000001</v>
      </c>
      <c r="AY77" s="221">
        <v>24.274000000000001</v>
      </c>
      <c r="AZ77" s="221">
        <v>-0.46200000000000002</v>
      </c>
      <c r="BA77" s="221">
        <v>24.271000000000001</v>
      </c>
      <c r="BB77" s="43">
        <f t="shared" si="27"/>
        <v>535310.84404404822</v>
      </c>
      <c r="BC77" s="43">
        <f t="shared" si="28"/>
        <v>9407738.7890169155</v>
      </c>
      <c r="BD77" s="226">
        <f t="shared" si="29"/>
        <v>131.89400000000001</v>
      </c>
      <c r="BE77" s="201"/>
    </row>
    <row r="78" spans="4:57" ht="14.25" customHeight="1" x14ac:dyDescent="0.3">
      <c r="E78" s="192"/>
      <c r="F78" s="192"/>
      <c r="G78" s="184">
        <v>1.75</v>
      </c>
      <c r="H78" s="192">
        <v>28</v>
      </c>
      <c r="I78" s="192" t="s">
        <v>326</v>
      </c>
      <c r="J78" s="180"/>
      <c r="K78" s="181">
        <f t="shared" si="3"/>
        <v>353.03433333333339</v>
      </c>
      <c r="L78" s="185">
        <v>283</v>
      </c>
      <c r="M78" s="185">
        <v>17</v>
      </c>
      <c r="N78" s="185">
        <v>18</v>
      </c>
      <c r="O78" s="181">
        <f t="shared" si="0"/>
        <v>283.28833333333336</v>
      </c>
      <c r="P78" s="185">
        <v>89</v>
      </c>
      <c r="Q78" s="185">
        <v>55</v>
      </c>
      <c r="R78" s="185">
        <v>1</v>
      </c>
      <c r="S78" s="181">
        <f t="shared" si="1"/>
        <v>89.916944444444454</v>
      </c>
      <c r="T78" s="186">
        <v>23.027999999999999</v>
      </c>
      <c r="U78" s="186">
        <v>3.4000000000000002E-2</v>
      </c>
      <c r="V78" s="186">
        <v>23.027999999999999</v>
      </c>
      <c r="W78" s="181">
        <f t="shared" si="20"/>
        <v>-0.27600000000000002</v>
      </c>
      <c r="X78" s="182">
        <f t="shared" si="21"/>
        <v>535334.03489915573</v>
      </c>
      <c r="Y78" s="182">
        <f t="shared" si="22"/>
        <v>9407800.7858422324</v>
      </c>
      <c r="Z78" s="181">
        <f t="shared" si="23"/>
        <v>107.34700000000001</v>
      </c>
      <c r="AC78" t="str">
        <f t="shared" si="7"/>
        <v>PO 535334,034899156,9407800,78584223</v>
      </c>
      <c r="AI78" s="5"/>
      <c r="AJ78" s="5"/>
      <c r="AK78" s="218">
        <v>1.56</v>
      </c>
      <c r="AL78" s="217"/>
      <c r="AM78" s="217" t="s">
        <v>327</v>
      </c>
      <c r="AN78" s="217"/>
      <c r="AO78" s="5">
        <f t="shared" si="24"/>
        <v>313.05111111111114</v>
      </c>
      <c r="AP78" s="219">
        <v>313</v>
      </c>
      <c r="AQ78" s="219">
        <v>3</v>
      </c>
      <c r="AR78" s="219">
        <v>4</v>
      </c>
      <c r="AS78" s="5">
        <f t="shared" si="25"/>
        <v>313.05111111111114</v>
      </c>
      <c r="AT78" s="219">
        <v>91</v>
      </c>
      <c r="AU78" s="219">
        <v>2</v>
      </c>
      <c r="AV78" s="219">
        <v>49</v>
      </c>
      <c r="AW78" s="5">
        <f t="shared" si="26"/>
        <v>91.046944444444449</v>
      </c>
      <c r="AX78" s="220">
        <v>34.036000000000001</v>
      </c>
      <c r="AY78" s="221">
        <v>25.355</v>
      </c>
      <c r="AZ78" s="221">
        <v>-0.46300000000000002</v>
      </c>
      <c r="BA78" s="221">
        <v>25.350999999999999</v>
      </c>
      <c r="BB78" s="43">
        <f t="shared" si="27"/>
        <v>535310.84533494851</v>
      </c>
      <c r="BC78" s="43">
        <f t="shared" si="28"/>
        <v>9407738.7889328208</v>
      </c>
      <c r="BD78" s="226">
        <f t="shared" si="29"/>
        <v>132.97399999999999</v>
      </c>
      <c r="BE78" s="201"/>
    </row>
    <row r="79" spans="4:57" ht="14.25" customHeight="1" x14ac:dyDescent="0.3">
      <c r="E79" s="192"/>
      <c r="F79" s="192"/>
      <c r="G79" s="184">
        <v>1.75</v>
      </c>
      <c r="H79" s="192">
        <v>28</v>
      </c>
      <c r="I79" s="192" t="s">
        <v>328</v>
      </c>
      <c r="J79" s="180"/>
      <c r="K79" s="181">
        <f t="shared" si="3"/>
        <v>351.93211111111111</v>
      </c>
      <c r="L79" s="185">
        <v>282</v>
      </c>
      <c r="M79" s="185">
        <v>11</v>
      </c>
      <c r="N79" s="185">
        <v>10</v>
      </c>
      <c r="O79" s="181">
        <f t="shared" si="0"/>
        <v>282.18611111111113</v>
      </c>
      <c r="P79" s="185">
        <v>89</v>
      </c>
      <c r="Q79" s="185">
        <v>53</v>
      </c>
      <c r="R79" s="185">
        <v>9</v>
      </c>
      <c r="S79" s="181">
        <f t="shared" si="1"/>
        <v>89.885833333333338</v>
      </c>
      <c r="T79" s="186">
        <v>22.411000000000001</v>
      </c>
      <c r="U79" s="186">
        <v>4.4999999999999998E-2</v>
      </c>
      <c r="V79" s="186">
        <v>22.411000000000001</v>
      </c>
      <c r="W79" s="181">
        <f t="shared" si="20"/>
        <v>-0.26500000000000012</v>
      </c>
      <c r="X79" s="182">
        <f t="shared" si="21"/>
        <v>535333.68230749352</v>
      </c>
      <c r="Y79" s="182">
        <f t="shared" si="22"/>
        <v>9407800.1169983204</v>
      </c>
      <c r="Z79" s="181">
        <f t="shared" si="23"/>
        <v>107.358</v>
      </c>
      <c r="AC79" t="str">
        <f t="shared" si="7"/>
        <v>PO 535333,682307494,9407800,11699832</v>
      </c>
      <c r="AI79" s="5"/>
      <c r="AJ79" s="5"/>
      <c r="AK79" s="218">
        <v>1.56</v>
      </c>
      <c r="AL79" s="217"/>
      <c r="AM79" s="217" t="s">
        <v>329</v>
      </c>
      <c r="AN79" s="217"/>
      <c r="AO79" s="5">
        <f t="shared" si="24"/>
        <v>308.7283333333333</v>
      </c>
      <c r="AP79" s="219">
        <v>308</v>
      </c>
      <c r="AQ79" s="219">
        <v>43</v>
      </c>
      <c r="AR79" s="219">
        <v>42</v>
      </c>
      <c r="AS79" s="5">
        <f t="shared" si="25"/>
        <v>308.7283333333333</v>
      </c>
      <c r="AT79" s="219">
        <v>91</v>
      </c>
      <c r="AU79" s="219">
        <v>1</v>
      </c>
      <c r="AV79" s="219">
        <v>45</v>
      </c>
      <c r="AW79" s="5">
        <f t="shared" si="26"/>
        <v>91.029166666666669</v>
      </c>
      <c r="AX79" s="220">
        <v>34.036000000000001</v>
      </c>
      <c r="AY79" s="221">
        <v>31.847999999999999</v>
      </c>
      <c r="AZ79" s="221">
        <v>-0.68200000000000005</v>
      </c>
      <c r="BA79" s="221">
        <v>31.843</v>
      </c>
      <c r="BB79" s="43">
        <f t="shared" si="27"/>
        <v>535311.03904260602</v>
      </c>
      <c r="BC79" s="43">
        <f t="shared" si="28"/>
        <v>9407738.678321356</v>
      </c>
      <c r="BD79" s="226">
        <f t="shared" si="29"/>
        <v>139.46600000000001</v>
      </c>
      <c r="BE79" s="201"/>
    </row>
    <row r="80" spans="4:57" ht="14.25" customHeight="1" x14ac:dyDescent="0.3">
      <c r="D80" t="s">
        <v>330</v>
      </c>
      <c r="E80" s="192"/>
      <c r="F80" s="192"/>
      <c r="G80" s="184">
        <v>1.75</v>
      </c>
      <c r="H80" s="192">
        <v>28</v>
      </c>
      <c r="I80" s="192" t="s">
        <v>331</v>
      </c>
      <c r="J80" s="180"/>
      <c r="K80" s="181">
        <f t="shared" si="3"/>
        <v>351.42405555555558</v>
      </c>
      <c r="L80" s="185">
        <v>281</v>
      </c>
      <c r="M80" s="185">
        <v>40</v>
      </c>
      <c r="N80" s="185">
        <v>41</v>
      </c>
      <c r="O80" s="181">
        <f t="shared" si="0"/>
        <v>281.6780555555556</v>
      </c>
      <c r="P80" s="185">
        <v>89</v>
      </c>
      <c r="Q80" s="185">
        <v>54</v>
      </c>
      <c r="R80" s="185">
        <v>36</v>
      </c>
      <c r="S80" s="181">
        <f t="shared" si="1"/>
        <v>89.910000000000011</v>
      </c>
      <c r="T80" s="186">
        <v>21.666</v>
      </c>
      <c r="U80" s="186">
        <v>3.4000000000000002E-2</v>
      </c>
      <c r="V80" s="186">
        <v>21.666</v>
      </c>
      <c r="W80" s="181">
        <f t="shared" si="20"/>
        <v>-0.27600000000000002</v>
      </c>
      <c r="X80" s="182">
        <f t="shared" si="21"/>
        <v>535333.59677138517</v>
      </c>
      <c r="Y80" s="182">
        <f t="shared" si="22"/>
        <v>9407799.3515659776</v>
      </c>
      <c r="Z80" s="181">
        <f t="shared" si="23"/>
        <v>107.34700000000001</v>
      </c>
      <c r="AC80" t="str">
        <f t="shared" si="7"/>
        <v>PO 535333,596771385,9407799,35156598</v>
      </c>
      <c r="AI80" s="5"/>
      <c r="AJ80" s="5"/>
      <c r="AK80" s="218">
        <v>1.56</v>
      </c>
      <c r="AL80" s="217"/>
      <c r="AM80" s="217" t="s">
        <v>332</v>
      </c>
      <c r="AN80" s="217"/>
      <c r="AO80" s="5">
        <f t="shared" si="24"/>
        <v>308.61</v>
      </c>
      <c r="AP80" s="219">
        <v>308</v>
      </c>
      <c r="AQ80" s="219">
        <v>36</v>
      </c>
      <c r="AR80" s="219">
        <v>36</v>
      </c>
      <c r="AS80" s="5">
        <f t="shared" si="25"/>
        <v>308.61</v>
      </c>
      <c r="AT80" s="219">
        <v>91</v>
      </c>
      <c r="AU80" s="219">
        <v>2</v>
      </c>
      <c r="AV80" s="219">
        <v>54</v>
      </c>
      <c r="AW80" s="5">
        <f t="shared" si="26"/>
        <v>91.048333333333332</v>
      </c>
      <c r="AX80" s="220">
        <v>34.036000000000001</v>
      </c>
      <c r="AY80" s="221">
        <v>31.93</v>
      </c>
      <c r="AZ80" s="221">
        <v>-0.58399999999999996</v>
      </c>
      <c r="BA80" s="221">
        <v>31.925000000000001</v>
      </c>
      <c r="BB80" s="43">
        <f t="shared" si="27"/>
        <v>535310.96334435861</v>
      </c>
      <c r="BC80" s="43">
        <f t="shared" si="28"/>
        <v>9407738.7405746635</v>
      </c>
      <c r="BD80" s="226">
        <f t="shared" si="29"/>
        <v>139.548</v>
      </c>
      <c r="BE80" s="201"/>
    </row>
    <row r="81" spans="4:57" ht="14.25" customHeight="1" x14ac:dyDescent="0.3">
      <c r="E81" s="192"/>
      <c r="F81" s="192"/>
      <c r="G81" s="184">
        <v>1.75</v>
      </c>
      <c r="H81" s="192">
        <v>28</v>
      </c>
      <c r="I81" s="192" t="s">
        <v>333</v>
      </c>
      <c r="J81" s="180"/>
      <c r="K81" s="181">
        <f t="shared" si="3"/>
        <v>351.35655555555559</v>
      </c>
      <c r="L81" s="185">
        <v>281</v>
      </c>
      <c r="M81" s="185">
        <v>36</v>
      </c>
      <c r="N81" s="185">
        <v>38</v>
      </c>
      <c r="O81" s="181">
        <f t="shared" si="0"/>
        <v>281.61055555555561</v>
      </c>
      <c r="P81" s="185">
        <v>89</v>
      </c>
      <c r="Q81" s="185">
        <v>56</v>
      </c>
      <c r="R81" s="185">
        <v>41</v>
      </c>
      <c r="S81" s="181">
        <f t="shared" si="1"/>
        <v>89.944722222222225</v>
      </c>
      <c r="T81" s="186">
        <v>21.123999999999999</v>
      </c>
      <c r="U81" s="186">
        <v>2.1000000000000001E-2</v>
      </c>
      <c r="V81" s="186">
        <v>21.123999999999999</v>
      </c>
      <c r="W81" s="181">
        <f t="shared" si="20"/>
        <v>-0.28900000000000015</v>
      </c>
      <c r="X81" s="182">
        <f t="shared" si="21"/>
        <v>535333.65298885002</v>
      </c>
      <c r="Y81" s="182">
        <f t="shared" si="22"/>
        <v>9407798.8119005188</v>
      </c>
      <c r="Z81" s="181">
        <f t="shared" si="23"/>
        <v>107.334</v>
      </c>
      <c r="AA81" s="228"/>
      <c r="AC81" t="str">
        <f t="shared" si="7"/>
        <v>PO 535333,65298885,9407798,81190052</v>
      </c>
      <c r="AI81" s="5"/>
      <c r="AJ81" s="5"/>
      <c r="AK81" s="218">
        <v>1.56</v>
      </c>
      <c r="AL81" s="217"/>
      <c r="AM81" s="217" t="s">
        <v>334</v>
      </c>
      <c r="AN81" s="217"/>
      <c r="AO81" s="5">
        <f t="shared" si="24"/>
        <v>307.25416666666666</v>
      </c>
      <c r="AP81" s="219">
        <v>307</v>
      </c>
      <c r="AQ81" s="219">
        <v>15</v>
      </c>
      <c r="AR81" s="219">
        <v>15</v>
      </c>
      <c r="AS81" s="5">
        <f t="shared" si="25"/>
        <v>307.25416666666666</v>
      </c>
      <c r="AT81" s="219">
        <v>91</v>
      </c>
      <c r="AU81" s="219">
        <v>2</v>
      </c>
      <c r="AV81" s="219">
        <v>53</v>
      </c>
      <c r="AW81" s="5">
        <f t="shared" si="26"/>
        <v>91.04805555555555</v>
      </c>
      <c r="AX81" s="220">
        <v>34.036000000000001</v>
      </c>
      <c r="AY81" s="221">
        <v>33.981999999999999</v>
      </c>
      <c r="AZ81" s="221">
        <v>-0.622</v>
      </c>
      <c r="BA81" s="221">
        <v>33.975999999999999</v>
      </c>
      <c r="BB81" s="43">
        <f t="shared" si="27"/>
        <v>535311.00208586489</v>
      </c>
      <c r="BC81" s="43">
        <f t="shared" si="28"/>
        <v>9407738.7284711357</v>
      </c>
      <c r="BD81" s="226">
        <f t="shared" si="29"/>
        <v>141.59899999999999</v>
      </c>
      <c r="BE81" s="201"/>
    </row>
    <row r="82" spans="4:57" ht="14.25" customHeight="1" x14ac:dyDescent="0.3">
      <c r="E82" s="192"/>
      <c r="F82" s="192"/>
      <c r="G82" s="184">
        <v>1.75</v>
      </c>
      <c r="H82" s="192">
        <v>28</v>
      </c>
      <c r="I82" s="192" t="s">
        <v>335</v>
      </c>
      <c r="J82" s="180"/>
      <c r="K82" s="181">
        <f t="shared" si="3"/>
        <v>352.71211111111108</v>
      </c>
      <c r="L82" s="185">
        <v>282</v>
      </c>
      <c r="M82" s="185">
        <v>57</v>
      </c>
      <c r="N82" s="185">
        <v>58</v>
      </c>
      <c r="O82" s="181">
        <f t="shared" si="0"/>
        <v>282.9661111111111</v>
      </c>
      <c r="P82" s="185">
        <v>90</v>
      </c>
      <c r="Q82" s="185">
        <v>2</v>
      </c>
      <c r="R82" s="185">
        <v>35</v>
      </c>
      <c r="S82" s="181">
        <f t="shared" si="1"/>
        <v>90.043055555555554</v>
      </c>
      <c r="T82" s="186">
        <v>19.332999999999998</v>
      </c>
      <c r="U82" s="186">
        <v>-1.4999999999999999E-2</v>
      </c>
      <c r="V82" s="186">
        <v>19.332999999999998</v>
      </c>
      <c r="W82" s="181">
        <f t="shared" si="20"/>
        <v>-0.32499999999999996</v>
      </c>
      <c r="X82" s="182">
        <f t="shared" si="21"/>
        <v>535334.37512312538</v>
      </c>
      <c r="Y82" s="182">
        <f t="shared" si="22"/>
        <v>9407797.1046259645</v>
      </c>
      <c r="Z82" s="181">
        <f t="shared" si="23"/>
        <v>107.298</v>
      </c>
      <c r="AC82" t="str">
        <f t="shared" si="7"/>
        <v>PO 535334,375123125,9407797,10462596</v>
      </c>
      <c r="AI82" s="5"/>
      <c r="AJ82" s="5"/>
      <c r="AK82" s="218">
        <v>1.56</v>
      </c>
      <c r="AL82" s="217"/>
      <c r="AM82" s="217" t="s">
        <v>336</v>
      </c>
      <c r="AN82" s="217"/>
      <c r="AO82" s="5">
        <f t="shared" si="24"/>
        <v>166.70277777777775</v>
      </c>
      <c r="AP82" s="219">
        <v>166</v>
      </c>
      <c r="AQ82" s="219">
        <v>42</v>
      </c>
      <c r="AR82" s="219">
        <v>10</v>
      </c>
      <c r="AS82" s="5">
        <f t="shared" si="25"/>
        <v>166.70277777777775</v>
      </c>
      <c r="AT82" s="219">
        <v>91</v>
      </c>
      <c r="AU82" s="219">
        <v>2</v>
      </c>
      <c r="AV82" s="219">
        <v>30</v>
      </c>
      <c r="AW82" s="5">
        <f t="shared" si="26"/>
        <v>91.041666666666671</v>
      </c>
      <c r="AX82" s="220">
        <v>34.036000000000001</v>
      </c>
      <c r="AY82" s="221">
        <v>13.433</v>
      </c>
      <c r="AZ82" s="221">
        <v>-0.36299999999999999</v>
      </c>
      <c r="BA82" s="221">
        <v>13.430999999999999</v>
      </c>
      <c r="BB82" s="43">
        <f t="shared" si="27"/>
        <v>535310.42350907216</v>
      </c>
      <c r="BC82" s="43">
        <f t="shared" si="28"/>
        <v>9407739.4582679793</v>
      </c>
      <c r="BD82" s="226">
        <f t="shared" si="29"/>
        <v>121.054</v>
      </c>
      <c r="BE82" s="201"/>
    </row>
    <row r="83" spans="4:57" ht="14.25" customHeight="1" x14ac:dyDescent="0.3">
      <c r="E83" s="192"/>
      <c r="F83" s="192"/>
      <c r="G83" s="184"/>
      <c r="H83" s="192"/>
      <c r="I83" s="192"/>
      <c r="J83" s="180"/>
      <c r="K83" s="181"/>
      <c r="L83" s="185"/>
      <c r="M83" s="185"/>
      <c r="N83" s="185"/>
      <c r="O83" s="181"/>
      <c r="P83" s="185"/>
      <c r="Q83" s="185"/>
      <c r="R83" s="185"/>
      <c r="S83" s="181"/>
      <c r="T83" s="186"/>
      <c r="U83" s="186"/>
      <c r="V83" s="186"/>
      <c r="W83" s="181"/>
      <c r="X83" s="229"/>
      <c r="Y83" s="229"/>
      <c r="Z83" s="181"/>
      <c r="AC83" t="str">
        <f t="shared" si="7"/>
        <v>PO ,</v>
      </c>
      <c r="AI83" s="5"/>
      <c r="AJ83" s="5"/>
      <c r="AK83" s="218">
        <v>1.56</v>
      </c>
      <c r="AL83" s="217"/>
      <c r="AM83" s="217" t="s">
        <v>337</v>
      </c>
      <c r="AN83" s="217"/>
      <c r="AO83" s="5">
        <f t="shared" si="24"/>
        <v>166.20388888888888</v>
      </c>
      <c r="AP83" s="219">
        <v>166</v>
      </c>
      <c r="AQ83" s="219">
        <v>12</v>
      </c>
      <c r="AR83" s="219">
        <v>14</v>
      </c>
      <c r="AS83" s="5">
        <f t="shared" si="25"/>
        <v>166.20388888888888</v>
      </c>
      <c r="AT83" s="219">
        <v>91</v>
      </c>
      <c r="AU83" s="219">
        <v>2</v>
      </c>
      <c r="AV83" s="219">
        <v>25</v>
      </c>
      <c r="AW83" s="5">
        <f t="shared" si="26"/>
        <v>91.040277777777774</v>
      </c>
      <c r="AX83" s="220">
        <v>34.036000000000001</v>
      </c>
      <c r="AY83" s="221">
        <v>13.128</v>
      </c>
      <c r="AZ83" s="221">
        <v>-0.32800000000000001</v>
      </c>
      <c r="BA83" s="221">
        <v>13.125999999999999</v>
      </c>
      <c r="BB83" s="43">
        <f t="shared" si="27"/>
        <v>535310.42878264608</v>
      </c>
      <c r="BC83" s="43">
        <f t="shared" si="28"/>
        <v>9407739.4235373531</v>
      </c>
      <c r="BD83" s="226">
        <f t="shared" si="29"/>
        <v>120.74900000000001</v>
      </c>
      <c r="BE83" s="201"/>
    </row>
    <row r="84" spans="4:57" ht="14.25" customHeight="1" x14ac:dyDescent="0.3">
      <c r="E84" s="192"/>
      <c r="F84" s="192"/>
      <c r="G84" s="184"/>
      <c r="H84" s="192"/>
      <c r="I84" s="192"/>
      <c r="J84" s="180"/>
      <c r="K84" s="181"/>
      <c r="L84" s="185"/>
      <c r="M84" s="185"/>
      <c r="N84" s="185"/>
      <c r="O84" s="181"/>
      <c r="P84" s="185"/>
      <c r="Q84" s="185"/>
      <c r="R84" s="185"/>
      <c r="S84" s="181"/>
      <c r="T84" s="186"/>
      <c r="U84" s="186"/>
      <c r="V84" s="186"/>
      <c r="W84" s="181"/>
      <c r="X84" s="229"/>
      <c r="Y84" s="229"/>
      <c r="Z84" s="181"/>
      <c r="AC84" t="str">
        <f t="shared" si="7"/>
        <v>PO ,</v>
      </c>
      <c r="AI84" s="5"/>
      <c r="AJ84" s="5"/>
      <c r="AK84" s="218">
        <v>1.56</v>
      </c>
      <c r="AL84" s="217"/>
      <c r="AM84" s="217" t="s">
        <v>338</v>
      </c>
      <c r="AN84" s="217"/>
      <c r="AO84" s="5">
        <f t="shared" si="24"/>
        <v>177.01777777777778</v>
      </c>
      <c r="AP84" s="219">
        <v>177</v>
      </c>
      <c r="AQ84" s="219">
        <v>1</v>
      </c>
      <c r="AR84" s="219">
        <v>4</v>
      </c>
      <c r="AS84" s="5">
        <f t="shared" si="25"/>
        <v>177.01777777777778</v>
      </c>
      <c r="AT84" s="219">
        <v>91</v>
      </c>
      <c r="AU84" s="219">
        <v>2</v>
      </c>
      <c r="AV84" s="219">
        <v>17</v>
      </c>
      <c r="AW84" s="5">
        <f t="shared" si="26"/>
        <v>91.038055555555559</v>
      </c>
      <c r="AX84" s="220">
        <v>34.036000000000001</v>
      </c>
      <c r="AY84" s="221">
        <v>12.134</v>
      </c>
      <c r="AZ84" s="221">
        <v>-0.221</v>
      </c>
      <c r="BA84" s="221">
        <v>12.132</v>
      </c>
      <c r="BB84" s="43">
        <f t="shared" si="27"/>
        <v>535310.49550223222</v>
      </c>
      <c r="BC84" s="43">
        <f t="shared" si="28"/>
        <v>9407739.3257007059</v>
      </c>
      <c r="BD84" s="226">
        <f t="shared" si="29"/>
        <v>119.75500000000001</v>
      </c>
      <c r="BE84" s="201"/>
    </row>
    <row r="85" spans="4:57" ht="14.25" customHeight="1" x14ac:dyDescent="0.3">
      <c r="E85" s="192"/>
      <c r="F85" s="447"/>
      <c r="G85" s="448"/>
      <c r="H85" s="448"/>
      <c r="I85" s="448"/>
      <c r="J85" s="448"/>
      <c r="K85" s="448"/>
      <c r="L85" s="448"/>
      <c r="M85" s="448"/>
      <c r="N85" s="448"/>
      <c r="O85" s="448"/>
      <c r="P85" s="448"/>
      <c r="Q85" s="448"/>
      <c r="R85" s="448"/>
      <c r="S85" s="448"/>
      <c r="T85" s="448"/>
      <c r="U85" s="448"/>
      <c r="V85" s="448"/>
      <c r="W85" s="448"/>
      <c r="X85" s="448"/>
      <c r="Y85" s="449"/>
      <c r="Z85" s="181"/>
      <c r="AC85" t="str">
        <f t="shared" si="7"/>
        <v>PO ,</v>
      </c>
      <c r="AI85" s="217"/>
      <c r="AJ85" s="217"/>
      <c r="AK85" s="218">
        <v>1.56</v>
      </c>
      <c r="AL85" s="217"/>
      <c r="AM85" s="217" t="s">
        <v>339</v>
      </c>
      <c r="AN85" s="217"/>
      <c r="AO85" s="5">
        <f t="shared" si="24"/>
        <v>176.39111111111112</v>
      </c>
      <c r="AP85" s="219">
        <v>176</v>
      </c>
      <c r="AQ85" s="219">
        <v>23</v>
      </c>
      <c r="AR85" s="219">
        <v>28</v>
      </c>
      <c r="AS85" s="5">
        <f t="shared" si="25"/>
        <v>176.39111111111112</v>
      </c>
      <c r="AT85" s="219">
        <v>91</v>
      </c>
      <c r="AU85" s="219">
        <v>2</v>
      </c>
      <c r="AV85" s="219">
        <v>20</v>
      </c>
      <c r="AW85" s="5">
        <f t="shared" si="26"/>
        <v>91.038888888888891</v>
      </c>
      <c r="AX85" s="220">
        <v>34.036000000000001</v>
      </c>
      <c r="AY85" s="221">
        <v>11.396000000000001</v>
      </c>
      <c r="AZ85" s="221">
        <v>-0.20699999999999999</v>
      </c>
      <c r="BA85" s="221">
        <v>11.394</v>
      </c>
      <c r="BB85" s="43">
        <f t="shared" si="27"/>
        <v>535310.49397031195</v>
      </c>
      <c r="BC85" s="43">
        <f t="shared" si="28"/>
        <v>9407739.3115895148</v>
      </c>
      <c r="BD85" s="226">
        <f t="shared" si="29"/>
        <v>119.01700000000001</v>
      </c>
      <c r="BE85" s="201"/>
    </row>
    <row r="86" spans="4:57" ht="14.25" customHeight="1" x14ac:dyDescent="0.3">
      <c r="E86" s="192"/>
      <c r="F86" s="450"/>
      <c r="G86" s="332"/>
      <c r="H86" s="332"/>
      <c r="I86" s="332"/>
      <c r="J86" s="332"/>
      <c r="K86" s="332"/>
      <c r="L86" s="332"/>
      <c r="M86" s="332"/>
      <c r="N86" s="332"/>
      <c r="O86" s="332"/>
      <c r="P86" s="332"/>
      <c r="Q86" s="332"/>
      <c r="R86" s="332"/>
      <c r="S86" s="332"/>
      <c r="T86" s="332"/>
      <c r="U86" s="332"/>
      <c r="V86" s="332"/>
      <c r="W86" s="332"/>
      <c r="X86" s="332"/>
      <c r="Y86" s="451"/>
      <c r="Z86" s="181"/>
      <c r="AC86" t="str">
        <f t="shared" si="7"/>
        <v>PO ,</v>
      </c>
      <c r="AI86" s="217"/>
      <c r="AJ86" s="217"/>
      <c r="AK86" s="218">
        <v>1.56</v>
      </c>
      <c r="AL86" s="217"/>
      <c r="AM86" s="217" t="s">
        <v>340</v>
      </c>
      <c r="AN86" s="217"/>
      <c r="AO86" s="5">
        <f t="shared" si="24"/>
        <v>217.30500000000001</v>
      </c>
      <c r="AP86" s="219">
        <v>217</v>
      </c>
      <c r="AQ86" s="219">
        <v>18</v>
      </c>
      <c r="AR86" s="219">
        <v>18</v>
      </c>
      <c r="AS86" s="5">
        <f t="shared" si="25"/>
        <v>217.30500000000001</v>
      </c>
      <c r="AT86" s="219">
        <v>91</v>
      </c>
      <c r="AU86" s="219">
        <v>2</v>
      </c>
      <c r="AV86" s="219">
        <v>47</v>
      </c>
      <c r="AW86" s="5">
        <f t="shared" si="26"/>
        <v>91.046388888888885</v>
      </c>
      <c r="AX86" s="220">
        <v>34.036000000000001</v>
      </c>
      <c r="AY86" s="221">
        <v>23.664999999999999</v>
      </c>
      <c r="AZ86" s="221">
        <v>-0.23100000000000001</v>
      </c>
      <c r="BA86" s="221">
        <v>23.663</v>
      </c>
      <c r="BB86" s="43">
        <f t="shared" si="27"/>
        <v>535310.64699935552</v>
      </c>
      <c r="BC86" s="43">
        <f t="shared" si="28"/>
        <v>9407739.2887421586</v>
      </c>
      <c r="BD86" s="226">
        <f t="shared" si="29"/>
        <v>131.286</v>
      </c>
      <c r="BE86" s="201"/>
    </row>
    <row r="87" spans="4:57" ht="14.25" customHeight="1" x14ac:dyDescent="0.3">
      <c r="E87" s="192"/>
      <c r="F87" s="450"/>
      <c r="G87" s="332"/>
      <c r="H87" s="332"/>
      <c r="I87" s="332"/>
      <c r="J87" s="332"/>
      <c r="K87" s="332"/>
      <c r="L87" s="332"/>
      <c r="M87" s="332"/>
      <c r="N87" s="332"/>
      <c r="O87" s="332"/>
      <c r="P87" s="332"/>
      <c r="Q87" s="332"/>
      <c r="R87" s="332"/>
      <c r="S87" s="332"/>
      <c r="T87" s="332"/>
      <c r="U87" s="332"/>
      <c r="V87" s="332"/>
      <c r="W87" s="332"/>
      <c r="X87" s="332"/>
      <c r="Y87" s="451"/>
      <c r="Z87" s="181"/>
      <c r="AC87" t="str">
        <f t="shared" si="7"/>
        <v>PO ,</v>
      </c>
      <c r="AI87" s="217"/>
      <c r="AJ87" s="217"/>
      <c r="AK87" s="218">
        <v>1.56</v>
      </c>
      <c r="AL87" s="217"/>
      <c r="AM87" s="217" t="s">
        <v>341</v>
      </c>
      <c r="AN87" s="217"/>
      <c r="AO87" s="5">
        <f t="shared" si="24"/>
        <v>214.39027777777778</v>
      </c>
      <c r="AP87" s="117">
        <v>214</v>
      </c>
      <c r="AQ87" s="117">
        <v>23</v>
      </c>
      <c r="AR87" s="117">
        <v>25</v>
      </c>
      <c r="AS87" s="5">
        <f t="shared" si="25"/>
        <v>214.39027777777778</v>
      </c>
      <c r="AT87" s="117">
        <v>91</v>
      </c>
      <c r="AU87" s="117">
        <v>2</v>
      </c>
      <c r="AV87" s="117">
        <v>48</v>
      </c>
      <c r="AW87" s="5">
        <f t="shared" si="26"/>
        <v>91.046666666666667</v>
      </c>
      <c r="AX87" s="220">
        <v>34.036000000000001</v>
      </c>
      <c r="AY87" s="230">
        <v>12.404999999999999</v>
      </c>
      <c r="AZ87" s="230">
        <v>-0.22700000000000001</v>
      </c>
      <c r="BA87" s="231">
        <v>12.403</v>
      </c>
      <c r="BB87" s="43">
        <f t="shared" si="27"/>
        <v>535310.63521572587</v>
      </c>
      <c r="BC87" s="43">
        <f t="shared" si="28"/>
        <v>9407739.2923225239</v>
      </c>
      <c r="BD87" s="226">
        <f t="shared" si="29"/>
        <v>120.02600000000001</v>
      </c>
      <c r="BE87" s="201"/>
    </row>
    <row r="88" spans="4:57" ht="14.25" customHeight="1" x14ac:dyDescent="0.3">
      <c r="E88" s="192"/>
      <c r="F88" s="452"/>
      <c r="G88" s="453"/>
      <c r="H88" s="453"/>
      <c r="I88" s="453"/>
      <c r="J88" s="453"/>
      <c r="K88" s="453"/>
      <c r="L88" s="453"/>
      <c r="M88" s="453"/>
      <c r="N88" s="453"/>
      <c r="O88" s="453"/>
      <c r="P88" s="453"/>
      <c r="Q88" s="453"/>
      <c r="R88" s="453"/>
      <c r="S88" s="453"/>
      <c r="T88" s="453"/>
      <c r="U88" s="453"/>
      <c r="V88" s="453"/>
      <c r="W88" s="453"/>
      <c r="X88" s="453"/>
      <c r="Y88" s="454"/>
      <c r="Z88" s="181"/>
      <c r="AC88" t="str">
        <f t="shared" si="7"/>
        <v>PO ,</v>
      </c>
      <c r="AI88" s="217"/>
      <c r="AJ88" s="217"/>
      <c r="AK88" s="218">
        <v>1.56</v>
      </c>
      <c r="AL88" s="217"/>
      <c r="AM88" s="217" t="s">
        <v>342</v>
      </c>
      <c r="AN88" s="217"/>
      <c r="AO88" s="5">
        <f t="shared" si="24"/>
        <v>232.7802777777778</v>
      </c>
      <c r="AP88" s="117">
        <v>232</v>
      </c>
      <c r="AQ88" s="117">
        <v>46</v>
      </c>
      <c r="AR88" s="117">
        <v>49</v>
      </c>
      <c r="AS88" s="5">
        <f t="shared" si="25"/>
        <v>232.7802777777778</v>
      </c>
      <c r="AT88" s="117">
        <v>91</v>
      </c>
      <c r="AU88" s="117">
        <v>2</v>
      </c>
      <c r="AV88" s="117">
        <v>54</v>
      </c>
      <c r="AW88" s="5">
        <f t="shared" si="26"/>
        <v>91.048333333333332</v>
      </c>
      <c r="AX88" s="220">
        <v>34.036000000000001</v>
      </c>
      <c r="AY88" s="230">
        <v>12.846</v>
      </c>
      <c r="AZ88" s="230">
        <v>0.23499999999999999</v>
      </c>
      <c r="BA88" s="231">
        <v>12.843999999999999</v>
      </c>
      <c r="BB88" s="43">
        <f t="shared" si="27"/>
        <v>535310.31986438704</v>
      </c>
      <c r="BC88" s="43">
        <f t="shared" si="28"/>
        <v>9407738.962854784</v>
      </c>
      <c r="BD88" s="226">
        <f t="shared" si="29"/>
        <v>120.467</v>
      </c>
      <c r="BE88" s="201"/>
    </row>
    <row r="89" spans="4:57" ht="14.25" customHeight="1" x14ac:dyDescent="0.3">
      <c r="E89" s="192"/>
      <c r="F89" s="192"/>
      <c r="G89" s="184"/>
      <c r="H89" s="192"/>
      <c r="I89" s="192"/>
      <c r="J89" s="180"/>
      <c r="K89" s="181"/>
      <c r="L89" s="185"/>
      <c r="M89" s="185"/>
      <c r="N89" s="185"/>
      <c r="O89" s="181"/>
      <c r="P89" s="185"/>
      <c r="Q89" s="185"/>
      <c r="R89" s="185"/>
      <c r="S89" s="181"/>
      <c r="T89" s="186"/>
      <c r="U89" s="186"/>
      <c r="V89" s="186"/>
      <c r="W89" s="181"/>
      <c r="X89" s="229"/>
      <c r="Y89" s="229"/>
      <c r="Z89" s="181"/>
      <c r="AC89" t="str">
        <f t="shared" si="7"/>
        <v>PO ,</v>
      </c>
      <c r="AI89" s="217"/>
      <c r="AJ89" s="217"/>
      <c r="AK89" s="218">
        <v>1.56</v>
      </c>
      <c r="AL89" s="217"/>
      <c r="AM89" s="217" t="s">
        <v>343</v>
      </c>
      <c r="AN89" s="217"/>
      <c r="AO89" s="5">
        <f t="shared" si="24"/>
        <v>235.13555555555556</v>
      </c>
      <c r="AP89" s="117">
        <v>235</v>
      </c>
      <c r="AQ89" s="117">
        <v>8</v>
      </c>
      <c r="AR89" s="117">
        <v>8</v>
      </c>
      <c r="AS89" s="5">
        <f t="shared" si="25"/>
        <v>235.13555555555556</v>
      </c>
      <c r="AT89" s="117">
        <v>91</v>
      </c>
      <c r="AU89" s="117">
        <v>2</v>
      </c>
      <c r="AV89" s="117">
        <v>54</v>
      </c>
      <c r="AW89" s="5">
        <f t="shared" si="26"/>
        <v>91.048333333333332</v>
      </c>
      <c r="AX89" s="220">
        <v>34.036000000000001</v>
      </c>
      <c r="AY89" s="230">
        <v>9.8780000000000001</v>
      </c>
      <c r="AZ89" s="230">
        <v>-0.18099999999999999</v>
      </c>
      <c r="BA89" s="231">
        <v>9.8759999999999994</v>
      </c>
      <c r="BB89" s="43">
        <f t="shared" si="27"/>
        <v>535310.65551172534</v>
      </c>
      <c r="BC89" s="43">
        <f t="shared" si="28"/>
        <v>9407739.2084662635</v>
      </c>
      <c r="BD89" s="5">
        <f t="shared" si="29"/>
        <v>117.49900000000001</v>
      </c>
      <c r="BE89" s="201"/>
    </row>
    <row r="90" spans="4:57" ht="14.25" customHeight="1" x14ac:dyDescent="0.3">
      <c r="E90" s="192"/>
      <c r="F90" s="192"/>
      <c r="G90" s="184"/>
      <c r="H90" s="192"/>
      <c r="I90" s="192"/>
      <c r="J90" s="180"/>
      <c r="K90" s="181"/>
      <c r="L90" s="185"/>
      <c r="M90" s="185"/>
      <c r="N90" s="185"/>
      <c r="O90" s="181"/>
      <c r="P90" s="185"/>
      <c r="Q90" s="185"/>
      <c r="R90" s="185"/>
      <c r="S90" s="181"/>
      <c r="T90" s="186"/>
      <c r="U90" s="186"/>
      <c r="V90" s="186"/>
      <c r="W90" s="181"/>
      <c r="X90" s="229"/>
      <c r="Y90" s="229"/>
      <c r="Z90" s="181"/>
      <c r="AC90" t="str">
        <f t="shared" si="7"/>
        <v>PO ,</v>
      </c>
      <c r="AI90" s="217"/>
      <c r="AJ90" s="217"/>
      <c r="AK90" s="218">
        <v>1.56</v>
      </c>
      <c r="AL90" s="217"/>
      <c r="AM90" s="217" t="s">
        <v>344</v>
      </c>
      <c r="AN90" s="217"/>
      <c r="AO90" s="5">
        <f t="shared" si="24"/>
        <v>235.54166666666666</v>
      </c>
      <c r="AP90" s="117">
        <v>235</v>
      </c>
      <c r="AQ90" s="117">
        <v>32</v>
      </c>
      <c r="AR90" s="117">
        <v>30</v>
      </c>
      <c r="AS90" s="5">
        <f t="shared" si="25"/>
        <v>235.54166666666666</v>
      </c>
      <c r="AT90" s="117">
        <v>91</v>
      </c>
      <c r="AU90" s="117">
        <v>2</v>
      </c>
      <c r="AV90" s="117">
        <v>50</v>
      </c>
      <c r="AW90" s="5">
        <f t="shared" si="26"/>
        <v>91.047222222222217</v>
      </c>
      <c r="AX90" s="220">
        <v>34.036000000000001</v>
      </c>
      <c r="AY90" s="230">
        <v>9.5619999999999994</v>
      </c>
      <c r="AZ90" s="230">
        <v>-0.17499999999999999</v>
      </c>
      <c r="BA90" s="231">
        <v>9.5429999999999993</v>
      </c>
      <c r="BB90" s="43">
        <f t="shared" si="27"/>
        <v>535310.65129412769</v>
      </c>
      <c r="BC90" s="43">
        <f t="shared" si="28"/>
        <v>9407739.2040161844</v>
      </c>
      <c r="BD90" s="5">
        <f t="shared" si="29"/>
        <v>117.166</v>
      </c>
      <c r="BE90" s="201"/>
    </row>
    <row r="91" spans="4:57" ht="14.25" customHeight="1" x14ac:dyDescent="0.3">
      <c r="E91" s="192"/>
      <c r="F91" s="192"/>
      <c r="G91" s="184"/>
      <c r="H91" s="192"/>
      <c r="I91" s="192"/>
      <c r="J91" s="180"/>
      <c r="K91" s="181"/>
      <c r="L91" s="185"/>
      <c r="M91" s="185"/>
      <c r="N91" s="185"/>
      <c r="O91" s="181"/>
      <c r="P91" s="185"/>
      <c r="Q91" s="185"/>
      <c r="R91" s="185"/>
      <c r="S91" s="181"/>
      <c r="T91" s="186"/>
      <c r="U91" s="186"/>
      <c r="V91" s="186"/>
      <c r="W91" s="181"/>
      <c r="X91" s="229"/>
      <c r="Y91" s="229"/>
      <c r="Z91" s="181"/>
      <c r="AC91" t="str">
        <f t="shared" si="7"/>
        <v>PO ,</v>
      </c>
      <c r="AI91" s="217"/>
      <c r="AJ91" s="217"/>
      <c r="AK91" s="218">
        <v>1.56</v>
      </c>
      <c r="AL91" s="217"/>
      <c r="AM91" s="217" t="s">
        <v>345</v>
      </c>
      <c r="AN91" s="217"/>
      <c r="AO91" s="5">
        <f t="shared" si="24"/>
        <v>217.54166666666666</v>
      </c>
      <c r="AP91" s="117">
        <v>217</v>
      </c>
      <c r="AQ91" s="117">
        <v>32</v>
      </c>
      <c r="AR91" s="117">
        <v>30</v>
      </c>
      <c r="AS91" s="5">
        <f t="shared" si="25"/>
        <v>217.54166666666666</v>
      </c>
      <c r="AT91" s="117">
        <v>91</v>
      </c>
      <c r="AU91" s="117">
        <v>2</v>
      </c>
      <c r="AV91" s="117">
        <v>50</v>
      </c>
      <c r="AW91" s="5">
        <f t="shared" si="26"/>
        <v>91.047222222222217</v>
      </c>
      <c r="AX91" s="220">
        <v>34.036000000000001</v>
      </c>
      <c r="AY91" s="230">
        <v>8.5939999999999994</v>
      </c>
      <c r="AZ91" s="230">
        <v>-0.157</v>
      </c>
      <c r="BA91" s="231">
        <v>8.5429999999999993</v>
      </c>
      <c r="BB91" s="43">
        <f t="shared" si="27"/>
        <v>535310.60266609909</v>
      </c>
      <c r="BC91" s="43">
        <f t="shared" si="28"/>
        <v>9407739.2294869367</v>
      </c>
      <c r="BD91" s="5">
        <f t="shared" si="29"/>
        <v>116.166</v>
      </c>
      <c r="BE91" s="201"/>
    </row>
    <row r="92" spans="4:57" ht="14.25" customHeight="1" x14ac:dyDescent="0.3">
      <c r="E92" s="192">
        <v>1.55</v>
      </c>
      <c r="F92" s="192" t="s">
        <v>16</v>
      </c>
      <c r="G92" s="184">
        <v>1.75</v>
      </c>
      <c r="H92" s="192"/>
      <c r="I92" s="192" t="s">
        <v>346</v>
      </c>
      <c r="J92" s="180"/>
      <c r="K92" s="181">
        <v>249.74600000000001</v>
      </c>
      <c r="L92" s="185">
        <v>319</v>
      </c>
      <c r="M92" s="185">
        <v>12</v>
      </c>
      <c r="N92" s="185">
        <v>12</v>
      </c>
      <c r="O92" s="181">
        <f t="shared" ref="O92:O100" si="30">L92+(M92/60)+(N92/3600)</f>
        <v>319.20333333333332</v>
      </c>
      <c r="P92" s="185">
        <v>89</v>
      </c>
      <c r="Q92" s="185">
        <v>18</v>
      </c>
      <c r="R92" s="185">
        <v>44</v>
      </c>
      <c r="S92" s="181">
        <f t="shared" ref="S92:S100" si="31">P92+(Q92/60)+(R92/3600)</f>
        <v>89.312222222222218</v>
      </c>
      <c r="T92" s="186">
        <v>56.655000000000001</v>
      </c>
      <c r="U92" s="186">
        <v>0.68300000000000005</v>
      </c>
      <c r="V92" s="186">
        <v>56.651000000000003</v>
      </c>
      <c r="W92" s="181">
        <f t="shared" ref="W92:W100" si="32">U92+$E$58-G92</f>
        <v>0.37300000000000022</v>
      </c>
      <c r="X92" s="182">
        <v>535310.50699999998</v>
      </c>
      <c r="Y92" s="182">
        <v>9407739.1050000004</v>
      </c>
      <c r="Z92" s="181">
        <f>$Z$36+W92</f>
        <v>107.15900000000001</v>
      </c>
      <c r="AC92" t="str">
        <f t="shared" si="7"/>
        <v>PO 535310,507,9407739,105</v>
      </c>
      <c r="AI92" s="217"/>
      <c r="AJ92" s="217"/>
      <c r="AK92" s="218">
        <v>1.56</v>
      </c>
      <c r="AL92" s="217"/>
      <c r="AM92" s="217" t="s">
        <v>347</v>
      </c>
      <c r="AN92" s="217"/>
      <c r="AO92" s="5">
        <f t="shared" si="24"/>
        <v>218.52333333333334</v>
      </c>
      <c r="AP92" s="117">
        <v>218</v>
      </c>
      <c r="AQ92" s="117">
        <v>31</v>
      </c>
      <c r="AR92" s="117">
        <v>24</v>
      </c>
      <c r="AS92" s="5">
        <f t="shared" si="25"/>
        <v>218.52333333333334</v>
      </c>
      <c r="AT92" s="117">
        <v>91</v>
      </c>
      <c r="AU92" s="117">
        <v>2</v>
      </c>
      <c r="AV92" s="117">
        <v>51</v>
      </c>
      <c r="AW92" s="5">
        <f t="shared" si="26"/>
        <v>91.047499999999999</v>
      </c>
      <c r="AX92" s="220">
        <v>34.036000000000001</v>
      </c>
      <c r="AY92" s="230">
        <v>8.1839999999999993</v>
      </c>
      <c r="AZ92" s="230">
        <v>-0.15</v>
      </c>
      <c r="BA92" s="231">
        <v>8.1880000000000006</v>
      </c>
      <c r="BB92" s="43">
        <f t="shared" si="27"/>
        <v>535310.6004249946</v>
      </c>
      <c r="BC92" s="43">
        <f t="shared" si="28"/>
        <v>9407739.2223531865</v>
      </c>
      <c r="BD92" s="5">
        <f t="shared" si="29"/>
        <v>115.81100000000001</v>
      </c>
      <c r="BE92" s="201"/>
    </row>
    <row r="93" spans="4:57" ht="14.25" customHeight="1" x14ac:dyDescent="0.3">
      <c r="D93" s="232"/>
      <c r="E93" s="192"/>
      <c r="F93" s="192" t="s">
        <v>348</v>
      </c>
      <c r="G93" s="184">
        <v>1.75</v>
      </c>
      <c r="H93" s="192"/>
      <c r="I93" s="192" t="s">
        <v>349</v>
      </c>
      <c r="J93" s="180"/>
      <c r="K93" s="181">
        <f t="shared" ref="K93:K100" si="33">MOD($K$58+O93,360)</f>
        <v>333.42405555555547</v>
      </c>
      <c r="L93" s="185">
        <v>299</v>
      </c>
      <c r="M93" s="185">
        <v>17</v>
      </c>
      <c r="N93" s="185">
        <v>17</v>
      </c>
      <c r="O93" s="181">
        <f t="shared" si="30"/>
        <v>299.28805555555556</v>
      </c>
      <c r="P93" s="185">
        <v>83</v>
      </c>
      <c r="Q93" s="185">
        <v>25</v>
      </c>
      <c r="R93" s="185">
        <v>48</v>
      </c>
      <c r="S93" s="181">
        <f t="shared" si="31"/>
        <v>83.43</v>
      </c>
      <c r="T93" s="186">
        <v>4.7930000000000001</v>
      </c>
      <c r="U93" s="186">
        <v>0.54800000000000004</v>
      </c>
      <c r="V93" s="186">
        <v>4.7619999999999996</v>
      </c>
      <c r="W93" s="181">
        <f t="shared" si="32"/>
        <v>0.23799999999999999</v>
      </c>
      <c r="X93" s="229">
        <f t="shared" ref="X93:X100" si="34">$X$92+V93*SIN(RADIANS(K93))</f>
        <v>535308.37655911141</v>
      </c>
      <c r="Y93" s="229">
        <f t="shared" ref="Y93:Y100" si="35">$Y$92+V93*COS(RADIANS(K93))</f>
        <v>9407743.363857314</v>
      </c>
      <c r="Z93" s="181">
        <f>$Z$92+W93</f>
        <v>107.39700000000001</v>
      </c>
      <c r="AC93" t="str">
        <f t="shared" si="7"/>
        <v>PO 535308,376559111,9407743,36385731</v>
      </c>
      <c r="AI93" s="217"/>
      <c r="AJ93" s="217"/>
      <c r="AK93" s="218">
        <v>1.56</v>
      </c>
      <c r="AL93" s="217"/>
      <c r="AM93" s="217" t="s">
        <v>350</v>
      </c>
      <c r="AN93" s="217"/>
      <c r="AO93" s="5">
        <f t="shared" si="24"/>
        <v>235.91499999999999</v>
      </c>
      <c r="AP93" s="117">
        <v>235</v>
      </c>
      <c r="AQ93" s="117">
        <v>54</v>
      </c>
      <c r="AR93" s="117">
        <v>54</v>
      </c>
      <c r="AS93" s="5">
        <f t="shared" si="25"/>
        <v>235.91499999999999</v>
      </c>
      <c r="AT93" s="117">
        <v>91</v>
      </c>
      <c r="AU93" s="117">
        <v>2</v>
      </c>
      <c r="AV93" s="117">
        <v>54</v>
      </c>
      <c r="AW93" s="5">
        <f t="shared" si="26"/>
        <v>91.048333333333332</v>
      </c>
      <c r="AX93" s="220">
        <v>34.036000000000001</v>
      </c>
      <c r="AY93" s="230">
        <v>6.2359999999999998</v>
      </c>
      <c r="AZ93" s="230">
        <v>-0.114</v>
      </c>
      <c r="BA93" s="231">
        <v>6.2350000000000003</v>
      </c>
      <c r="BB93" s="43">
        <f t="shared" si="27"/>
        <v>535310.60141560726</v>
      </c>
      <c r="BC93" s="43">
        <f t="shared" si="28"/>
        <v>9407739.1688881293</v>
      </c>
      <c r="BD93" s="5">
        <f t="shared" si="29"/>
        <v>113.858</v>
      </c>
      <c r="BE93" s="201"/>
    </row>
    <row r="94" spans="4:57" ht="14.25" customHeight="1" x14ac:dyDescent="0.3">
      <c r="D94" s="232"/>
      <c r="E94" s="192"/>
      <c r="F94" s="192" t="s">
        <v>351</v>
      </c>
      <c r="G94" s="184">
        <v>1.75</v>
      </c>
      <c r="H94" s="192"/>
      <c r="I94" s="192" t="s">
        <v>352</v>
      </c>
      <c r="J94" s="180"/>
      <c r="K94" s="181">
        <f t="shared" si="33"/>
        <v>337.27155555555555</v>
      </c>
      <c r="L94" s="185">
        <v>303</v>
      </c>
      <c r="M94" s="185">
        <v>8</v>
      </c>
      <c r="N94" s="185">
        <v>8</v>
      </c>
      <c r="O94" s="181">
        <f t="shared" si="30"/>
        <v>303.13555555555553</v>
      </c>
      <c r="P94" s="185">
        <v>82</v>
      </c>
      <c r="Q94" s="185">
        <v>8</v>
      </c>
      <c r="R94" s="185">
        <v>35</v>
      </c>
      <c r="S94" s="181">
        <f t="shared" si="31"/>
        <v>82.143055555555563</v>
      </c>
      <c r="T94" s="186">
        <v>6.0220000000000002</v>
      </c>
      <c r="U94" s="186">
        <v>0.71899999999999997</v>
      </c>
      <c r="V94" s="186">
        <v>5.9710000000000001</v>
      </c>
      <c r="W94" s="181">
        <f t="shared" si="32"/>
        <v>0.40899999999999981</v>
      </c>
      <c r="X94" s="229">
        <f t="shared" si="34"/>
        <v>535308.20002062735</v>
      </c>
      <c r="Y94" s="229">
        <f t="shared" si="35"/>
        <v>9407744.6123303138</v>
      </c>
      <c r="Z94" s="181">
        <f t="shared" ref="Z94:Z100" si="36">$Z$58+W94</f>
        <v>108.03200000000001</v>
      </c>
      <c r="AC94" t="str">
        <f t="shared" si="7"/>
        <v>PO 535308,200020627,9407744,61233031</v>
      </c>
      <c r="AI94" s="217"/>
      <c r="AJ94" s="217"/>
      <c r="AK94" s="218">
        <v>1.56</v>
      </c>
      <c r="AL94" s="217"/>
      <c r="AM94" s="217" t="s">
        <v>353</v>
      </c>
      <c r="AN94" s="217"/>
      <c r="AO94" s="5">
        <f t="shared" si="24"/>
        <v>257.35583333333335</v>
      </c>
      <c r="AP94" s="117">
        <v>257</v>
      </c>
      <c r="AQ94" s="117">
        <v>21</v>
      </c>
      <c r="AR94" s="117">
        <v>21</v>
      </c>
      <c r="AS94" s="5">
        <f t="shared" si="25"/>
        <v>257.35583333333335</v>
      </c>
      <c r="AT94" s="117">
        <v>91</v>
      </c>
      <c r="AU94" s="117">
        <v>2</v>
      </c>
      <c r="AV94" s="117">
        <v>58</v>
      </c>
      <c r="AW94" s="5">
        <f t="shared" si="26"/>
        <v>91.049444444444447</v>
      </c>
      <c r="AX94" s="220">
        <v>34.036000000000001</v>
      </c>
      <c r="AY94" s="230">
        <v>4.8460000000000001</v>
      </c>
      <c r="AZ94" s="230">
        <v>-8.8999999999999996E-2</v>
      </c>
      <c r="BA94" s="231">
        <v>4.8449999999999998</v>
      </c>
      <c r="BB94" s="43">
        <f t="shared" si="27"/>
        <v>535310.59384160012</v>
      </c>
      <c r="BC94" s="43">
        <f t="shared" si="28"/>
        <v>9407739.1244816966</v>
      </c>
      <c r="BD94" s="5">
        <f t="shared" si="29"/>
        <v>112.468</v>
      </c>
      <c r="BE94" s="201"/>
    </row>
    <row r="95" spans="4:57" ht="14.25" customHeight="1" x14ac:dyDescent="0.3">
      <c r="D95" s="232"/>
      <c r="E95" s="192"/>
      <c r="F95" s="192" t="s">
        <v>354</v>
      </c>
      <c r="G95" s="184">
        <v>1.75</v>
      </c>
      <c r="H95" s="192"/>
      <c r="I95" s="192" t="s">
        <v>355</v>
      </c>
      <c r="J95" s="180"/>
      <c r="K95" s="181">
        <f t="shared" si="33"/>
        <v>330.08516666666662</v>
      </c>
      <c r="L95" s="185">
        <v>295</v>
      </c>
      <c r="M95" s="185">
        <v>56</v>
      </c>
      <c r="N95" s="185">
        <v>57</v>
      </c>
      <c r="O95" s="181">
        <f t="shared" si="30"/>
        <v>295.94916666666666</v>
      </c>
      <c r="P95" s="185">
        <v>80</v>
      </c>
      <c r="Q95" s="185">
        <v>17</v>
      </c>
      <c r="R95" s="185">
        <v>1</v>
      </c>
      <c r="S95" s="181">
        <f t="shared" si="31"/>
        <v>80.283611111111114</v>
      </c>
      <c r="T95" s="186">
        <v>6.2169999999999996</v>
      </c>
      <c r="U95" s="186">
        <v>1.0489999999999999</v>
      </c>
      <c r="V95" s="186">
        <v>6.1280000000000001</v>
      </c>
      <c r="W95" s="181">
        <f t="shared" si="32"/>
        <v>0.73899999999999988</v>
      </c>
      <c r="X95" s="229">
        <f t="shared" si="34"/>
        <v>535307.45089191792</v>
      </c>
      <c r="Y95" s="229">
        <f t="shared" si="35"/>
        <v>9407744.4165522587</v>
      </c>
      <c r="Z95" s="181">
        <f t="shared" si="36"/>
        <v>108.36200000000001</v>
      </c>
      <c r="AC95" t="str">
        <f t="shared" si="7"/>
        <v>PO 535307,450891918,9407744,41655226</v>
      </c>
      <c r="AI95" s="217"/>
      <c r="AJ95" s="217"/>
      <c r="AK95" s="218">
        <v>1.56</v>
      </c>
      <c r="AL95" s="217"/>
      <c r="AM95" s="217" t="s">
        <v>356</v>
      </c>
      <c r="AN95" s="217"/>
      <c r="AO95" s="5">
        <f t="shared" si="24"/>
        <v>199.01750000000001</v>
      </c>
      <c r="AP95" s="117">
        <v>199</v>
      </c>
      <c r="AQ95" s="117">
        <v>1</v>
      </c>
      <c r="AR95" s="117">
        <v>3</v>
      </c>
      <c r="AS95" s="5">
        <f t="shared" si="25"/>
        <v>199.01750000000001</v>
      </c>
      <c r="AT95" s="117">
        <v>91</v>
      </c>
      <c r="AU95" s="117">
        <v>2</v>
      </c>
      <c r="AV95" s="117">
        <v>46</v>
      </c>
      <c r="AW95" s="5">
        <f t="shared" si="26"/>
        <v>91.046111111111102</v>
      </c>
      <c r="AX95" s="220">
        <v>34.036000000000001</v>
      </c>
      <c r="AY95" s="230">
        <v>7.5670000000000002</v>
      </c>
      <c r="AZ95" s="230">
        <v>-0.13800000000000001</v>
      </c>
      <c r="BA95" s="231">
        <v>7.5659999999999998</v>
      </c>
      <c r="BB95" s="43">
        <f t="shared" si="27"/>
        <v>535310.55196825648</v>
      </c>
      <c r="BC95" s="43">
        <f t="shared" si="28"/>
        <v>9407739.2354678344</v>
      </c>
      <c r="BD95" s="5">
        <f t="shared" si="29"/>
        <v>115.18900000000001</v>
      </c>
      <c r="BE95" s="201"/>
    </row>
    <row r="96" spans="4:57" ht="14.25" customHeight="1" x14ac:dyDescent="0.3">
      <c r="D96" s="232"/>
      <c r="E96" s="192"/>
      <c r="F96" s="192" t="s">
        <v>357</v>
      </c>
      <c r="G96" s="184">
        <v>1.75</v>
      </c>
      <c r="H96" s="192"/>
      <c r="I96" s="192" t="s">
        <v>358</v>
      </c>
      <c r="J96" s="180"/>
      <c r="K96" s="181">
        <f t="shared" si="33"/>
        <v>330.13655555555556</v>
      </c>
      <c r="L96" s="185">
        <v>296</v>
      </c>
      <c r="M96" s="185">
        <v>0</v>
      </c>
      <c r="N96" s="185">
        <v>2</v>
      </c>
      <c r="O96" s="181">
        <f t="shared" si="30"/>
        <v>296.00055555555554</v>
      </c>
      <c r="P96" s="185">
        <v>80</v>
      </c>
      <c r="Q96" s="185">
        <v>6</v>
      </c>
      <c r="R96" s="185">
        <v>21</v>
      </c>
      <c r="S96" s="181">
        <f t="shared" si="31"/>
        <v>80.105833333333322</v>
      </c>
      <c r="T96" s="186">
        <v>6.4210000000000003</v>
      </c>
      <c r="U96" s="186">
        <v>1.103</v>
      </c>
      <c r="V96" s="186">
        <v>6.3259999999999996</v>
      </c>
      <c r="W96" s="181">
        <f t="shared" si="32"/>
        <v>0.79300000000000015</v>
      </c>
      <c r="X96" s="229">
        <f t="shared" si="34"/>
        <v>535307.357066066</v>
      </c>
      <c r="Y96" s="229">
        <f t="shared" si="35"/>
        <v>9407744.5909996554</v>
      </c>
      <c r="Z96" s="181">
        <f t="shared" si="36"/>
        <v>108.41600000000001</v>
      </c>
      <c r="AC96" t="str">
        <f t="shared" si="7"/>
        <v>PO 535307,357066066,9407744,59099966</v>
      </c>
      <c r="AI96" s="217"/>
      <c r="AJ96" s="217"/>
      <c r="AK96" s="218">
        <v>1.56</v>
      </c>
      <c r="AL96" s="217"/>
      <c r="AM96" s="217" t="s">
        <v>359</v>
      </c>
      <c r="AN96" s="217"/>
      <c r="AO96" s="5">
        <f t="shared" si="24"/>
        <v>166.89861111111111</v>
      </c>
      <c r="AP96" s="117">
        <v>166</v>
      </c>
      <c r="AQ96" s="117">
        <v>53</v>
      </c>
      <c r="AR96" s="117">
        <v>55</v>
      </c>
      <c r="AS96" s="5">
        <f t="shared" si="25"/>
        <v>166.89861111111111</v>
      </c>
      <c r="AT96" s="117">
        <v>91</v>
      </c>
      <c r="AU96" s="117">
        <v>2</v>
      </c>
      <c r="AV96" s="117">
        <v>31</v>
      </c>
      <c r="AW96" s="5">
        <f t="shared" si="26"/>
        <v>91.041944444444439</v>
      </c>
      <c r="AX96" s="220">
        <v>34.036000000000001</v>
      </c>
      <c r="AY96" s="230">
        <v>4.7</v>
      </c>
      <c r="AZ96" s="230">
        <v>-8.5000000000000006E-2</v>
      </c>
      <c r="BA96" s="231">
        <v>4.6989999999999998</v>
      </c>
      <c r="BB96" s="43">
        <f t="shared" si="27"/>
        <v>535310.48773263197</v>
      </c>
      <c r="BC96" s="43">
        <f t="shared" si="28"/>
        <v>9407739.18778749</v>
      </c>
      <c r="BD96" s="5">
        <f t="shared" si="29"/>
        <v>112.322</v>
      </c>
      <c r="BE96" s="201"/>
    </row>
    <row r="97" spans="4:57" ht="14.25" customHeight="1" x14ac:dyDescent="0.3">
      <c r="D97" s="232"/>
      <c r="E97" s="192"/>
      <c r="F97" s="192" t="s">
        <v>360</v>
      </c>
      <c r="G97" s="184">
        <v>1.75</v>
      </c>
      <c r="H97" s="192"/>
      <c r="I97" s="192" t="s">
        <v>361</v>
      </c>
      <c r="J97" s="180"/>
      <c r="K97" s="181">
        <f t="shared" si="33"/>
        <v>323.06794444444449</v>
      </c>
      <c r="L97" s="185">
        <v>288</v>
      </c>
      <c r="M97" s="185">
        <v>55</v>
      </c>
      <c r="N97" s="185">
        <v>55</v>
      </c>
      <c r="O97" s="181">
        <f t="shared" si="30"/>
        <v>288.93194444444447</v>
      </c>
      <c r="P97" s="185">
        <v>87</v>
      </c>
      <c r="Q97" s="185">
        <v>15</v>
      </c>
      <c r="R97" s="185">
        <v>22</v>
      </c>
      <c r="S97" s="181">
        <f t="shared" si="31"/>
        <v>87.25611111111111</v>
      </c>
      <c r="T97" s="186">
        <v>33.253999999999998</v>
      </c>
      <c r="U97" s="186">
        <v>1.0591999999999999</v>
      </c>
      <c r="V97" s="186">
        <v>33.216000000000001</v>
      </c>
      <c r="W97" s="181">
        <f t="shared" si="32"/>
        <v>0.74920000000000009</v>
      </c>
      <c r="X97" s="229">
        <f t="shared" si="34"/>
        <v>535290.54858396086</v>
      </c>
      <c r="Y97" s="229">
        <f t="shared" si="35"/>
        <v>9407765.6561635379</v>
      </c>
      <c r="Z97" s="181">
        <f t="shared" si="36"/>
        <v>108.37220000000001</v>
      </c>
      <c r="AC97" t="str">
        <f t="shared" si="7"/>
        <v>PO 535290,548583961,9407765,65616354</v>
      </c>
      <c r="AI97" s="217"/>
      <c r="AJ97" s="217"/>
      <c r="AK97" s="218">
        <v>1.56</v>
      </c>
      <c r="AL97" s="217"/>
      <c r="AM97" s="217" t="s">
        <v>362</v>
      </c>
      <c r="AN97" s="217"/>
      <c r="AO97" s="5">
        <f t="shared" si="24"/>
        <v>165.71166666666664</v>
      </c>
      <c r="AP97" s="117">
        <v>165</v>
      </c>
      <c r="AQ97" s="117">
        <v>42</v>
      </c>
      <c r="AR97" s="117">
        <v>42</v>
      </c>
      <c r="AS97" s="5">
        <f t="shared" si="25"/>
        <v>165.71166666666664</v>
      </c>
      <c r="AT97" s="117">
        <v>91</v>
      </c>
      <c r="AU97" s="117">
        <v>2</v>
      </c>
      <c r="AV97" s="117">
        <v>28</v>
      </c>
      <c r="AW97" s="5">
        <f t="shared" si="26"/>
        <v>91.041111111111107</v>
      </c>
      <c r="AX97" s="220">
        <v>34.036000000000001</v>
      </c>
      <c r="AY97" s="230">
        <v>3.7709999999999999</v>
      </c>
      <c r="AZ97" s="230">
        <v>-5.8999999999999997E-2</v>
      </c>
      <c r="BA97" s="231">
        <v>3.77</v>
      </c>
      <c r="BB97" s="43">
        <f t="shared" si="27"/>
        <v>535310.49243869993</v>
      </c>
      <c r="BC97" s="43">
        <f t="shared" si="28"/>
        <v>9407739.1621748954</v>
      </c>
      <c r="BD97" s="5">
        <f t="shared" si="29"/>
        <v>111.393</v>
      </c>
      <c r="BE97" s="201"/>
    </row>
    <row r="98" spans="4:57" ht="14.25" customHeight="1" x14ac:dyDescent="0.3">
      <c r="D98" s="232"/>
      <c r="E98" s="192"/>
      <c r="F98" s="192"/>
      <c r="G98" s="184">
        <v>1.75</v>
      </c>
      <c r="H98" s="192"/>
      <c r="I98" s="192" t="s">
        <v>363</v>
      </c>
      <c r="J98" s="180"/>
      <c r="K98" s="181">
        <f t="shared" si="33"/>
        <v>250.221</v>
      </c>
      <c r="L98" s="185">
        <v>216</v>
      </c>
      <c r="M98" s="185">
        <v>5</v>
      </c>
      <c r="N98" s="185">
        <v>6</v>
      </c>
      <c r="O98" s="181">
        <f t="shared" si="30"/>
        <v>216.08500000000001</v>
      </c>
      <c r="P98" s="185">
        <v>87</v>
      </c>
      <c r="Q98" s="185">
        <v>22</v>
      </c>
      <c r="R98" s="185">
        <v>45</v>
      </c>
      <c r="S98" s="181">
        <f t="shared" si="31"/>
        <v>87.379166666666663</v>
      </c>
      <c r="T98" s="186">
        <v>32.923999999999999</v>
      </c>
      <c r="U98" s="186">
        <v>1.4770000000000001</v>
      </c>
      <c r="V98" s="186">
        <v>32.890999999999998</v>
      </c>
      <c r="W98" s="181">
        <f t="shared" si="32"/>
        <v>1.1669999999999998</v>
      </c>
      <c r="X98" s="229">
        <f t="shared" si="34"/>
        <v>535279.55640916002</v>
      </c>
      <c r="Y98" s="229">
        <f t="shared" si="35"/>
        <v>9407727.9749143012</v>
      </c>
      <c r="Z98" s="181">
        <f t="shared" si="36"/>
        <v>108.79</v>
      </c>
      <c r="AC98" t="str">
        <f t="shared" si="7"/>
        <v>PO 535279,55640916,9407727,9749143</v>
      </c>
      <c r="AI98" s="217"/>
      <c r="AJ98" s="217"/>
      <c r="AK98" s="218">
        <v>1.56</v>
      </c>
      <c r="AL98" s="217"/>
      <c r="AM98" s="217" t="s">
        <v>364</v>
      </c>
      <c r="AN98" s="217"/>
      <c r="AO98" s="5">
        <f t="shared" si="24"/>
        <v>116.06805555555555</v>
      </c>
      <c r="AP98" s="117">
        <v>116</v>
      </c>
      <c r="AQ98" s="117">
        <v>4</v>
      </c>
      <c r="AR98" s="117">
        <v>5</v>
      </c>
      <c r="AS98" s="5">
        <f t="shared" si="25"/>
        <v>116.06805555555555</v>
      </c>
      <c r="AT98" s="117">
        <v>91</v>
      </c>
      <c r="AU98" s="117">
        <v>2</v>
      </c>
      <c r="AV98" s="117">
        <v>23</v>
      </c>
      <c r="AW98" s="5">
        <f t="shared" si="26"/>
        <v>91.039722222222224</v>
      </c>
      <c r="AX98" s="220">
        <v>34.036000000000001</v>
      </c>
      <c r="AY98" s="230">
        <v>7.2629999999999999</v>
      </c>
      <c r="AZ98" s="230">
        <v>-0.13200000000000001</v>
      </c>
      <c r="BA98" s="231">
        <v>7.2619999999999996</v>
      </c>
      <c r="BB98" s="43">
        <f t="shared" si="27"/>
        <v>535310.3884280012</v>
      </c>
      <c r="BC98" s="43">
        <f t="shared" si="28"/>
        <v>9407739.1630058717</v>
      </c>
      <c r="BD98" s="5">
        <f t="shared" si="29"/>
        <v>114.88500000000001</v>
      </c>
      <c r="BE98" s="201"/>
    </row>
    <row r="99" spans="4:57" ht="14.25" customHeight="1" x14ac:dyDescent="0.3">
      <c r="D99" s="232"/>
      <c r="E99" s="192"/>
      <c r="F99" s="192"/>
      <c r="G99" s="184">
        <v>1.75</v>
      </c>
      <c r="H99" s="192"/>
      <c r="I99" s="192" t="s">
        <v>244</v>
      </c>
      <c r="J99" s="180"/>
      <c r="K99" s="181">
        <f t="shared" si="33"/>
        <v>311.35655555555547</v>
      </c>
      <c r="L99" s="185">
        <v>277</v>
      </c>
      <c r="M99" s="185">
        <v>13</v>
      </c>
      <c r="N99" s="185">
        <v>14</v>
      </c>
      <c r="O99" s="181">
        <f t="shared" si="30"/>
        <v>277.22055555555551</v>
      </c>
      <c r="P99" s="185">
        <v>87</v>
      </c>
      <c r="Q99" s="185">
        <v>2</v>
      </c>
      <c r="R99" s="185">
        <v>22</v>
      </c>
      <c r="S99" s="181">
        <f t="shared" si="31"/>
        <v>87.039444444444442</v>
      </c>
      <c r="T99" s="186">
        <v>34.289000000000001</v>
      </c>
      <c r="U99" s="186">
        <v>1.7709999999999999</v>
      </c>
      <c r="V99" s="186">
        <v>34.243000000000002</v>
      </c>
      <c r="W99" s="181">
        <f t="shared" si="32"/>
        <v>1.4609999999999999</v>
      </c>
      <c r="X99" s="229">
        <f t="shared" si="34"/>
        <v>535284.80378325959</v>
      </c>
      <c r="Y99" s="229">
        <f t="shared" si="35"/>
        <v>9407761.7308192831</v>
      </c>
      <c r="Z99" s="181">
        <f t="shared" si="36"/>
        <v>109.084</v>
      </c>
      <c r="AC99" t="str">
        <f t="shared" si="7"/>
        <v>PO 535284,80378326,9407761,73081928</v>
      </c>
      <c r="AI99" s="217"/>
      <c r="AJ99" s="217"/>
      <c r="AK99" s="218">
        <v>1.56</v>
      </c>
      <c r="AL99" s="217"/>
      <c r="AM99" s="217" t="s">
        <v>365</v>
      </c>
      <c r="AN99" s="217"/>
      <c r="AO99" s="5">
        <f t="shared" si="24"/>
        <v>114.28805555555556</v>
      </c>
      <c r="AP99" s="117">
        <v>114</v>
      </c>
      <c r="AQ99" s="117">
        <v>17</v>
      </c>
      <c r="AR99" s="117">
        <v>17</v>
      </c>
      <c r="AS99" s="5">
        <f t="shared" si="25"/>
        <v>114.28805555555556</v>
      </c>
      <c r="AT99" s="117">
        <v>91</v>
      </c>
      <c r="AU99" s="117">
        <v>2</v>
      </c>
      <c r="AV99" s="117">
        <v>27</v>
      </c>
      <c r="AW99" s="5">
        <f t="shared" si="26"/>
        <v>91.040833333333325</v>
      </c>
      <c r="AX99" s="220">
        <v>34.036000000000001</v>
      </c>
      <c r="AY99" s="230">
        <v>7.242</v>
      </c>
      <c r="AZ99" s="230">
        <v>-0.13100000000000001</v>
      </c>
      <c r="BA99" s="231">
        <v>7.2409999999999997</v>
      </c>
      <c r="BB99" s="43">
        <f t="shared" si="27"/>
        <v>535310.38759493502</v>
      </c>
      <c r="BC99" s="43">
        <f t="shared" si="28"/>
        <v>9407739.1588834897</v>
      </c>
      <c r="BD99" s="5">
        <f t="shared" si="29"/>
        <v>114.864</v>
      </c>
      <c r="BE99" s="201"/>
    </row>
    <row r="100" spans="4:57" ht="14.25" customHeight="1" x14ac:dyDescent="0.3">
      <c r="D100" s="232"/>
      <c r="E100" s="192"/>
      <c r="F100" s="192"/>
      <c r="G100" s="184">
        <v>1.75</v>
      </c>
      <c r="H100" s="192"/>
      <c r="I100" s="192" t="s">
        <v>366</v>
      </c>
      <c r="J100" s="180"/>
      <c r="K100" s="181">
        <f t="shared" si="33"/>
        <v>250.45794444444437</v>
      </c>
      <c r="L100" s="185">
        <v>216</v>
      </c>
      <c r="M100" s="185">
        <v>19</v>
      </c>
      <c r="N100" s="185">
        <v>19</v>
      </c>
      <c r="O100" s="181">
        <f t="shared" si="30"/>
        <v>216.32194444444445</v>
      </c>
      <c r="P100" s="185">
        <v>87</v>
      </c>
      <c r="Q100" s="185">
        <v>4</v>
      </c>
      <c r="R100" s="185">
        <v>24</v>
      </c>
      <c r="S100" s="181">
        <f t="shared" si="31"/>
        <v>87.073333333333323</v>
      </c>
      <c r="T100" s="186">
        <v>34.036000000000001</v>
      </c>
      <c r="U100" s="186">
        <v>1.738</v>
      </c>
      <c r="V100" s="186">
        <v>33.991999999999997</v>
      </c>
      <c r="W100" s="181">
        <f t="shared" si="32"/>
        <v>1.4279999999999999</v>
      </c>
      <c r="X100" s="229">
        <f t="shared" si="34"/>
        <v>535278.47306767933</v>
      </c>
      <c r="Y100" s="229">
        <f t="shared" si="35"/>
        <v>9407727.7347210199</v>
      </c>
      <c r="Z100" s="181">
        <f t="shared" si="36"/>
        <v>109.051</v>
      </c>
      <c r="AC100" t="str">
        <f t="shared" si="7"/>
        <v>PO 535278,473067679,9407727,73472102</v>
      </c>
      <c r="AI100" s="217"/>
      <c r="AJ100" s="217"/>
      <c r="AK100" s="218">
        <v>1.56</v>
      </c>
      <c r="AL100" s="217"/>
      <c r="AM100" s="217" t="s">
        <v>367</v>
      </c>
      <c r="AN100" s="217"/>
      <c r="AO100" s="5">
        <f t="shared" si="24"/>
        <v>115.79138888888889</v>
      </c>
      <c r="AP100" s="117">
        <v>115</v>
      </c>
      <c r="AQ100" s="117">
        <v>47</v>
      </c>
      <c r="AR100" s="117">
        <v>29</v>
      </c>
      <c r="AS100" s="5">
        <f t="shared" si="25"/>
        <v>115.79138888888889</v>
      </c>
      <c r="AT100" s="117">
        <v>91</v>
      </c>
      <c r="AU100" s="117">
        <v>2</v>
      </c>
      <c r="AV100" s="117">
        <v>29</v>
      </c>
      <c r="AW100" s="5">
        <f t="shared" si="26"/>
        <v>91.041388888888889</v>
      </c>
      <c r="AX100" s="220">
        <v>34.036000000000001</v>
      </c>
      <c r="AY100" s="230">
        <v>8.99</v>
      </c>
      <c r="AZ100" s="230">
        <v>-0.16300000000000001</v>
      </c>
      <c r="BA100" s="231">
        <v>8.9890000000000008</v>
      </c>
      <c r="BB100" s="43">
        <f t="shared" si="27"/>
        <v>535310.36023737979</v>
      </c>
      <c r="BC100" s="43">
        <f t="shared" si="28"/>
        <v>9407739.1759206131</v>
      </c>
      <c r="BD100" s="5">
        <f t="shared" si="29"/>
        <v>116.61200000000001</v>
      </c>
      <c r="BE100" s="201"/>
    </row>
    <row r="101" spans="4:57" ht="14.25" customHeight="1" x14ac:dyDescent="0.3">
      <c r="D101" s="232"/>
      <c r="E101" s="444"/>
      <c r="F101" s="445"/>
      <c r="G101" s="445"/>
      <c r="H101" s="445"/>
      <c r="I101" s="445"/>
      <c r="J101" s="445"/>
      <c r="K101" s="445"/>
      <c r="L101" s="445"/>
      <c r="M101" s="445"/>
      <c r="N101" s="445"/>
      <c r="O101" s="445"/>
      <c r="P101" s="445"/>
      <c r="Q101" s="445"/>
      <c r="R101" s="445"/>
      <c r="S101" s="445"/>
      <c r="T101" s="445"/>
      <c r="U101" s="445"/>
      <c r="V101" s="445"/>
      <c r="W101" s="445"/>
      <c r="X101" s="445"/>
      <c r="Y101" s="445"/>
      <c r="Z101" s="446"/>
      <c r="AC101" t="str">
        <f t="shared" si="7"/>
        <v>PO ,</v>
      </c>
      <c r="AI101" s="217"/>
      <c r="AJ101" s="217"/>
      <c r="AK101" s="218">
        <v>1.56</v>
      </c>
      <c r="AL101" s="217"/>
      <c r="AM101" s="217" t="s">
        <v>368</v>
      </c>
      <c r="AN101" s="217"/>
      <c r="AO101" s="5">
        <f t="shared" si="24"/>
        <v>114.66138888888889</v>
      </c>
      <c r="AP101" s="117">
        <v>114</v>
      </c>
      <c r="AQ101" s="117">
        <v>39</v>
      </c>
      <c r="AR101" s="117">
        <v>41</v>
      </c>
      <c r="AS101" s="5">
        <f t="shared" si="25"/>
        <v>114.66138888888889</v>
      </c>
      <c r="AT101" s="117">
        <v>91</v>
      </c>
      <c r="AU101" s="117">
        <v>2</v>
      </c>
      <c r="AV101" s="117">
        <v>50</v>
      </c>
      <c r="AW101" s="5">
        <f t="shared" si="26"/>
        <v>91.047222222222217</v>
      </c>
      <c r="AX101" s="220">
        <v>34.036000000000001</v>
      </c>
      <c r="AY101" s="230">
        <v>9.0090000000000003</v>
      </c>
      <c r="AZ101" s="230">
        <v>-0.16400000000000001</v>
      </c>
      <c r="BA101" s="231">
        <v>9.0079999999999991</v>
      </c>
      <c r="BB101" s="43">
        <f t="shared" si="27"/>
        <v>535310.35795851087</v>
      </c>
      <c r="BC101" s="43">
        <f t="shared" si="28"/>
        <v>9407739.1734297778</v>
      </c>
      <c r="BD101" s="5">
        <f t="shared" si="29"/>
        <v>116.631</v>
      </c>
      <c r="BE101" s="201"/>
    </row>
    <row r="102" spans="4:57" ht="14.25" customHeight="1" x14ac:dyDescent="0.35">
      <c r="D102" s="232"/>
      <c r="E102" s="192">
        <v>1.56</v>
      </c>
      <c r="F102" s="192" t="s">
        <v>18</v>
      </c>
      <c r="G102" s="184">
        <v>1.51</v>
      </c>
      <c r="H102" s="192"/>
      <c r="I102" s="192" t="s">
        <v>16</v>
      </c>
      <c r="J102" s="180"/>
      <c r="K102" s="181"/>
      <c r="L102" s="185">
        <v>0</v>
      </c>
      <c r="M102" s="185">
        <v>0</v>
      </c>
      <c r="N102" s="233">
        <v>0</v>
      </c>
      <c r="O102" s="181">
        <f t="shared" ref="O102:O155" si="37">L102+(M102/60)+(N102/3600)</f>
        <v>0</v>
      </c>
      <c r="P102" s="233">
        <v>91</v>
      </c>
      <c r="Q102" s="233">
        <v>13</v>
      </c>
      <c r="R102" s="233">
        <v>14</v>
      </c>
      <c r="S102" s="181">
        <f t="shared" ref="S102:S155" si="38">P102+(Q102/60)+(R102/3600)</f>
        <v>91.220555555555563</v>
      </c>
      <c r="T102" s="186">
        <v>34.036000000000001</v>
      </c>
      <c r="U102" s="233">
        <v>87.197999999999993</v>
      </c>
      <c r="V102" s="233">
        <v>-1.87</v>
      </c>
      <c r="W102" s="233">
        <v>87.177999999999997</v>
      </c>
      <c r="X102" s="182">
        <v>535310.50699999998</v>
      </c>
      <c r="Y102" s="182">
        <v>9407739.1050000004</v>
      </c>
      <c r="Z102" s="183">
        <v>106.786</v>
      </c>
      <c r="AC102" t="str">
        <f t="shared" si="7"/>
        <v>PO 535310,507,9407739,105</v>
      </c>
      <c r="AI102" s="217"/>
      <c r="AJ102" s="217"/>
      <c r="AK102" s="217"/>
      <c r="AL102" s="217"/>
      <c r="AM102" s="217"/>
      <c r="AN102" s="217"/>
      <c r="AO102" s="217"/>
      <c r="AP102" s="217"/>
      <c r="AQ102" s="217"/>
      <c r="AR102" s="217"/>
      <c r="AS102" s="217"/>
      <c r="AT102" s="217"/>
      <c r="AU102" s="217"/>
      <c r="AV102" s="217"/>
      <c r="AW102" s="217"/>
      <c r="AX102" s="217"/>
      <c r="AY102" s="217"/>
      <c r="AZ102" s="217"/>
      <c r="BA102" s="201"/>
      <c r="BB102" s="201"/>
      <c r="BC102" s="201"/>
      <c r="BD102" s="201"/>
      <c r="BE102" s="201"/>
    </row>
    <row r="103" spans="4:57" ht="14.25" customHeight="1" x14ac:dyDescent="0.3">
      <c r="D103" s="232"/>
      <c r="E103" s="233"/>
      <c r="F103" s="233"/>
      <c r="G103" s="234">
        <v>1.56</v>
      </c>
      <c r="H103" s="233"/>
      <c r="I103" s="233" t="s">
        <v>16</v>
      </c>
      <c r="J103" s="233"/>
      <c r="K103" s="181">
        <f t="shared" ref="K103:K155" si="39">MOD($K$102+O103,360)</f>
        <v>20.325833333333332</v>
      </c>
      <c r="L103" s="235">
        <v>20</v>
      </c>
      <c r="M103" s="235">
        <v>19</v>
      </c>
      <c r="N103" s="235">
        <v>33</v>
      </c>
      <c r="O103" s="181">
        <f t="shared" si="37"/>
        <v>20.325833333333332</v>
      </c>
      <c r="P103" s="235">
        <v>90</v>
      </c>
      <c r="Q103" s="235">
        <v>13</v>
      </c>
      <c r="R103" s="235">
        <v>16</v>
      </c>
      <c r="S103" s="181">
        <f t="shared" si="38"/>
        <v>90.221111111111114</v>
      </c>
      <c r="T103" s="186">
        <v>34.036000000000001</v>
      </c>
      <c r="U103" s="235">
        <v>17.934000000000001</v>
      </c>
      <c r="V103" s="235">
        <v>-0.38300000000000001</v>
      </c>
      <c r="W103" s="235">
        <v>17.93</v>
      </c>
      <c r="X103" s="229">
        <f t="shared" ref="X103:X155" si="40">$X$102+V103*SIN(RADIANS(K103))</f>
        <v>535310.37396169885</v>
      </c>
      <c r="Y103" s="229">
        <f t="shared" ref="Y103:Y155" si="41">$Y$102+V103*COS(RADIANS(K103))</f>
        <v>9407738.7458484862</v>
      </c>
      <c r="Z103" s="181">
        <f>$Z$102+W103</f>
        <v>124.71600000000001</v>
      </c>
      <c r="AC103" t="str">
        <f t="shared" si="7"/>
        <v>PO 535310,373961699,9407738,74584849</v>
      </c>
      <c r="AI103" s="217"/>
      <c r="AJ103" s="217"/>
      <c r="AK103" s="217"/>
      <c r="AL103" s="217"/>
      <c r="AM103" s="217"/>
      <c r="AN103" s="217"/>
      <c r="AO103" s="217"/>
      <c r="AP103" s="217"/>
      <c r="AQ103" s="217"/>
      <c r="AR103" s="217"/>
      <c r="AS103" s="217"/>
      <c r="AT103" s="217"/>
      <c r="AU103" s="217"/>
      <c r="AV103" s="217"/>
      <c r="AW103" s="217"/>
      <c r="AX103" s="217"/>
      <c r="AY103" s="217"/>
      <c r="AZ103" s="217"/>
      <c r="BA103" s="201"/>
      <c r="BB103" s="201"/>
      <c r="BC103" s="201"/>
      <c r="BD103" s="201"/>
      <c r="BE103" s="201"/>
    </row>
    <row r="104" spans="4:57" ht="14.25" customHeight="1" x14ac:dyDescent="0.3">
      <c r="D104" s="232"/>
      <c r="E104" s="233"/>
      <c r="F104" s="233"/>
      <c r="G104" s="234">
        <v>1.56</v>
      </c>
      <c r="H104" s="233"/>
      <c r="I104" s="233" t="s">
        <v>286</v>
      </c>
      <c r="J104" s="233"/>
      <c r="K104" s="181">
        <f t="shared" si="39"/>
        <v>67.936111111111117</v>
      </c>
      <c r="L104" s="235">
        <v>67</v>
      </c>
      <c r="M104" s="235">
        <v>56</v>
      </c>
      <c r="N104" s="235">
        <v>10</v>
      </c>
      <c r="O104" s="181">
        <f t="shared" si="37"/>
        <v>67.936111111111117</v>
      </c>
      <c r="P104" s="235">
        <v>88</v>
      </c>
      <c r="Q104" s="235">
        <v>10</v>
      </c>
      <c r="R104" s="235">
        <v>57</v>
      </c>
      <c r="S104" s="181">
        <f t="shared" si="38"/>
        <v>88.182500000000005</v>
      </c>
      <c r="T104" s="186">
        <v>34.036000000000001</v>
      </c>
      <c r="U104" s="235">
        <v>26.792999999999999</v>
      </c>
      <c r="V104" s="235">
        <v>0.91900000000000004</v>
      </c>
      <c r="W104" s="235">
        <v>26.774000000000001</v>
      </c>
      <c r="X104" s="229">
        <f t="shared" si="40"/>
        <v>535311.35869755433</v>
      </c>
      <c r="Y104" s="229">
        <f t="shared" si="41"/>
        <v>9407739.4502133783</v>
      </c>
      <c r="Z104" s="181">
        <f t="shared" ref="Z104:Z155" si="42">$Z$58+W104</f>
        <v>134.39699999999999</v>
      </c>
      <c r="AC104" t="str">
        <f t="shared" si="7"/>
        <v>PO 535311,358697554,9407739,45021338</v>
      </c>
      <c r="AI104" s="217"/>
      <c r="AJ104" s="217"/>
      <c r="AK104" s="217"/>
      <c r="AL104" s="217"/>
      <c r="AM104" s="217"/>
      <c r="AN104" s="217"/>
      <c r="AO104" s="217"/>
      <c r="AP104" s="217"/>
      <c r="AQ104" s="217"/>
      <c r="AR104" s="217"/>
      <c r="AS104" s="217"/>
      <c r="AT104" s="217"/>
      <c r="AU104" s="217"/>
      <c r="AV104" s="217"/>
      <c r="AW104" s="217"/>
      <c r="AX104" s="217"/>
      <c r="AY104" s="217"/>
      <c r="AZ104" s="217"/>
      <c r="BA104" s="201"/>
      <c r="BB104" s="201"/>
      <c r="BC104" s="201"/>
      <c r="BD104" s="201"/>
      <c r="BE104" s="201"/>
    </row>
    <row r="105" spans="4:57" ht="14.25" customHeight="1" x14ac:dyDescent="0.3">
      <c r="D105" s="232"/>
      <c r="E105" s="233"/>
      <c r="F105" s="233"/>
      <c r="G105" s="234">
        <v>1.56</v>
      </c>
      <c r="H105" s="233"/>
      <c r="I105" s="233" t="s">
        <v>369</v>
      </c>
      <c r="J105" s="233"/>
      <c r="K105" s="181">
        <f t="shared" si="39"/>
        <v>352.09222222222218</v>
      </c>
      <c r="L105" s="235">
        <v>352</v>
      </c>
      <c r="M105" s="235">
        <v>5</v>
      </c>
      <c r="N105" s="235">
        <v>32</v>
      </c>
      <c r="O105" s="181">
        <f t="shared" si="37"/>
        <v>352.09222222222218</v>
      </c>
      <c r="P105" s="235">
        <v>88</v>
      </c>
      <c r="Q105" s="235">
        <v>1</v>
      </c>
      <c r="R105" s="235">
        <v>55</v>
      </c>
      <c r="S105" s="181">
        <f t="shared" si="38"/>
        <v>88.031944444444449</v>
      </c>
      <c r="T105" s="186">
        <v>34.036000000000001</v>
      </c>
      <c r="U105" s="235">
        <v>26.375</v>
      </c>
      <c r="V105" s="235">
        <v>0.90600000000000003</v>
      </c>
      <c r="W105" s="235">
        <v>26.359000000000002</v>
      </c>
      <c r="X105" s="229">
        <f t="shared" si="40"/>
        <v>535310.38235342212</v>
      </c>
      <c r="Y105" s="229">
        <f t="shared" si="41"/>
        <v>9407740.0023846626</v>
      </c>
      <c r="Z105" s="181">
        <f t="shared" si="42"/>
        <v>133.982</v>
      </c>
      <c r="AC105" t="str">
        <f t="shared" si="7"/>
        <v>PO 535310,382353422,9407740,00238466</v>
      </c>
      <c r="AI105" s="217"/>
      <c r="AJ105" s="217"/>
      <c r="AK105" s="217"/>
      <c r="AL105" s="217"/>
      <c r="AM105" s="217"/>
      <c r="AN105" s="217"/>
      <c r="AO105" s="217"/>
      <c r="AP105" s="217"/>
      <c r="AQ105" s="217"/>
      <c r="AR105" s="217"/>
      <c r="AS105" s="217"/>
      <c r="AT105" s="217"/>
      <c r="AU105" s="217"/>
      <c r="AV105" s="217"/>
      <c r="AW105" s="217"/>
      <c r="AX105" s="217"/>
      <c r="AY105" s="217"/>
      <c r="AZ105" s="217"/>
      <c r="BA105" s="201"/>
      <c r="BB105" s="201"/>
      <c r="BC105" s="201"/>
      <c r="BD105" s="201"/>
      <c r="BE105" s="201"/>
    </row>
    <row r="106" spans="4:57" ht="14.25" customHeight="1" x14ac:dyDescent="0.3">
      <c r="D106" s="232"/>
      <c r="E106" s="233"/>
      <c r="F106" s="233"/>
      <c r="G106" s="234">
        <v>1.56</v>
      </c>
      <c r="H106" s="233"/>
      <c r="I106" s="233" t="s">
        <v>370</v>
      </c>
      <c r="J106" s="233"/>
      <c r="K106" s="181">
        <f t="shared" si="39"/>
        <v>358.64555555555557</v>
      </c>
      <c r="L106" s="235">
        <v>358</v>
      </c>
      <c r="M106" s="235">
        <v>38</v>
      </c>
      <c r="N106" s="235">
        <v>44</v>
      </c>
      <c r="O106" s="181">
        <f t="shared" si="37"/>
        <v>358.64555555555557</v>
      </c>
      <c r="P106" s="235">
        <v>88</v>
      </c>
      <c r="Q106" s="235">
        <v>1</v>
      </c>
      <c r="R106" s="235">
        <v>36</v>
      </c>
      <c r="S106" s="181">
        <f t="shared" si="38"/>
        <v>88.026666666666671</v>
      </c>
      <c r="T106" s="186">
        <v>34.036000000000001</v>
      </c>
      <c r="U106" s="235">
        <v>25.053000000000001</v>
      </c>
      <c r="V106" s="235">
        <v>0.86099999999999999</v>
      </c>
      <c r="W106" s="235">
        <v>25.038</v>
      </c>
      <c r="X106" s="229">
        <f t="shared" si="40"/>
        <v>535310.48664827307</v>
      </c>
      <c r="Y106" s="229">
        <f t="shared" si="41"/>
        <v>9407739.9657594375</v>
      </c>
      <c r="Z106" s="181">
        <f t="shared" si="42"/>
        <v>132.661</v>
      </c>
      <c r="AC106" t="str">
        <f t="shared" si="7"/>
        <v>PO 535310,486648273,9407739,96575944</v>
      </c>
      <c r="AI106" s="217"/>
      <c r="AJ106" s="217"/>
      <c r="AK106" s="217"/>
      <c r="AL106" s="217"/>
      <c r="AM106" s="217"/>
      <c r="AN106" s="217"/>
      <c r="AO106" s="217"/>
      <c r="AP106" s="217"/>
      <c r="AQ106" s="217"/>
      <c r="AR106" s="217"/>
      <c r="AS106" s="217"/>
      <c r="AT106" s="217"/>
      <c r="AU106" s="217"/>
      <c r="AV106" s="217"/>
      <c r="AW106" s="217"/>
      <c r="AX106" s="217"/>
      <c r="AY106" s="217"/>
      <c r="AZ106" s="217"/>
      <c r="BA106" s="201"/>
      <c r="BB106" s="201"/>
      <c r="BC106" s="201"/>
      <c r="BD106" s="201"/>
      <c r="BE106" s="201"/>
    </row>
    <row r="107" spans="4:57" ht="14.25" customHeight="1" x14ac:dyDescent="0.3">
      <c r="D107" s="232"/>
      <c r="E107" s="233"/>
      <c r="F107" s="233"/>
      <c r="G107" s="234">
        <v>1.56</v>
      </c>
      <c r="H107" s="233"/>
      <c r="I107" s="233" t="s">
        <v>371</v>
      </c>
      <c r="J107" s="233"/>
      <c r="K107" s="181">
        <f t="shared" si="39"/>
        <v>6.777777777777777E-2</v>
      </c>
      <c r="L107" s="235">
        <v>0</v>
      </c>
      <c r="M107" s="235">
        <v>4</v>
      </c>
      <c r="N107" s="235">
        <v>4</v>
      </c>
      <c r="O107" s="181">
        <f t="shared" si="37"/>
        <v>6.777777777777777E-2</v>
      </c>
      <c r="P107" s="235">
        <v>88</v>
      </c>
      <c r="Q107" s="235">
        <v>1</v>
      </c>
      <c r="R107" s="235">
        <v>35</v>
      </c>
      <c r="S107" s="181">
        <f t="shared" si="38"/>
        <v>88.026388888888889</v>
      </c>
      <c r="T107" s="186">
        <v>34.036000000000001</v>
      </c>
      <c r="U107" s="235">
        <v>24.724</v>
      </c>
      <c r="V107" s="235">
        <v>0.85199999999999998</v>
      </c>
      <c r="W107" s="235">
        <v>24.712</v>
      </c>
      <c r="X107" s="229">
        <f t="shared" si="40"/>
        <v>535310.50800786924</v>
      </c>
      <c r="Y107" s="229">
        <f t="shared" si="41"/>
        <v>9407739.9569994044</v>
      </c>
      <c r="Z107" s="181">
        <f t="shared" si="42"/>
        <v>132.33500000000001</v>
      </c>
      <c r="AC107" t="str">
        <f t="shared" si="7"/>
        <v>PO 535310,508007869,9407739,9569994</v>
      </c>
      <c r="AI107" s="217"/>
      <c r="AJ107" s="217"/>
      <c r="AK107" s="217"/>
      <c r="AL107" s="217"/>
      <c r="AM107" s="217"/>
      <c r="AN107" s="217"/>
      <c r="AO107" s="217"/>
      <c r="AP107" s="217"/>
      <c r="AQ107" s="217"/>
      <c r="AR107" s="217"/>
      <c r="AS107" s="217"/>
      <c r="AT107" s="217"/>
      <c r="AU107" s="217"/>
      <c r="AV107" s="217"/>
      <c r="AW107" s="217"/>
      <c r="AX107" s="217"/>
      <c r="AY107" s="217"/>
      <c r="AZ107" s="217"/>
      <c r="BA107" s="201"/>
      <c r="BB107" s="201"/>
      <c r="BC107" s="201"/>
      <c r="BD107" s="201"/>
      <c r="BE107" s="201"/>
    </row>
    <row r="108" spans="4:57" ht="14.25" customHeight="1" x14ac:dyDescent="0.3">
      <c r="D108" s="232"/>
      <c r="E108" s="233"/>
      <c r="F108" s="233"/>
      <c r="G108" s="234">
        <v>1.56</v>
      </c>
      <c r="H108" s="233"/>
      <c r="I108" s="233" t="s">
        <v>372</v>
      </c>
      <c r="J108" s="233"/>
      <c r="K108" s="181">
        <f t="shared" si="39"/>
        <v>359.83138888888891</v>
      </c>
      <c r="L108" s="235">
        <v>359</v>
      </c>
      <c r="M108" s="235">
        <v>49</v>
      </c>
      <c r="N108" s="235">
        <v>53</v>
      </c>
      <c r="O108" s="181">
        <f t="shared" si="37"/>
        <v>359.83138888888891</v>
      </c>
      <c r="P108" s="235">
        <v>88</v>
      </c>
      <c r="Q108" s="235">
        <v>2</v>
      </c>
      <c r="R108" s="235">
        <v>54</v>
      </c>
      <c r="S108" s="181">
        <f t="shared" si="38"/>
        <v>88.048333333333332</v>
      </c>
      <c r="T108" s="186">
        <v>34.036000000000001</v>
      </c>
      <c r="U108" s="235">
        <v>24.077999999999999</v>
      </c>
      <c r="V108" s="235">
        <v>0.82899999999999996</v>
      </c>
      <c r="W108" s="235">
        <v>24.064</v>
      </c>
      <c r="X108" s="229">
        <f t="shared" si="40"/>
        <v>535310.50456040655</v>
      </c>
      <c r="Y108" s="229">
        <f t="shared" si="41"/>
        <v>9407739.933996411</v>
      </c>
      <c r="Z108" s="181">
        <f t="shared" si="42"/>
        <v>131.68700000000001</v>
      </c>
      <c r="AC108" t="str">
        <f t="shared" si="7"/>
        <v>PO 535310,504560407,9407739,93399641</v>
      </c>
      <c r="AI108" s="217"/>
      <c r="AJ108" s="217"/>
      <c r="AK108" s="217"/>
      <c r="AL108" s="217"/>
      <c r="AM108" s="217"/>
      <c r="AN108" s="217"/>
      <c r="AO108" s="217"/>
      <c r="AP108" s="217"/>
      <c r="AQ108" s="217"/>
      <c r="AR108" s="217"/>
      <c r="AS108" s="217"/>
      <c r="AT108" s="217"/>
      <c r="AU108" s="217"/>
      <c r="AV108" s="217"/>
      <c r="AW108" s="217"/>
      <c r="AX108" s="217"/>
      <c r="AY108" s="217"/>
      <c r="AZ108" s="217"/>
      <c r="BA108" s="201"/>
      <c r="BB108" s="201"/>
      <c r="BC108" s="201"/>
      <c r="BD108" s="201"/>
      <c r="BE108" s="201"/>
    </row>
    <row r="109" spans="4:57" ht="14.25" customHeight="1" x14ac:dyDescent="0.3">
      <c r="D109" s="232"/>
      <c r="E109" s="233"/>
      <c r="F109" s="233"/>
      <c r="G109" s="234">
        <v>1.56</v>
      </c>
      <c r="H109" s="233"/>
      <c r="I109" s="233" t="s">
        <v>373</v>
      </c>
      <c r="J109" s="233"/>
      <c r="K109" s="181">
        <f t="shared" si="39"/>
        <v>0.58305555555555555</v>
      </c>
      <c r="L109" s="235">
        <v>0</v>
      </c>
      <c r="M109" s="235">
        <v>34</v>
      </c>
      <c r="N109" s="235">
        <v>59</v>
      </c>
      <c r="O109" s="181">
        <f t="shared" si="37"/>
        <v>0.58305555555555555</v>
      </c>
      <c r="P109" s="235">
        <v>88</v>
      </c>
      <c r="Q109" s="235">
        <v>13</v>
      </c>
      <c r="R109" s="235">
        <v>44</v>
      </c>
      <c r="S109" s="181">
        <f t="shared" si="38"/>
        <v>88.228888888888889</v>
      </c>
      <c r="T109" s="186">
        <v>34.036000000000001</v>
      </c>
      <c r="U109" s="235">
        <v>23.332999999999998</v>
      </c>
      <c r="V109" s="235">
        <v>0.72199999999999998</v>
      </c>
      <c r="W109" s="235">
        <v>23.321999999999999</v>
      </c>
      <c r="X109" s="229">
        <f t="shared" si="40"/>
        <v>535310.51434711786</v>
      </c>
      <c r="Y109" s="229">
        <f t="shared" si="41"/>
        <v>9407739.8269626163</v>
      </c>
      <c r="Z109" s="181">
        <f t="shared" si="42"/>
        <v>130.94499999999999</v>
      </c>
      <c r="AC109" t="str">
        <f t="shared" si="7"/>
        <v>PO 535310,514347118,9407739,82696262</v>
      </c>
      <c r="AI109" s="217"/>
      <c r="AJ109" s="217"/>
      <c r="AK109" s="217"/>
      <c r="AL109" s="217"/>
      <c r="AM109" s="217"/>
      <c r="AN109" s="217"/>
      <c r="AO109" s="217"/>
      <c r="AP109" s="217"/>
      <c r="AQ109" s="217"/>
      <c r="AR109" s="217"/>
      <c r="AS109" s="217"/>
      <c r="AT109" s="217"/>
      <c r="AU109" s="217"/>
      <c r="AV109" s="217"/>
      <c r="AW109" s="217"/>
      <c r="AX109" s="217"/>
      <c r="AY109" s="217"/>
      <c r="AZ109" s="217"/>
      <c r="BA109" s="201"/>
      <c r="BB109" s="201"/>
      <c r="BC109" s="201"/>
      <c r="BD109" s="201"/>
      <c r="BE109" s="201"/>
    </row>
    <row r="110" spans="4:57" ht="14.25" customHeight="1" x14ac:dyDescent="0.3">
      <c r="D110" s="442"/>
      <c r="E110" s="233"/>
      <c r="F110" s="233"/>
      <c r="G110" s="234">
        <v>1.56</v>
      </c>
      <c r="H110" s="233"/>
      <c r="I110" s="233" t="s">
        <v>374</v>
      </c>
      <c r="J110" s="233"/>
      <c r="K110" s="181">
        <f t="shared" si="39"/>
        <v>351.06222222222226</v>
      </c>
      <c r="L110" s="235">
        <v>351</v>
      </c>
      <c r="M110" s="235">
        <v>3</v>
      </c>
      <c r="N110" s="235">
        <v>44</v>
      </c>
      <c r="O110" s="181">
        <f t="shared" si="37"/>
        <v>351.06222222222226</v>
      </c>
      <c r="P110" s="235">
        <v>88</v>
      </c>
      <c r="Q110" s="235">
        <v>13</v>
      </c>
      <c r="R110" s="235">
        <v>7</v>
      </c>
      <c r="S110" s="181">
        <f t="shared" si="38"/>
        <v>88.218611111111116</v>
      </c>
      <c r="T110" s="186">
        <v>34.036000000000001</v>
      </c>
      <c r="U110" s="235">
        <v>15.526</v>
      </c>
      <c r="V110" s="235">
        <v>0.48399999999999999</v>
      </c>
      <c r="W110" s="235">
        <v>15.518000000000001</v>
      </c>
      <c r="X110" s="229">
        <f t="shared" si="40"/>
        <v>535310.43180490786</v>
      </c>
      <c r="Y110" s="229">
        <f t="shared" si="41"/>
        <v>9407739.5831230991</v>
      </c>
      <c r="Z110" s="181">
        <f t="shared" si="42"/>
        <v>123.14100000000001</v>
      </c>
      <c r="AC110" t="str">
        <f t="shared" si="7"/>
        <v>PO 535310,431804908,9407739,5831231</v>
      </c>
      <c r="AI110" s="217"/>
      <c r="AJ110" s="217"/>
      <c r="AK110" s="217"/>
      <c r="AL110" s="217"/>
      <c r="AM110" s="217"/>
      <c r="AN110" s="217"/>
      <c r="AO110" s="217"/>
      <c r="AP110" s="217"/>
      <c r="AQ110" s="217"/>
      <c r="AR110" s="217"/>
      <c r="AS110" s="217"/>
      <c r="AT110" s="217"/>
      <c r="AU110" s="217"/>
      <c r="AV110" s="217"/>
      <c r="AW110" s="217"/>
      <c r="AX110" s="217"/>
      <c r="AY110" s="217"/>
      <c r="AZ110" s="217"/>
      <c r="BA110" s="201"/>
      <c r="BB110" s="201"/>
      <c r="BC110" s="201"/>
      <c r="BD110" s="201"/>
      <c r="BE110" s="201"/>
    </row>
    <row r="111" spans="4:57" ht="14.25" customHeight="1" x14ac:dyDescent="0.3">
      <c r="D111" s="370"/>
      <c r="E111" s="233"/>
      <c r="F111" s="233"/>
      <c r="G111" s="234">
        <v>1.56</v>
      </c>
      <c r="H111" s="233"/>
      <c r="I111" s="233" t="s">
        <v>375</v>
      </c>
      <c r="J111" s="233"/>
      <c r="K111" s="181">
        <f t="shared" si="39"/>
        <v>77.702777777777783</v>
      </c>
      <c r="L111" s="235">
        <v>77</v>
      </c>
      <c r="M111" s="235">
        <v>42</v>
      </c>
      <c r="N111" s="235">
        <v>10</v>
      </c>
      <c r="O111" s="181">
        <f t="shared" si="37"/>
        <v>77.702777777777783</v>
      </c>
      <c r="P111" s="235">
        <v>88</v>
      </c>
      <c r="Q111" s="235">
        <v>10</v>
      </c>
      <c r="R111" s="235">
        <v>34</v>
      </c>
      <c r="S111" s="181">
        <f t="shared" si="38"/>
        <v>88.176111111111112</v>
      </c>
      <c r="T111" s="186">
        <v>34.036000000000001</v>
      </c>
      <c r="U111" s="236">
        <v>26.763999999999999</v>
      </c>
      <c r="V111" s="236">
        <v>0.85299999999999998</v>
      </c>
      <c r="W111" s="236">
        <v>26.75</v>
      </c>
      <c r="X111" s="229">
        <f t="shared" si="40"/>
        <v>535311.34042868379</v>
      </c>
      <c r="Y111" s="229">
        <f t="shared" si="41"/>
        <v>9407739.2866745144</v>
      </c>
      <c r="Z111" s="181">
        <f t="shared" si="42"/>
        <v>134.37299999999999</v>
      </c>
      <c r="AC111" t="str">
        <f t="shared" si="7"/>
        <v>PO 535311,340428684,9407739,28667451</v>
      </c>
      <c r="AI111" s="217"/>
      <c r="AJ111" s="217"/>
      <c r="AK111" s="217"/>
      <c r="AL111" s="217"/>
      <c r="AM111" s="217"/>
      <c r="AN111" s="217"/>
      <c r="AO111" s="217"/>
      <c r="AP111" s="217"/>
      <c r="AQ111" s="217"/>
      <c r="AR111" s="217"/>
      <c r="AS111" s="217"/>
      <c r="AT111" s="217"/>
      <c r="AU111" s="217"/>
      <c r="AV111" s="217"/>
      <c r="AW111" s="217"/>
      <c r="AX111" s="237"/>
      <c r="AY111" s="237"/>
      <c r="AZ111" s="237"/>
      <c r="BA111" s="201"/>
      <c r="BB111" s="201"/>
      <c r="BC111" s="201"/>
      <c r="BD111" s="201"/>
      <c r="BE111" s="201"/>
    </row>
    <row r="112" spans="4:57" ht="14.25" customHeight="1" x14ac:dyDescent="0.3">
      <c r="D112" s="238"/>
      <c r="E112" s="233"/>
      <c r="F112" s="233"/>
      <c r="G112" s="234">
        <v>1.56</v>
      </c>
      <c r="H112" s="233"/>
      <c r="I112" s="233" t="s">
        <v>376</v>
      </c>
      <c r="J112" s="233"/>
      <c r="K112" s="181">
        <f t="shared" si="39"/>
        <v>68.931666666666672</v>
      </c>
      <c r="L112" s="235">
        <v>68</v>
      </c>
      <c r="M112" s="235">
        <v>55</v>
      </c>
      <c r="N112" s="235">
        <v>54</v>
      </c>
      <c r="O112" s="181">
        <f t="shared" si="37"/>
        <v>68.931666666666672</v>
      </c>
      <c r="P112" s="235">
        <v>88</v>
      </c>
      <c r="Q112" s="235">
        <v>10</v>
      </c>
      <c r="R112" s="235">
        <v>37</v>
      </c>
      <c r="S112" s="181">
        <f t="shared" si="38"/>
        <v>88.176944444444445</v>
      </c>
      <c r="T112" s="186">
        <v>34.036000000000001</v>
      </c>
      <c r="U112" s="236">
        <v>29.65</v>
      </c>
      <c r="V112" s="236">
        <v>0.99299999999999999</v>
      </c>
      <c r="W112" s="236">
        <v>29.635000000000002</v>
      </c>
      <c r="X112" s="229">
        <f t="shared" si="40"/>
        <v>535311.43362029153</v>
      </c>
      <c r="Y112" s="229">
        <f t="shared" si="41"/>
        <v>9407739.4619647544</v>
      </c>
      <c r="Z112" s="181">
        <f t="shared" si="42"/>
        <v>137.25800000000001</v>
      </c>
      <c r="AC112" t="str">
        <f t="shared" si="7"/>
        <v>PO 535311,433620292,9407739,46196475</v>
      </c>
      <c r="AI112" s="217"/>
      <c r="AJ112" s="217"/>
      <c r="AK112" s="217"/>
      <c r="AL112" s="217"/>
      <c r="AM112" s="217"/>
      <c r="AN112" s="217"/>
      <c r="AO112" s="217"/>
      <c r="AP112" s="217"/>
      <c r="AQ112" s="217"/>
      <c r="AR112" s="217"/>
      <c r="AS112" s="217"/>
      <c r="AT112" s="217"/>
      <c r="AU112" s="217"/>
      <c r="AV112" s="217"/>
      <c r="AW112" s="217"/>
      <c r="AX112" s="217"/>
      <c r="AY112" s="217"/>
      <c r="AZ112" s="217"/>
      <c r="BA112" s="201"/>
      <c r="BB112" s="201"/>
      <c r="BC112" s="201"/>
      <c r="BD112" s="201"/>
      <c r="BE112" s="201"/>
    </row>
    <row r="113" spans="4:57" ht="14.25" customHeight="1" x14ac:dyDescent="0.3">
      <c r="D113" s="238"/>
      <c r="E113" s="233"/>
      <c r="F113" s="233"/>
      <c r="G113" s="234">
        <v>1.56</v>
      </c>
      <c r="H113" s="233"/>
      <c r="I113" s="233" t="s">
        <v>377</v>
      </c>
      <c r="J113" s="233"/>
      <c r="K113" s="181">
        <f t="shared" si="39"/>
        <v>211.37361111111113</v>
      </c>
      <c r="L113" s="235">
        <v>211</v>
      </c>
      <c r="M113" s="235">
        <v>22</v>
      </c>
      <c r="N113" s="235">
        <v>25</v>
      </c>
      <c r="O113" s="181">
        <f t="shared" si="37"/>
        <v>211.37361111111113</v>
      </c>
      <c r="P113" s="235">
        <v>91</v>
      </c>
      <c r="Q113" s="235">
        <v>2</v>
      </c>
      <c r="R113" s="235">
        <v>30</v>
      </c>
      <c r="S113" s="181">
        <f t="shared" si="38"/>
        <v>91.041666666666671</v>
      </c>
      <c r="T113" s="186">
        <v>34.036000000000001</v>
      </c>
      <c r="U113" s="236">
        <v>19.902000000000001</v>
      </c>
      <c r="V113" s="236">
        <v>-0.36299999999999999</v>
      </c>
      <c r="W113" s="236">
        <v>19.899000000000001</v>
      </c>
      <c r="X113" s="229">
        <f t="shared" si="40"/>
        <v>535310.69598377286</v>
      </c>
      <c r="Y113" s="229">
        <f t="shared" si="41"/>
        <v>9407739.414926013</v>
      </c>
      <c r="Z113" s="181">
        <f t="shared" si="42"/>
        <v>127.52200000000001</v>
      </c>
      <c r="AC113" t="str">
        <f t="shared" si="7"/>
        <v>PO 535310,695983773,9407739,41492601</v>
      </c>
      <c r="AI113" s="217"/>
      <c r="AJ113" s="217"/>
      <c r="AK113" s="217"/>
      <c r="AL113" s="217"/>
      <c r="AM113" s="217"/>
      <c r="AN113" s="217"/>
      <c r="AO113" s="217"/>
      <c r="AP113" s="217"/>
      <c r="AQ113" s="217"/>
      <c r="AR113" s="217"/>
      <c r="AS113" s="217"/>
      <c r="AT113" s="217"/>
      <c r="AU113" s="217"/>
      <c r="AV113" s="217"/>
      <c r="AW113" s="217"/>
      <c r="AX113" s="217"/>
      <c r="AY113" s="217"/>
      <c r="AZ113" s="217"/>
      <c r="BA113" s="201"/>
      <c r="BB113" s="201"/>
      <c r="BC113" s="201"/>
      <c r="BD113" s="201"/>
      <c r="BE113" s="201"/>
    </row>
    <row r="114" spans="4:57" ht="14.25" customHeight="1" x14ac:dyDescent="0.3">
      <c r="D114" s="238"/>
      <c r="E114" s="233"/>
      <c r="F114" s="233"/>
      <c r="G114" s="234">
        <v>1.56</v>
      </c>
      <c r="H114" s="233"/>
      <c r="I114" s="233" t="s">
        <v>378</v>
      </c>
      <c r="J114" s="233"/>
      <c r="K114" s="181">
        <f t="shared" si="39"/>
        <v>75.339166666666657</v>
      </c>
      <c r="L114" s="235">
        <v>75</v>
      </c>
      <c r="M114" s="235">
        <v>20</v>
      </c>
      <c r="N114" s="235">
        <v>21</v>
      </c>
      <c r="O114" s="181">
        <f t="shared" si="37"/>
        <v>75.339166666666657</v>
      </c>
      <c r="P114" s="235">
        <v>88</v>
      </c>
      <c r="Q114" s="235">
        <v>15</v>
      </c>
      <c r="R114" s="235">
        <v>58</v>
      </c>
      <c r="S114" s="181">
        <f t="shared" si="38"/>
        <v>88.266111111111115</v>
      </c>
      <c r="T114" s="186">
        <v>34.036000000000001</v>
      </c>
      <c r="U114" s="236">
        <v>33.981999999999999</v>
      </c>
      <c r="V114" s="236">
        <v>1.028</v>
      </c>
      <c r="W114" s="236">
        <v>33.665999999999997</v>
      </c>
      <c r="X114" s="229">
        <f t="shared" si="40"/>
        <v>535311.50152934028</v>
      </c>
      <c r="Y114" s="229">
        <f t="shared" si="41"/>
        <v>9407739.3651833814</v>
      </c>
      <c r="Z114" s="181">
        <f t="shared" si="42"/>
        <v>141.28899999999999</v>
      </c>
      <c r="AC114" t="str">
        <f t="shared" si="7"/>
        <v>PO 535311,50152934,9407739,36518338</v>
      </c>
      <c r="AI114" s="217"/>
      <c r="AJ114" s="217"/>
      <c r="AK114" s="217"/>
      <c r="AL114" s="217"/>
      <c r="AM114" s="217"/>
      <c r="AN114" s="217"/>
      <c r="AO114" s="217"/>
      <c r="AP114" s="217"/>
      <c r="AQ114" s="217"/>
      <c r="AR114" s="217"/>
      <c r="AS114" s="217"/>
      <c r="AT114" s="217"/>
      <c r="AU114" s="217"/>
      <c r="AV114" s="217"/>
      <c r="AW114" s="217"/>
      <c r="AX114" s="217"/>
      <c r="AY114" s="237"/>
      <c r="AZ114" s="217"/>
      <c r="BA114" s="201"/>
      <c r="BB114" s="201"/>
      <c r="BC114" s="201"/>
      <c r="BD114" s="201"/>
      <c r="BE114" s="201"/>
    </row>
    <row r="115" spans="4:57" ht="14.25" customHeight="1" x14ac:dyDescent="0.3">
      <c r="D115" s="238"/>
      <c r="E115" s="233"/>
      <c r="F115" s="233"/>
      <c r="G115" s="234">
        <v>1.56</v>
      </c>
      <c r="H115" s="233"/>
      <c r="I115" s="233" t="s">
        <v>305</v>
      </c>
      <c r="J115" s="233"/>
      <c r="K115" s="181">
        <f t="shared" si="39"/>
        <v>57.482500000000002</v>
      </c>
      <c r="L115" s="235">
        <v>57</v>
      </c>
      <c r="M115" s="235">
        <v>28</v>
      </c>
      <c r="N115" s="235">
        <v>57</v>
      </c>
      <c r="O115" s="181">
        <f t="shared" si="37"/>
        <v>57.482500000000002</v>
      </c>
      <c r="P115" s="235">
        <v>89</v>
      </c>
      <c r="Q115" s="235">
        <v>26</v>
      </c>
      <c r="R115" s="235">
        <v>51</v>
      </c>
      <c r="S115" s="181">
        <f t="shared" si="38"/>
        <v>89.447500000000005</v>
      </c>
      <c r="T115" s="186">
        <v>34.036000000000001</v>
      </c>
      <c r="U115" s="236">
        <v>24.344000000000001</v>
      </c>
      <c r="V115" s="236">
        <v>0.23499999999999999</v>
      </c>
      <c r="W115" s="236">
        <v>24.343</v>
      </c>
      <c r="X115" s="229">
        <f t="shared" si="40"/>
        <v>535310.7051584149</v>
      </c>
      <c r="Y115" s="229">
        <f t="shared" si="41"/>
        <v>9407739.2313259374</v>
      </c>
      <c r="Z115" s="181">
        <f t="shared" si="42"/>
        <v>131.96600000000001</v>
      </c>
      <c r="AC115" t="str">
        <f t="shared" si="7"/>
        <v>PO 535310,705158415,9407739,23132594</v>
      </c>
      <c r="AI115" s="217"/>
      <c r="AJ115" s="217"/>
      <c r="AK115" s="217"/>
      <c r="AL115" s="217"/>
      <c r="AM115" s="217"/>
      <c r="AN115" s="217"/>
      <c r="AO115" s="217"/>
      <c r="AP115" s="217"/>
      <c r="AQ115" s="217"/>
      <c r="AR115" s="217"/>
      <c r="AS115" s="217"/>
      <c r="AT115" s="217"/>
      <c r="AU115" s="217"/>
      <c r="AV115" s="217"/>
      <c r="AW115" s="217"/>
      <c r="AX115" s="217"/>
      <c r="AY115" s="217"/>
      <c r="AZ115" s="217"/>
      <c r="BA115" s="201"/>
      <c r="BB115" s="201"/>
      <c r="BC115" s="201"/>
      <c r="BD115" s="201"/>
      <c r="BE115" s="201"/>
    </row>
    <row r="116" spans="4:57" ht="14.25" customHeight="1" x14ac:dyDescent="0.3">
      <c r="D116" s="238"/>
      <c r="E116" s="233"/>
      <c r="F116" s="233"/>
      <c r="G116" s="234">
        <v>1.56</v>
      </c>
      <c r="H116" s="233"/>
      <c r="I116" s="233" t="s">
        <v>306</v>
      </c>
      <c r="J116" s="233"/>
      <c r="K116" s="181">
        <f t="shared" si="39"/>
        <v>55.389722222222218</v>
      </c>
      <c r="L116" s="235">
        <v>55</v>
      </c>
      <c r="M116" s="235">
        <v>23</v>
      </c>
      <c r="N116" s="235">
        <v>23</v>
      </c>
      <c r="O116" s="181">
        <f t="shared" si="37"/>
        <v>55.389722222222218</v>
      </c>
      <c r="P116" s="235">
        <v>90</v>
      </c>
      <c r="Q116" s="235">
        <v>59</v>
      </c>
      <c r="R116" s="235">
        <v>33</v>
      </c>
      <c r="S116" s="181">
        <f t="shared" si="38"/>
        <v>90.992500000000007</v>
      </c>
      <c r="T116" s="186">
        <v>34.036000000000001</v>
      </c>
      <c r="U116" s="236">
        <v>12.057</v>
      </c>
      <c r="V116" s="236">
        <v>-0.20899999999999999</v>
      </c>
      <c r="W116" s="236">
        <v>12.055</v>
      </c>
      <c r="X116" s="229">
        <f t="shared" si="40"/>
        <v>535310.33498579054</v>
      </c>
      <c r="Y116" s="229">
        <f t="shared" si="41"/>
        <v>9407738.9862897992</v>
      </c>
      <c r="Z116" s="181">
        <f t="shared" si="42"/>
        <v>119.678</v>
      </c>
      <c r="AC116" t="str">
        <f t="shared" si="7"/>
        <v>PO 535310,334985791,9407738,9862898</v>
      </c>
      <c r="AI116" s="217"/>
      <c r="AJ116" s="217"/>
      <c r="AK116" s="217"/>
      <c r="AL116" s="217"/>
      <c r="AM116" s="217"/>
      <c r="AN116" s="217"/>
      <c r="AO116" s="217"/>
      <c r="AP116" s="217"/>
      <c r="AQ116" s="217"/>
      <c r="AR116" s="217"/>
      <c r="AS116" s="217"/>
      <c r="AT116" s="217"/>
      <c r="AU116" s="217"/>
      <c r="AV116" s="217"/>
      <c r="AW116" s="217"/>
      <c r="AX116" s="217"/>
      <c r="AY116" s="217"/>
      <c r="AZ116" s="239"/>
      <c r="BA116" s="201"/>
      <c r="BB116" s="201"/>
      <c r="BC116" s="201"/>
      <c r="BD116" s="201"/>
      <c r="BE116" s="201"/>
    </row>
    <row r="117" spans="4:57" ht="14.25" customHeight="1" x14ac:dyDescent="0.3">
      <c r="D117" s="238"/>
      <c r="E117" s="233"/>
      <c r="F117" s="233"/>
      <c r="G117" s="234">
        <v>1.56</v>
      </c>
      <c r="H117" s="233"/>
      <c r="I117" s="233" t="s">
        <v>307</v>
      </c>
      <c r="J117" s="233"/>
      <c r="K117" s="181">
        <f t="shared" si="39"/>
        <v>40.727777777777781</v>
      </c>
      <c r="L117" s="240">
        <v>40</v>
      </c>
      <c r="M117" s="235">
        <v>43</v>
      </c>
      <c r="N117" s="235">
        <v>40</v>
      </c>
      <c r="O117" s="181">
        <f t="shared" si="37"/>
        <v>40.727777777777781</v>
      </c>
      <c r="P117" s="235">
        <v>90</v>
      </c>
      <c r="Q117" s="235">
        <v>59</v>
      </c>
      <c r="R117" s="235">
        <v>36</v>
      </c>
      <c r="S117" s="181">
        <f t="shared" si="38"/>
        <v>90.993333333333339</v>
      </c>
      <c r="T117" s="186">
        <v>34.036000000000001</v>
      </c>
      <c r="U117" s="236">
        <v>8.9440000000000008</v>
      </c>
      <c r="V117" s="236">
        <v>-0.155</v>
      </c>
      <c r="W117" s="236">
        <v>8.9440000000000008</v>
      </c>
      <c r="X117" s="229">
        <f t="shared" si="40"/>
        <v>535310.40586778836</v>
      </c>
      <c r="Y117" s="229">
        <f t="shared" si="41"/>
        <v>9407738.9875381943</v>
      </c>
      <c r="Z117" s="181">
        <f t="shared" si="42"/>
        <v>116.56700000000001</v>
      </c>
      <c r="AC117" t="str">
        <f t="shared" si="7"/>
        <v>PO 535310,405867788,9407738,98753819</v>
      </c>
      <c r="AI117" s="201"/>
      <c r="AJ117" s="201"/>
      <c r="AK117" s="201"/>
      <c r="AL117" s="201"/>
      <c r="AM117" s="201"/>
      <c r="AN117" s="201"/>
      <c r="AO117" s="201"/>
      <c r="AP117" s="201"/>
      <c r="AQ117" s="201"/>
      <c r="AR117" s="201"/>
      <c r="AS117" s="201"/>
      <c r="AT117" s="201"/>
      <c r="AU117" s="201"/>
      <c r="AV117" s="201"/>
      <c r="AW117" s="201"/>
      <c r="AX117" s="201"/>
      <c r="AY117" s="201"/>
      <c r="AZ117" s="201"/>
      <c r="BA117" s="201"/>
      <c r="BB117" s="201"/>
      <c r="BC117" s="201"/>
      <c r="BD117" s="201"/>
      <c r="BE117" s="201"/>
    </row>
    <row r="118" spans="4:57" ht="14.25" customHeight="1" x14ac:dyDescent="0.3">
      <c r="D118" s="238"/>
      <c r="E118" s="233"/>
      <c r="F118" s="233"/>
      <c r="G118" s="234">
        <v>1.56</v>
      </c>
      <c r="H118" s="233"/>
      <c r="I118" s="233" t="s">
        <v>308</v>
      </c>
      <c r="J118" s="233"/>
      <c r="K118" s="181">
        <f t="shared" si="39"/>
        <v>36.978611111111114</v>
      </c>
      <c r="L118" s="235">
        <v>36</v>
      </c>
      <c r="M118" s="235">
        <v>58</v>
      </c>
      <c r="N118" s="235">
        <v>43</v>
      </c>
      <c r="O118" s="181">
        <f t="shared" si="37"/>
        <v>36.978611111111114</v>
      </c>
      <c r="P118" s="235">
        <v>90</v>
      </c>
      <c r="Q118" s="235">
        <v>59</v>
      </c>
      <c r="R118" s="235">
        <v>39</v>
      </c>
      <c r="S118" s="181">
        <f t="shared" si="38"/>
        <v>90.994166666666672</v>
      </c>
      <c r="T118" s="186">
        <v>34.036000000000001</v>
      </c>
      <c r="U118" s="236">
        <v>9.4359999999999999</v>
      </c>
      <c r="V118" s="236">
        <v>-0.16400000000000001</v>
      </c>
      <c r="W118" s="236">
        <v>9.4350000000000005</v>
      </c>
      <c r="X118" s="229">
        <f t="shared" si="40"/>
        <v>535310.4083512373</v>
      </c>
      <c r="Y118" s="229">
        <f t="shared" si="41"/>
        <v>9407738.9739869423</v>
      </c>
      <c r="Z118" s="181">
        <f t="shared" si="42"/>
        <v>117.05800000000001</v>
      </c>
      <c r="AC118" t="str">
        <f t="shared" si="7"/>
        <v>PO 535310,408351237,9407738,97398694</v>
      </c>
      <c r="AI118" s="201"/>
      <c r="AJ118" s="201"/>
      <c r="AK118" s="201"/>
      <c r="AL118" s="201"/>
      <c r="AM118" s="201"/>
      <c r="AN118" s="201"/>
      <c r="AO118" s="201"/>
      <c r="AP118" s="201"/>
      <c r="AQ118" s="201"/>
      <c r="AR118" s="201"/>
      <c r="AS118" s="201"/>
      <c r="AT118" s="201"/>
      <c r="AU118" s="201"/>
      <c r="AV118" s="201"/>
      <c r="AW118" s="201"/>
      <c r="AX118" s="201"/>
      <c r="AY118" s="201"/>
      <c r="AZ118" s="201"/>
      <c r="BA118" s="201"/>
      <c r="BB118" s="201"/>
      <c r="BC118" s="201"/>
      <c r="BD118" s="201"/>
      <c r="BE118" s="201"/>
    </row>
    <row r="119" spans="4:57" ht="14.25" customHeight="1" x14ac:dyDescent="0.3">
      <c r="D119" s="238"/>
      <c r="E119" s="233"/>
      <c r="F119" s="233"/>
      <c r="G119" s="234">
        <v>1.56</v>
      </c>
      <c r="H119" s="233"/>
      <c r="I119" s="233" t="s">
        <v>309</v>
      </c>
      <c r="J119" s="233"/>
      <c r="K119" s="181">
        <f t="shared" si="39"/>
        <v>7.4563888888888892</v>
      </c>
      <c r="L119" s="240">
        <v>7</v>
      </c>
      <c r="M119" s="235">
        <v>27</v>
      </c>
      <c r="N119" s="235">
        <v>23</v>
      </c>
      <c r="O119" s="181">
        <f t="shared" si="37"/>
        <v>7.4563888888888892</v>
      </c>
      <c r="P119" s="235">
        <v>90</v>
      </c>
      <c r="Q119" s="235">
        <v>59</v>
      </c>
      <c r="R119" s="235">
        <v>38</v>
      </c>
      <c r="S119" s="181">
        <f t="shared" si="38"/>
        <v>90.99388888888889</v>
      </c>
      <c r="T119" s="186">
        <v>34.036000000000001</v>
      </c>
      <c r="U119" s="236">
        <v>8.5470000000000006</v>
      </c>
      <c r="V119" s="236">
        <v>-0.14799999999999999</v>
      </c>
      <c r="W119" s="236">
        <v>8.5459999999999994</v>
      </c>
      <c r="X119" s="229">
        <f t="shared" si="40"/>
        <v>535310.48779381672</v>
      </c>
      <c r="Y119" s="229">
        <f t="shared" si="41"/>
        <v>9407738.9582514986</v>
      </c>
      <c r="Z119" s="181">
        <f t="shared" si="42"/>
        <v>116.16900000000001</v>
      </c>
      <c r="AC119" t="str">
        <f t="shared" si="7"/>
        <v>PO 535310,487793817,9407738,9582515</v>
      </c>
      <c r="AI119" s="201"/>
      <c r="AJ119" s="201"/>
      <c r="AK119" s="201"/>
      <c r="AL119" s="201"/>
      <c r="AM119" s="201"/>
      <c r="AN119" s="201"/>
      <c r="AO119" s="201"/>
      <c r="AP119" s="201"/>
      <c r="AQ119" s="201"/>
      <c r="AR119" s="201"/>
      <c r="AS119" s="201"/>
      <c r="AT119" s="201"/>
      <c r="AU119" s="201"/>
      <c r="AV119" s="201"/>
      <c r="AW119" s="201"/>
      <c r="AX119" s="201"/>
      <c r="AY119" s="201"/>
      <c r="AZ119" s="201"/>
      <c r="BA119" s="201"/>
      <c r="BB119" s="201"/>
      <c r="BC119" s="201"/>
      <c r="BD119" s="201"/>
      <c r="BE119" s="201"/>
    </row>
    <row r="120" spans="4:57" ht="14.25" customHeight="1" x14ac:dyDescent="0.3">
      <c r="D120" s="238"/>
      <c r="E120" s="233"/>
      <c r="F120" s="233"/>
      <c r="G120" s="234">
        <v>1.56</v>
      </c>
      <c r="H120" s="233"/>
      <c r="I120" s="233" t="s">
        <v>310</v>
      </c>
      <c r="J120" s="233"/>
      <c r="K120" s="181">
        <f t="shared" si="39"/>
        <v>8.4288888888888884</v>
      </c>
      <c r="L120" s="235">
        <v>8</v>
      </c>
      <c r="M120" s="235">
        <v>25</v>
      </c>
      <c r="N120" s="235">
        <v>44</v>
      </c>
      <c r="O120" s="181">
        <f t="shared" si="37"/>
        <v>8.4288888888888884</v>
      </c>
      <c r="P120" s="235">
        <v>90</v>
      </c>
      <c r="Q120" s="235">
        <v>59</v>
      </c>
      <c r="R120" s="235">
        <v>37</v>
      </c>
      <c r="S120" s="181">
        <f t="shared" si="38"/>
        <v>90.993611111111107</v>
      </c>
      <c r="T120" s="186">
        <v>34.036000000000001</v>
      </c>
      <c r="U120" s="236">
        <v>9.4550000000000001</v>
      </c>
      <c r="V120" s="236">
        <v>-0.154</v>
      </c>
      <c r="W120" s="236">
        <v>9.4540000000000006</v>
      </c>
      <c r="X120" s="229">
        <f t="shared" si="40"/>
        <v>535310.48442640167</v>
      </c>
      <c r="Y120" s="229">
        <f t="shared" si="41"/>
        <v>9407738.9526634235</v>
      </c>
      <c r="Z120" s="181">
        <f t="shared" si="42"/>
        <v>117.077</v>
      </c>
      <c r="AC120" t="str">
        <f t="shared" si="7"/>
        <v>PO 535310,484426402,9407738,95266342</v>
      </c>
      <c r="AI120" s="201"/>
      <c r="AJ120" s="201"/>
      <c r="AK120" s="201"/>
      <c r="AL120" s="201"/>
      <c r="AM120" s="201"/>
      <c r="AN120" s="201"/>
      <c r="AO120" s="201"/>
      <c r="AP120" s="201"/>
      <c r="AQ120" s="201"/>
      <c r="AR120" s="201"/>
      <c r="AS120" s="201"/>
      <c r="AT120" s="201"/>
      <c r="AU120" s="201"/>
      <c r="AV120" s="201"/>
      <c r="AW120" s="201"/>
      <c r="AX120" s="201"/>
      <c r="AY120" s="201"/>
      <c r="AZ120" s="201"/>
      <c r="BA120" s="201"/>
      <c r="BB120" s="201"/>
      <c r="BC120" s="201"/>
      <c r="BD120" s="201"/>
      <c r="BE120" s="201"/>
    </row>
    <row r="121" spans="4:57" ht="14.25" customHeight="1" x14ac:dyDescent="0.35">
      <c r="D121" s="238"/>
      <c r="E121" s="241"/>
      <c r="F121" s="183"/>
      <c r="G121" s="234">
        <v>1.56</v>
      </c>
      <c r="H121" s="233"/>
      <c r="I121" s="233" t="s">
        <v>311</v>
      </c>
      <c r="J121" s="233"/>
      <c r="K121" s="181">
        <f t="shared" si="39"/>
        <v>341.16055555555556</v>
      </c>
      <c r="L121" s="235">
        <v>341</v>
      </c>
      <c r="M121" s="235">
        <v>9</v>
      </c>
      <c r="N121" s="235">
        <v>38</v>
      </c>
      <c r="O121" s="181">
        <f t="shared" si="37"/>
        <v>341.16055555555556</v>
      </c>
      <c r="P121" s="235">
        <v>91</v>
      </c>
      <c r="Q121" s="235">
        <v>0</v>
      </c>
      <c r="R121" s="235">
        <v>2</v>
      </c>
      <c r="S121" s="181">
        <f t="shared" si="38"/>
        <v>91.00055555555555</v>
      </c>
      <c r="T121" s="186">
        <v>34.036000000000001</v>
      </c>
      <c r="U121" s="236">
        <v>11.298</v>
      </c>
      <c r="V121" s="236">
        <v>-0.19700000000000001</v>
      </c>
      <c r="W121" s="236">
        <v>11.295999999999999</v>
      </c>
      <c r="X121" s="229">
        <f t="shared" si="40"/>
        <v>535310.57061471313</v>
      </c>
      <c r="Y121" s="229">
        <f t="shared" si="41"/>
        <v>9407738.918553846</v>
      </c>
      <c r="Z121" s="242">
        <f t="shared" si="42"/>
        <v>118.91900000000001</v>
      </c>
      <c r="AC121" t="str">
        <f t="shared" si="7"/>
        <v>PO 535310,570614713,9407738,91855385</v>
      </c>
      <c r="AI121" s="201"/>
      <c r="AJ121" s="201"/>
      <c r="AK121" s="201"/>
      <c r="AL121" s="201"/>
      <c r="AM121" s="201"/>
      <c r="AN121" s="201"/>
      <c r="AO121" s="201"/>
      <c r="AP121" s="201"/>
      <c r="AQ121" s="201"/>
      <c r="AR121" s="201"/>
      <c r="AS121" s="201"/>
      <c r="AT121" s="201"/>
      <c r="AU121" s="201"/>
      <c r="AV121" s="201"/>
      <c r="AW121" s="201"/>
      <c r="AX121" s="201"/>
      <c r="AY121" s="201"/>
      <c r="AZ121" s="201"/>
      <c r="BA121" s="201"/>
      <c r="BB121" s="201"/>
      <c r="BC121" s="201"/>
      <c r="BD121" s="201"/>
      <c r="BE121" s="201"/>
    </row>
    <row r="122" spans="4:57" ht="14.25" customHeight="1" x14ac:dyDescent="0.3">
      <c r="D122" s="238"/>
      <c r="E122" s="180"/>
      <c r="F122" s="180"/>
      <c r="G122" s="234">
        <v>1.56</v>
      </c>
      <c r="H122" s="233"/>
      <c r="I122" s="233" t="s">
        <v>312</v>
      </c>
      <c r="J122" s="233"/>
      <c r="K122" s="181">
        <f t="shared" si="39"/>
        <v>343.45333333333332</v>
      </c>
      <c r="L122" s="235">
        <v>343</v>
      </c>
      <c r="M122" s="235">
        <v>27</v>
      </c>
      <c r="N122" s="235">
        <v>12</v>
      </c>
      <c r="O122" s="181">
        <f t="shared" si="37"/>
        <v>343.45333333333332</v>
      </c>
      <c r="P122" s="235">
        <v>90</v>
      </c>
      <c r="Q122" s="235">
        <v>59</v>
      </c>
      <c r="R122" s="235">
        <v>58</v>
      </c>
      <c r="S122" s="181">
        <f t="shared" si="38"/>
        <v>90.99944444444445</v>
      </c>
      <c r="T122" s="186">
        <v>34.036000000000001</v>
      </c>
      <c r="U122" s="236">
        <v>11.973000000000001</v>
      </c>
      <c r="V122" s="236">
        <v>-0.20899999999999999</v>
      </c>
      <c r="W122" s="236">
        <v>11.971</v>
      </c>
      <c r="X122" s="229">
        <f t="shared" si="40"/>
        <v>535310.56652240502</v>
      </c>
      <c r="Y122" s="229">
        <f t="shared" si="41"/>
        <v>9407738.9046550896</v>
      </c>
      <c r="Z122" s="242">
        <f t="shared" si="42"/>
        <v>119.59400000000001</v>
      </c>
      <c r="AC122" t="str">
        <f t="shared" si="7"/>
        <v>PO 535310,566522405,9407738,90465509</v>
      </c>
      <c r="AI122" s="201"/>
      <c r="AJ122" s="201"/>
      <c r="AK122" s="201"/>
      <c r="AL122" s="201"/>
      <c r="AM122" s="201"/>
      <c r="AN122" s="201"/>
      <c r="AO122" s="201"/>
      <c r="AP122" s="201"/>
      <c r="AQ122" s="201"/>
      <c r="AR122" s="201"/>
      <c r="AS122" s="201"/>
      <c r="AT122" s="201"/>
      <c r="AU122" s="201"/>
      <c r="AV122" s="201"/>
      <c r="AW122" s="201"/>
      <c r="AX122" s="201"/>
      <c r="AY122" s="201"/>
      <c r="AZ122" s="201"/>
      <c r="BA122" s="201"/>
      <c r="BB122" s="201"/>
      <c r="BC122" s="201"/>
      <c r="BD122" s="201"/>
      <c r="BE122" s="201"/>
    </row>
    <row r="123" spans="4:57" ht="14.25" customHeight="1" x14ac:dyDescent="0.35">
      <c r="D123" s="238"/>
      <c r="E123" s="181"/>
      <c r="F123" s="181"/>
      <c r="G123" s="234">
        <v>1.56</v>
      </c>
      <c r="H123" s="183"/>
      <c r="I123" s="233" t="s">
        <v>313</v>
      </c>
      <c r="J123" s="183"/>
      <c r="K123" s="181">
        <f t="shared" si="39"/>
        <v>329.94305555555553</v>
      </c>
      <c r="L123" s="235">
        <v>329</v>
      </c>
      <c r="M123" s="235">
        <v>56</v>
      </c>
      <c r="N123" s="235">
        <v>35</v>
      </c>
      <c r="O123" s="181">
        <f t="shared" si="37"/>
        <v>329.94305555555553</v>
      </c>
      <c r="P123" s="235">
        <v>91</v>
      </c>
      <c r="Q123" s="235">
        <v>0</v>
      </c>
      <c r="R123" s="235">
        <v>4</v>
      </c>
      <c r="S123" s="181">
        <f t="shared" si="38"/>
        <v>91.001111111111115</v>
      </c>
      <c r="T123" s="186">
        <v>34.036000000000001</v>
      </c>
      <c r="U123" s="236">
        <v>13.680999999999999</v>
      </c>
      <c r="V123" s="236">
        <v>-0.23899999999999999</v>
      </c>
      <c r="W123" s="236">
        <v>13.679</v>
      </c>
      <c r="X123" s="229">
        <f t="shared" si="40"/>
        <v>535310.62670565175</v>
      </c>
      <c r="Y123" s="229">
        <f t="shared" si="41"/>
        <v>9407738.8981387988</v>
      </c>
      <c r="Z123" s="242">
        <f t="shared" si="42"/>
        <v>121.30200000000001</v>
      </c>
      <c r="AC123" t="str">
        <f t="shared" si="7"/>
        <v>PO 535310,626705652,9407738,8981388</v>
      </c>
      <c r="AI123" s="201"/>
      <c r="AJ123" s="201"/>
      <c r="AK123" s="201"/>
      <c r="AL123" s="201"/>
      <c r="AM123" s="201"/>
      <c r="AN123" s="201"/>
      <c r="AO123" s="201"/>
      <c r="AP123" s="201"/>
      <c r="AQ123" s="201"/>
      <c r="AR123" s="201"/>
      <c r="AS123" s="201"/>
      <c r="AT123" s="201"/>
      <c r="AU123" s="201"/>
      <c r="AV123" s="201"/>
      <c r="AW123" s="201"/>
      <c r="AX123" s="201"/>
      <c r="AY123" s="201"/>
      <c r="AZ123" s="201"/>
      <c r="BA123" s="201"/>
      <c r="BB123" s="201"/>
      <c r="BC123" s="201"/>
      <c r="BD123" s="201"/>
      <c r="BE123" s="201"/>
    </row>
    <row r="124" spans="4:57" ht="14.25" customHeight="1" x14ac:dyDescent="0.35">
      <c r="D124" s="238"/>
      <c r="E124" s="181"/>
      <c r="F124" s="181"/>
      <c r="G124" s="234">
        <v>1.56</v>
      </c>
      <c r="H124" s="183"/>
      <c r="I124" s="233" t="s">
        <v>314</v>
      </c>
      <c r="J124" s="183"/>
      <c r="K124" s="181">
        <f t="shared" si="39"/>
        <v>330.71749999999997</v>
      </c>
      <c r="L124" s="235">
        <v>330</v>
      </c>
      <c r="M124" s="235">
        <v>43</v>
      </c>
      <c r="N124" s="235">
        <v>3</v>
      </c>
      <c r="O124" s="181">
        <f t="shared" si="37"/>
        <v>330.71749999999997</v>
      </c>
      <c r="P124" s="235">
        <v>91</v>
      </c>
      <c r="Q124" s="235">
        <v>0</v>
      </c>
      <c r="R124" s="235">
        <v>1</v>
      </c>
      <c r="S124" s="181">
        <f t="shared" si="38"/>
        <v>91.000277777777782</v>
      </c>
      <c r="T124" s="186">
        <v>34.036000000000001</v>
      </c>
      <c r="U124" s="236">
        <v>14.006</v>
      </c>
      <c r="V124" s="236">
        <v>-0.245</v>
      </c>
      <c r="W124" s="236">
        <v>14.004</v>
      </c>
      <c r="X124" s="229">
        <f t="shared" si="40"/>
        <v>535310.62683343724</v>
      </c>
      <c r="Y124" s="229">
        <f t="shared" si="41"/>
        <v>9407738.8913064171</v>
      </c>
      <c r="Z124" s="242">
        <f t="shared" si="42"/>
        <v>121.62700000000001</v>
      </c>
      <c r="AC124" t="str">
        <f t="shared" si="7"/>
        <v>PO 535310,626833437,9407738,89130642</v>
      </c>
      <c r="AI124" s="201"/>
      <c r="AJ124" s="201"/>
      <c r="AK124" s="201"/>
      <c r="AL124" s="201"/>
      <c r="AM124" s="201"/>
      <c r="AN124" s="201"/>
      <c r="AO124" s="201"/>
      <c r="AP124" s="201"/>
      <c r="AQ124" s="201"/>
      <c r="AR124" s="201"/>
      <c r="AS124" s="201"/>
      <c r="AT124" s="201"/>
      <c r="AU124" s="201"/>
      <c r="AV124" s="201"/>
      <c r="AW124" s="201"/>
      <c r="AX124" s="201"/>
      <c r="AY124" s="201"/>
      <c r="AZ124" s="201"/>
      <c r="BA124" s="201"/>
      <c r="BB124" s="201"/>
      <c r="BC124" s="201"/>
      <c r="BD124" s="201"/>
      <c r="BE124" s="201"/>
    </row>
    <row r="125" spans="4:57" ht="14.25" customHeight="1" x14ac:dyDescent="0.3">
      <c r="D125" s="238"/>
      <c r="E125" s="181"/>
      <c r="F125" s="181"/>
      <c r="G125" s="234">
        <v>1.56</v>
      </c>
      <c r="H125" s="233"/>
      <c r="I125" s="233" t="s">
        <v>315</v>
      </c>
      <c r="J125" s="233"/>
      <c r="K125" s="181">
        <f t="shared" si="39"/>
        <v>328.625</v>
      </c>
      <c r="L125" s="235">
        <v>328</v>
      </c>
      <c r="M125" s="235">
        <v>37</v>
      </c>
      <c r="N125" s="235">
        <v>30</v>
      </c>
      <c r="O125" s="181">
        <f t="shared" si="37"/>
        <v>328.625</v>
      </c>
      <c r="P125" s="235">
        <v>91</v>
      </c>
      <c r="Q125" s="235">
        <v>0</v>
      </c>
      <c r="R125" s="235">
        <v>17</v>
      </c>
      <c r="S125" s="181">
        <f t="shared" si="38"/>
        <v>91.004722222222227</v>
      </c>
      <c r="T125" s="186">
        <v>34.036000000000001</v>
      </c>
      <c r="U125" s="236">
        <v>16.079000000000001</v>
      </c>
      <c r="V125" s="236">
        <v>-0.28199999999999997</v>
      </c>
      <c r="W125" s="236">
        <v>16.077000000000002</v>
      </c>
      <c r="X125" s="229">
        <f t="shared" si="40"/>
        <v>535310.65381967637</v>
      </c>
      <c r="Y125" s="229">
        <f t="shared" si="41"/>
        <v>9407738.8642345909</v>
      </c>
      <c r="Z125" s="242">
        <f t="shared" si="42"/>
        <v>123.7</v>
      </c>
      <c r="AC125" t="str">
        <f t="shared" si="7"/>
        <v>PO 535310,653819676,9407738,86423459</v>
      </c>
      <c r="AI125" s="201"/>
      <c r="AJ125" s="201"/>
      <c r="AK125" s="201"/>
      <c r="AL125" s="201"/>
      <c r="AM125" s="201"/>
      <c r="AN125" s="201"/>
      <c r="AO125" s="201"/>
      <c r="AP125" s="201"/>
      <c r="AQ125" s="201"/>
      <c r="AR125" s="201"/>
      <c r="AS125" s="201"/>
      <c r="AT125" s="201"/>
      <c r="AU125" s="201"/>
      <c r="AV125" s="201"/>
      <c r="AW125" s="201"/>
      <c r="AX125" s="201"/>
      <c r="AY125" s="201"/>
      <c r="AZ125" s="201"/>
      <c r="BA125" s="201"/>
      <c r="BB125" s="201"/>
      <c r="BC125" s="201"/>
      <c r="BD125" s="201"/>
      <c r="BE125" s="201"/>
    </row>
    <row r="126" spans="4:57" ht="14.25" customHeight="1" x14ac:dyDescent="0.3">
      <c r="D126" s="238"/>
      <c r="E126" s="181"/>
      <c r="F126" s="181"/>
      <c r="G126" s="234">
        <v>1.56</v>
      </c>
      <c r="H126" s="233"/>
      <c r="I126" s="233" t="s">
        <v>316</v>
      </c>
      <c r="J126" s="233"/>
      <c r="K126" s="181">
        <f t="shared" si="39"/>
        <v>328.36027777777781</v>
      </c>
      <c r="L126" s="235">
        <v>328</v>
      </c>
      <c r="M126" s="235">
        <v>21</v>
      </c>
      <c r="N126" s="235">
        <v>37</v>
      </c>
      <c r="O126" s="181">
        <f t="shared" si="37"/>
        <v>328.36027777777781</v>
      </c>
      <c r="P126" s="235">
        <v>91</v>
      </c>
      <c r="Q126" s="235">
        <v>0</v>
      </c>
      <c r="R126" s="235">
        <v>16</v>
      </c>
      <c r="S126" s="181">
        <f t="shared" si="38"/>
        <v>91.004444444444445</v>
      </c>
      <c r="T126" s="186">
        <v>34.036000000000001</v>
      </c>
      <c r="U126" s="236">
        <v>16.218</v>
      </c>
      <c r="V126" s="236">
        <v>-0.28599999999999998</v>
      </c>
      <c r="W126" s="236">
        <v>16.216000000000001</v>
      </c>
      <c r="X126" s="229">
        <f t="shared" si="40"/>
        <v>535310.65702881268</v>
      </c>
      <c r="Y126" s="229">
        <f t="shared" si="41"/>
        <v>9407738.8615100514</v>
      </c>
      <c r="Z126" s="242">
        <f t="shared" si="42"/>
        <v>123.839</v>
      </c>
      <c r="AC126" t="str">
        <f t="shared" si="7"/>
        <v>PO 535310,657028813,9407738,86151005</v>
      </c>
      <c r="AI126" s="201"/>
      <c r="AJ126" s="201"/>
      <c r="AK126" s="201"/>
      <c r="AL126" s="201"/>
      <c r="AM126" s="201"/>
      <c r="AN126" s="201"/>
      <c r="AO126" s="201"/>
      <c r="AP126" s="201"/>
      <c r="AQ126" s="201"/>
      <c r="AR126" s="201"/>
      <c r="AS126" s="201"/>
      <c r="AT126" s="201"/>
      <c r="AU126" s="201"/>
      <c r="AV126" s="201"/>
      <c r="AW126" s="201"/>
      <c r="AX126" s="201"/>
      <c r="AY126" s="201"/>
      <c r="AZ126" s="201"/>
      <c r="BA126" s="201"/>
      <c r="BB126" s="201"/>
      <c r="BC126" s="201"/>
      <c r="BD126" s="201"/>
      <c r="BE126" s="201"/>
    </row>
    <row r="127" spans="4:57" ht="14.25" customHeight="1" x14ac:dyDescent="0.3">
      <c r="D127" s="238"/>
      <c r="E127" s="181"/>
      <c r="F127" s="181"/>
      <c r="G127" s="234">
        <v>1.56</v>
      </c>
      <c r="H127" s="233"/>
      <c r="I127" s="233" t="s">
        <v>317</v>
      </c>
      <c r="J127" s="233"/>
      <c r="K127" s="181">
        <f t="shared" si="39"/>
        <v>323.64277777777778</v>
      </c>
      <c r="L127" s="235">
        <v>323</v>
      </c>
      <c r="M127" s="235">
        <v>38</v>
      </c>
      <c r="N127" s="235">
        <v>34</v>
      </c>
      <c r="O127" s="181">
        <f t="shared" si="37"/>
        <v>323.64277777777778</v>
      </c>
      <c r="P127" s="235">
        <v>91</v>
      </c>
      <c r="Q127" s="235">
        <v>0</v>
      </c>
      <c r="R127" s="235">
        <v>15</v>
      </c>
      <c r="S127" s="181">
        <f t="shared" si="38"/>
        <v>91.004166666666663</v>
      </c>
      <c r="T127" s="186">
        <v>34.036000000000001</v>
      </c>
      <c r="U127" s="236">
        <v>17.856999999999999</v>
      </c>
      <c r="V127" s="236">
        <v>-0.313</v>
      </c>
      <c r="W127" s="236">
        <v>17.853999999999999</v>
      </c>
      <c r="X127" s="229">
        <f t="shared" si="40"/>
        <v>535310.6925519642</v>
      </c>
      <c r="Y127" s="229">
        <f t="shared" si="41"/>
        <v>9407738.8529296368</v>
      </c>
      <c r="Z127" s="242">
        <f t="shared" si="42"/>
        <v>125.477</v>
      </c>
      <c r="AC127" t="str">
        <f t="shared" si="7"/>
        <v>PO 535310,692551964,9407738,85292964</v>
      </c>
      <c r="AI127" s="201"/>
      <c r="AJ127" s="201"/>
      <c r="AK127" s="201"/>
      <c r="AL127" s="201"/>
      <c r="AM127" s="201"/>
      <c r="AN127" s="201"/>
      <c r="AO127" s="201"/>
      <c r="AP127" s="201"/>
      <c r="AQ127" s="201"/>
      <c r="AR127" s="201"/>
      <c r="AS127" s="201"/>
      <c r="AT127" s="201"/>
      <c r="AU127" s="201"/>
      <c r="AV127" s="201"/>
      <c r="AW127" s="201"/>
      <c r="AX127" s="201"/>
      <c r="AY127" s="201"/>
      <c r="AZ127" s="201"/>
      <c r="BA127" s="201"/>
      <c r="BB127" s="201"/>
      <c r="BC127" s="201"/>
      <c r="BD127" s="201"/>
      <c r="BE127" s="201"/>
    </row>
    <row r="128" spans="4:57" ht="14.25" customHeight="1" x14ac:dyDescent="0.3">
      <c r="D128" s="232"/>
      <c r="E128" s="181"/>
      <c r="F128" s="181"/>
      <c r="G128" s="234">
        <v>1.56</v>
      </c>
      <c r="H128" s="233"/>
      <c r="I128" s="233" t="s">
        <v>319</v>
      </c>
      <c r="J128" s="233"/>
      <c r="K128" s="181">
        <f t="shared" si="39"/>
        <v>323.23722222222221</v>
      </c>
      <c r="L128" s="235">
        <v>323</v>
      </c>
      <c r="M128" s="235">
        <v>14</v>
      </c>
      <c r="N128" s="235">
        <v>14</v>
      </c>
      <c r="O128" s="181">
        <f t="shared" si="37"/>
        <v>323.23722222222221</v>
      </c>
      <c r="P128" s="235">
        <v>91</v>
      </c>
      <c r="Q128" s="235">
        <v>0</v>
      </c>
      <c r="R128" s="235">
        <v>4</v>
      </c>
      <c r="S128" s="181">
        <f t="shared" si="38"/>
        <v>91.001111111111115</v>
      </c>
      <c r="T128" s="186">
        <v>34.036000000000001</v>
      </c>
      <c r="U128" s="236">
        <v>17.856999999999999</v>
      </c>
      <c r="V128" s="236">
        <v>-0.32500000000000001</v>
      </c>
      <c r="W128" s="236">
        <v>17.346</v>
      </c>
      <c r="X128" s="229">
        <f t="shared" si="40"/>
        <v>535310.70151356491</v>
      </c>
      <c r="Y128" s="229">
        <f t="shared" si="41"/>
        <v>9407738.8446358833</v>
      </c>
      <c r="Z128" s="242">
        <f t="shared" si="42"/>
        <v>124.96900000000001</v>
      </c>
      <c r="AC128" t="str">
        <f t="shared" si="7"/>
        <v>PO 535310,701513565,9407738,84463588</v>
      </c>
      <c r="AI128" s="201"/>
      <c r="AJ128" s="201"/>
      <c r="AK128" s="201"/>
      <c r="AL128" s="201"/>
      <c r="AM128" s="201"/>
      <c r="AN128" s="201"/>
      <c r="AO128" s="201"/>
      <c r="AP128" s="201"/>
      <c r="AQ128" s="201"/>
      <c r="AR128" s="201"/>
      <c r="AS128" s="201"/>
      <c r="AT128" s="201"/>
      <c r="AU128" s="201"/>
      <c r="AV128" s="201"/>
      <c r="AW128" s="201"/>
      <c r="AX128" s="201"/>
      <c r="AY128" s="201"/>
      <c r="AZ128" s="201"/>
      <c r="BA128" s="201"/>
      <c r="BB128" s="201"/>
      <c r="BC128" s="201"/>
      <c r="BD128" s="201"/>
      <c r="BE128" s="201"/>
    </row>
    <row r="129" spans="4:57" ht="14.25" customHeight="1" x14ac:dyDescent="0.3">
      <c r="D129" s="232"/>
      <c r="E129" s="181"/>
      <c r="F129" s="181"/>
      <c r="G129" s="234">
        <v>1.56</v>
      </c>
      <c r="H129" s="233"/>
      <c r="I129" s="233" t="s">
        <v>321</v>
      </c>
      <c r="J129" s="233"/>
      <c r="K129" s="181">
        <f t="shared" si="39"/>
        <v>314.66166666666663</v>
      </c>
      <c r="L129" s="235">
        <v>314</v>
      </c>
      <c r="M129" s="235">
        <v>39</v>
      </c>
      <c r="N129" s="235">
        <v>42</v>
      </c>
      <c r="O129" s="181">
        <f t="shared" si="37"/>
        <v>314.66166666666663</v>
      </c>
      <c r="P129" s="235">
        <v>91</v>
      </c>
      <c r="Q129" s="235">
        <v>2</v>
      </c>
      <c r="R129" s="235">
        <v>51</v>
      </c>
      <c r="S129" s="181">
        <f t="shared" si="38"/>
        <v>91.047499999999999</v>
      </c>
      <c r="T129" s="186">
        <v>34.036000000000001</v>
      </c>
      <c r="U129" s="236">
        <v>24.155999999999999</v>
      </c>
      <c r="V129" s="236">
        <v>-0.442</v>
      </c>
      <c r="W129" s="236">
        <v>24.152000000000001</v>
      </c>
      <c r="X129" s="229">
        <f t="shared" si="40"/>
        <v>535310.8213813029</v>
      </c>
      <c r="Y129" s="229">
        <f t="shared" si="41"/>
        <v>9407738.7943098061</v>
      </c>
      <c r="Z129" s="242">
        <f t="shared" si="42"/>
        <v>131.77500000000001</v>
      </c>
      <c r="AC129" t="str">
        <f t="shared" si="7"/>
        <v>PO 535310,821381303,9407738,79430981</v>
      </c>
      <c r="AI129" s="201"/>
      <c r="AJ129" s="201"/>
      <c r="AK129" s="201"/>
      <c r="AL129" s="201"/>
      <c r="AM129" s="201"/>
      <c r="AN129" s="201"/>
      <c r="AO129" s="201"/>
      <c r="AP129" s="201"/>
      <c r="AQ129" s="201"/>
      <c r="AR129" s="201"/>
      <c r="AS129" s="201"/>
      <c r="AT129" s="201"/>
      <c r="AU129" s="201"/>
      <c r="AV129" s="201"/>
      <c r="AW129" s="201"/>
      <c r="AX129" s="201"/>
      <c r="AY129" s="201"/>
      <c r="AZ129" s="201"/>
      <c r="BA129" s="201"/>
      <c r="BB129" s="201"/>
      <c r="BC129" s="201"/>
      <c r="BD129" s="201"/>
      <c r="BE129" s="201"/>
    </row>
    <row r="130" spans="4:57" ht="14.25" customHeight="1" x14ac:dyDescent="0.3">
      <c r="D130" s="232"/>
      <c r="E130" s="181"/>
      <c r="F130" s="181"/>
      <c r="G130" s="234">
        <v>1.56</v>
      </c>
      <c r="H130" s="233"/>
      <c r="I130" s="233" t="s">
        <v>323</v>
      </c>
      <c r="J130" s="233"/>
      <c r="K130" s="181">
        <f t="shared" si="39"/>
        <v>314.4758333333333</v>
      </c>
      <c r="L130" s="235">
        <v>314</v>
      </c>
      <c r="M130" s="235">
        <v>28</v>
      </c>
      <c r="N130" s="235">
        <v>33</v>
      </c>
      <c r="O130" s="181">
        <f t="shared" si="37"/>
        <v>314.4758333333333</v>
      </c>
      <c r="P130" s="235">
        <v>91</v>
      </c>
      <c r="Q130" s="235">
        <v>2</v>
      </c>
      <c r="R130" s="235">
        <v>49</v>
      </c>
      <c r="S130" s="181">
        <f t="shared" si="38"/>
        <v>91.046944444444449</v>
      </c>
      <c r="T130" s="186">
        <v>34.036000000000001</v>
      </c>
      <c r="U130" s="236">
        <v>24.170999999999999</v>
      </c>
      <c r="V130" s="236">
        <v>-0.442</v>
      </c>
      <c r="W130" s="236">
        <v>24.167000000000002</v>
      </c>
      <c r="X130" s="229">
        <f t="shared" si="40"/>
        <v>535310.82238734118</v>
      </c>
      <c r="Y130" s="229">
        <f t="shared" si="41"/>
        <v>9407738.7953311037</v>
      </c>
      <c r="Z130" s="242">
        <f t="shared" si="42"/>
        <v>131.79000000000002</v>
      </c>
      <c r="AC130" t="str">
        <f t="shared" si="7"/>
        <v>PO 535310,822387341,9407738,7953311</v>
      </c>
      <c r="AI130" s="201"/>
      <c r="AJ130" s="201"/>
      <c r="AK130" s="201"/>
      <c r="AL130" s="201"/>
      <c r="AM130" s="201"/>
      <c r="AN130" s="201"/>
      <c r="AO130" s="201"/>
      <c r="AP130" s="201"/>
      <c r="AQ130" s="201"/>
      <c r="AR130" s="201"/>
      <c r="AS130" s="201"/>
      <c r="AT130" s="201"/>
      <c r="AU130" s="201"/>
      <c r="AV130" s="201"/>
      <c r="AW130" s="201"/>
      <c r="AX130" s="201"/>
      <c r="AY130" s="201"/>
      <c r="AZ130" s="201"/>
      <c r="BA130" s="201"/>
      <c r="BB130" s="201"/>
      <c r="BC130" s="201"/>
      <c r="BD130" s="201"/>
      <c r="BE130" s="201"/>
    </row>
    <row r="131" spans="4:57" ht="14.25" customHeight="1" x14ac:dyDescent="0.3">
      <c r="D131" s="232"/>
      <c r="E131" s="181"/>
      <c r="F131" s="181"/>
      <c r="G131" s="234">
        <v>1.56</v>
      </c>
      <c r="H131" s="233"/>
      <c r="I131" s="233" t="s">
        <v>325</v>
      </c>
      <c r="J131" s="233"/>
      <c r="K131" s="181">
        <f t="shared" si="39"/>
        <v>313.15277777777777</v>
      </c>
      <c r="L131" s="235">
        <v>313</v>
      </c>
      <c r="M131" s="235">
        <v>9</v>
      </c>
      <c r="N131" s="235">
        <v>10</v>
      </c>
      <c r="O131" s="181">
        <f t="shared" si="37"/>
        <v>313.15277777777777</v>
      </c>
      <c r="P131" s="235">
        <v>91</v>
      </c>
      <c r="Q131" s="235">
        <v>2</v>
      </c>
      <c r="R131" s="235">
        <v>49</v>
      </c>
      <c r="S131" s="181">
        <f t="shared" si="38"/>
        <v>91.046944444444449</v>
      </c>
      <c r="T131" s="186">
        <v>34.036000000000001</v>
      </c>
      <c r="U131" s="236">
        <v>24.274000000000001</v>
      </c>
      <c r="V131" s="236">
        <v>-0.46200000000000002</v>
      </c>
      <c r="W131" s="236">
        <v>24.271000000000001</v>
      </c>
      <c r="X131" s="229">
        <f t="shared" si="40"/>
        <v>535310.84404404822</v>
      </c>
      <c r="Y131" s="229">
        <f t="shared" si="41"/>
        <v>9407738.7890169155</v>
      </c>
      <c r="Z131" s="242">
        <f t="shared" si="42"/>
        <v>131.89400000000001</v>
      </c>
      <c r="AC131" t="str">
        <f t="shared" si="7"/>
        <v>PO 535310,844044048,9407738,78901692</v>
      </c>
      <c r="AI131" s="201"/>
      <c r="AJ131" s="201"/>
      <c r="AK131" s="201"/>
      <c r="AL131" s="201"/>
      <c r="AM131" s="201"/>
      <c r="AN131" s="201"/>
      <c r="AO131" s="201"/>
      <c r="AP131" s="201"/>
      <c r="AQ131" s="201"/>
      <c r="AR131" s="201"/>
      <c r="AS131" s="201"/>
      <c r="AT131" s="201"/>
      <c r="AU131" s="201"/>
      <c r="AV131" s="201"/>
      <c r="AW131" s="201"/>
      <c r="AX131" s="201"/>
      <c r="AY131" s="201"/>
      <c r="AZ131" s="201"/>
      <c r="BA131" s="201"/>
      <c r="BB131" s="201"/>
      <c r="BC131" s="201"/>
      <c r="BD131" s="201"/>
      <c r="BE131" s="201"/>
    </row>
    <row r="132" spans="4:57" ht="14.25" customHeight="1" x14ac:dyDescent="0.3">
      <c r="D132" s="232"/>
      <c r="E132" s="181"/>
      <c r="F132" s="181"/>
      <c r="G132" s="234">
        <v>1.56</v>
      </c>
      <c r="H132" s="233"/>
      <c r="I132" s="233" t="s">
        <v>327</v>
      </c>
      <c r="J132" s="233"/>
      <c r="K132" s="181">
        <f t="shared" si="39"/>
        <v>313.05111111111114</v>
      </c>
      <c r="L132" s="235">
        <v>313</v>
      </c>
      <c r="M132" s="235">
        <v>3</v>
      </c>
      <c r="N132" s="235">
        <v>4</v>
      </c>
      <c r="O132" s="181">
        <f t="shared" si="37"/>
        <v>313.05111111111114</v>
      </c>
      <c r="P132" s="235">
        <v>91</v>
      </c>
      <c r="Q132" s="235">
        <v>2</v>
      </c>
      <c r="R132" s="235">
        <v>49</v>
      </c>
      <c r="S132" s="181">
        <f t="shared" si="38"/>
        <v>91.046944444444449</v>
      </c>
      <c r="T132" s="186">
        <v>34.036000000000001</v>
      </c>
      <c r="U132" s="236">
        <v>25.355</v>
      </c>
      <c r="V132" s="236">
        <v>-0.46300000000000002</v>
      </c>
      <c r="W132" s="236">
        <v>25.350999999999999</v>
      </c>
      <c r="X132" s="229">
        <f t="shared" si="40"/>
        <v>535310.84533494851</v>
      </c>
      <c r="Y132" s="229">
        <f t="shared" si="41"/>
        <v>9407738.7889328208</v>
      </c>
      <c r="Z132" s="242">
        <f t="shared" si="42"/>
        <v>132.97399999999999</v>
      </c>
      <c r="AC132" t="str">
        <f t="shared" si="7"/>
        <v>PO 535310,845334949,9407738,78893282</v>
      </c>
      <c r="AI132" s="201"/>
      <c r="AJ132" s="201"/>
      <c r="AK132" s="201"/>
      <c r="AL132" s="201"/>
      <c r="AM132" s="201"/>
      <c r="AN132" s="201"/>
      <c r="AO132" s="201"/>
      <c r="AP132" s="201"/>
      <c r="AQ132" s="201"/>
      <c r="AR132" s="201"/>
      <c r="AS132" s="201"/>
      <c r="AT132" s="201"/>
      <c r="AU132" s="201"/>
      <c r="AV132" s="201"/>
      <c r="AW132" s="201"/>
      <c r="AX132" s="201"/>
      <c r="AY132" s="201"/>
      <c r="AZ132" s="201"/>
      <c r="BA132" s="201"/>
      <c r="BB132" s="201"/>
      <c r="BC132" s="201"/>
      <c r="BD132" s="201"/>
      <c r="BE132" s="201"/>
    </row>
    <row r="133" spans="4:57" ht="14.25" customHeight="1" x14ac:dyDescent="0.3">
      <c r="D133" s="232"/>
      <c r="E133" s="181"/>
      <c r="F133" s="181"/>
      <c r="G133" s="234">
        <v>1.56</v>
      </c>
      <c r="H133" s="233"/>
      <c r="I133" s="233" t="s">
        <v>329</v>
      </c>
      <c r="J133" s="233"/>
      <c r="K133" s="181">
        <f t="shared" si="39"/>
        <v>308.7283333333333</v>
      </c>
      <c r="L133" s="235">
        <v>308</v>
      </c>
      <c r="M133" s="235">
        <v>43</v>
      </c>
      <c r="N133" s="235">
        <v>42</v>
      </c>
      <c r="O133" s="181">
        <f t="shared" si="37"/>
        <v>308.7283333333333</v>
      </c>
      <c r="P133" s="235">
        <v>91</v>
      </c>
      <c r="Q133" s="235">
        <v>1</v>
      </c>
      <c r="R133" s="235">
        <v>45</v>
      </c>
      <c r="S133" s="181">
        <f t="shared" si="38"/>
        <v>91.029166666666669</v>
      </c>
      <c r="T133" s="186">
        <v>34.036000000000001</v>
      </c>
      <c r="U133" s="236">
        <v>31.847999999999999</v>
      </c>
      <c r="V133" s="236">
        <v>-0.68200000000000005</v>
      </c>
      <c r="W133" s="236">
        <v>31.843</v>
      </c>
      <c r="X133" s="229">
        <f t="shared" si="40"/>
        <v>535311.03904260602</v>
      </c>
      <c r="Y133" s="229">
        <f t="shared" si="41"/>
        <v>9407738.678321356</v>
      </c>
      <c r="Z133" s="242">
        <f t="shared" si="42"/>
        <v>139.46600000000001</v>
      </c>
      <c r="AC133" t="str">
        <f t="shared" si="7"/>
        <v>PO 535311,039042606,9407738,67832136</v>
      </c>
    </row>
    <row r="134" spans="4:57" ht="14.25" customHeight="1" x14ac:dyDescent="0.3">
      <c r="D134" s="232"/>
      <c r="E134" s="181"/>
      <c r="F134" s="181"/>
      <c r="G134" s="234">
        <v>1.56</v>
      </c>
      <c r="H134" s="233"/>
      <c r="I134" s="233" t="s">
        <v>332</v>
      </c>
      <c r="J134" s="233"/>
      <c r="K134" s="181">
        <f t="shared" si="39"/>
        <v>308.61</v>
      </c>
      <c r="L134" s="235">
        <v>308</v>
      </c>
      <c r="M134" s="235">
        <v>36</v>
      </c>
      <c r="N134" s="235">
        <v>36</v>
      </c>
      <c r="O134" s="181">
        <f t="shared" si="37"/>
        <v>308.61</v>
      </c>
      <c r="P134" s="235">
        <v>91</v>
      </c>
      <c r="Q134" s="235">
        <v>2</v>
      </c>
      <c r="R134" s="235">
        <v>54</v>
      </c>
      <c r="S134" s="181">
        <f t="shared" si="38"/>
        <v>91.048333333333332</v>
      </c>
      <c r="T134" s="186">
        <v>34.036000000000001</v>
      </c>
      <c r="U134" s="236">
        <v>31.93</v>
      </c>
      <c r="V134" s="236">
        <v>-0.58399999999999996</v>
      </c>
      <c r="W134" s="236">
        <v>31.925000000000001</v>
      </c>
      <c r="X134" s="229">
        <f t="shared" si="40"/>
        <v>535310.96334435861</v>
      </c>
      <c r="Y134" s="229">
        <f t="shared" si="41"/>
        <v>9407738.7405746635</v>
      </c>
      <c r="Z134" s="242">
        <f t="shared" si="42"/>
        <v>139.548</v>
      </c>
      <c r="AC134" t="str">
        <f t="shared" si="7"/>
        <v>PO 535310,963344359,9407738,74057466</v>
      </c>
    </row>
    <row r="135" spans="4:57" ht="14.25" customHeight="1" x14ac:dyDescent="0.3">
      <c r="D135" s="232"/>
      <c r="E135" s="181"/>
      <c r="F135" s="181"/>
      <c r="G135" s="234">
        <v>1.56</v>
      </c>
      <c r="H135" s="233"/>
      <c r="I135" s="233" t="s">
        <v>334</v>
      </c>
      <c r="J135" s="233"/>
      <c r="K135" s="181">
        <f t="shared" si="39"/>
        <v>307.25416666666666</v>
      </c>
      <c r="L135" s="235">
        <v>307</v>
      </c>
      <c r="M135" s="235">
        <v>15</v>
      </c>
      <c r="N135" s="235">
        <v>15</v>
      </c>
      <c r="O135" s="181">
        <f t="shared" si="37"/>
        <v>307.25416666666666</v>
      </c>
      <c r="P135" s="235">
        <v>91</v>
      </c>
      <c r="Q135" s="235">
        <v>2</v>
      </c>
      <c r="R135" s="235">
        <v>53</v>
      </c>
      <c r="S135" s="181">
        <f t="shared" si="38"/>
        <v>91.04805555555555</v>
      </c>
      <c r="T135" s="186">
        <v>34.036000000000001</v>
      </c>
      <c r="U135" s="236">
        <v>33.981999999999999</v>
      </c>
      <c r="V135" s="236">
        <v>-0.622</v>
      </c>
      <c r="W135" s="236">
        <v>33.975999999999999</v>
      </c>
      <c r="X135" s="229">
        <f t="shared" si="40"/>
        <v>535311.00208586489</v>
      </c>
      <c r="Y135" s="229">
        <f t="shared" si="41"/>
        <v>9407738.7284711357</v>
      </c>
      <c r="Z135" s="242">
        <f t="shared" si="42"/>
        <v>141.59899999999999</v>
      </c>
      <c r="AC135" t="str">
        <f t="shared" si="7"/>
        <v>PO 535311,002085865,9407738,72847114</v>
      </c>
    </row>
    <row r="136" spans="4:57" ht="14.25" customHeight="1" x14ac:dyDescent="0.3">
      <c r="D136" s="232"/>
      <c r="E136" s="181"/>
      <c r="F136" s="181"/>
      <c r="G136" s="234">
        <v>1.56</v>
      </c>
      <c r="H136" s="233"/>
      <c r="I136" s="233" t="s">
        <v>336</v>
      </c>
      <c r="J136" s="233"/>
      <c r="K136" s="181">
        <f t="shared" si="39"/>
        <v>166.70277777777775</v>
      </c>
      <c r="L136" s="235">
        <v>166</v>
      </c>
      <c r="M136" s="235">
        <v>42</v>
      </c>
      <c r="N136" s="235">
        <v>10</v>
      </c>
      <c r="O136" s="181">
        <f t="shared" si="37"/>
        <v>166.70277777777775</v>
      </c>
      <c r="P136" s="235">
        <v>91</v>
      </c>
      <c r="Q136" s="235">
        <v>2</v>
      </c>
      <c r="R136" s="235">
        <v>30</v>
      </c>
      <c r="S136" s="181">
        <f t="shared" si="38"/>
        <v>91.041666666666671</v>
      </c>
      <c r="T136" s="186">
        <v>34.036000000000001</v>
      </c>
      <c r="U136" s="236">
        <v>13.433</v>
      </c>
      <c r="V136" s="236">
        <v>-0.36299999999999999</v>
      </c>
      <c r="W136" s="236">
        <v>13.430999999999999</v>
      </c>
      <c r="X136" s="229">
        <f t="shared" si="40"/>
        <v>535310.42350907216</v>
      </c>
      <c r="Y136" s="229">
        <f t="shared" si="41"/>
        <v>9407739.4582679793</v>
      </c>
      <c r="Z136" s="242">
        <f t="shared" si="42"/>
        <v>121.054</v>
      </c>
      <c r="AC136" t="str">
        <f t="shared" si="7"/>
        <v>PO 535310,423509072,9407739,45826798</v>
      </c>
    </row>
    <row r="137" spans="4:57" ht="14.25" customHeight="1" x14ac:dyDescent="0.3">
      <c r="D137" s="232"/>
      <c r="E137" s="181"/>
      <c r="F137" s="181"/>
      <c r="G137" s="234">
        <v>1.56</v>
      </c>
      <c r="H137" s="233"/>
      <c r="I137" s="233" t="s">
        <v>337</v>
      </c>
      <c r="J137" s="233"/>
      <c r="K137" s="181">
        <f t="shared" si="39"/>
        <v>166.20388888888888</v>
      </c>
      <c r="L137" s="235">
        <v>166</v>
      </c>
      <c r="M137" s="235">
        <v>12</v>
      </c>
      <c r="N137" s="235">
        <v>14</v>
      </c>
      <c r="O137" s="181">
        <f t="shared" si="37"/>
        <v>166.20388888888888</v>
      </c>
      <c r="P137" s="235">
        <v>91</v>
      </c>
      <c r="Q137" s="235">
        <v>2</v>
      </c>
      <c r="R137" s="235">
        <v>25</v>
      </c>
      <c r="S137" s="181">
        <f t="shared" si="38"/>
        <v>91.040277777777774</v>
      </c>
      <c r="T137" s="186">
        <v>34.036000000000001</v>
      </c>
      <c r="U137" s="236">
        <v>13.128</v>
      </c>
      <c r="V137" s="236">
        <v>-0.32800000000000001</v>
      </c>
      <c r="W137" s="236">
        <v>13.125999999999999</v>
      </c>
      <c r="X137" s="229">
        <f t="shared" si="40"/>
        <v>535310.42878264608</v>
      </c>
      <c r="Y137" s="229">
        <f t="shared" si="41"/>
        <v>9407739.4235373531</v>
      </c>
      <c r="Z137" s="242">
        <f t="shared" si="42"/>
        <v>120.74900000000001</v>
      </c>
      <c r="AC137" t="str">
        <f t="shared" si="7"/>
        <v>PO 535310,428782646,9407739,42353735</v>
      </c>
    </row>
    <row r="138" spans="4:57" ht="14.25" customHeight="1" x14ac:dyDescent="0.3">
      <c r="D138" s="232"/>
      <c r="E138" s="181"/>
      <c r="F138" s="181"/>
      <c r="G138" s="234">
        <v>1.56</v>
      </c>
      <c r="H138" s="233"/>
      <c r="I138" s="233" t="s">
        <v>338</v>
      </c>
      <c r="J138" s="233"/>
      <c r="K138" s="181">
        <f t="shared" si="39"/>
        <v>177.01777777777778</v>
      </c>
      <c r="L138" s="235">
        <v>177</v>
      </c>
      <c r="M138" s="235">
        <v>1</v>
      </c>
      <c r="N138" s="235">
        <v>4</v>
      </c>
      <c r="O138" s="181">
        <f t="shared" si="37"/>
        <v>177.01777777777778</v>
      </c>
      <c r="P138" s="235">
        <v>91</v>
      </c>
      <c r="Q138" s="235">
        <v>2</v>
      </c>
      <c r="R138" s="235">
        <v>17</v>
      </c>
      <c r="S138" s="181">
        <f t="shared" si="38"/>
        <v>91.038055555555559</v>
      </c>
      <c r="T138" s="186">
        <v>34.036000000000001</v>
      </c>
      <c r="U138" s="236">
        <v>12.134</v>
      </c>
      <c r="V138" s="236">
        <v>-0.221</v>
      </c>
      <c r="W138" s="236">
        <v>12.132</v>
      </c>
      <c r="X138" s="229">
        <f t="shared" si="40"/>
        <v>535310.49550223222</v>
      </c>
      <c r="Y138" s="229">
        <f t="shared" si="41"/>
        <v>9407739.3257007059</v>
      </c>
      <c r="Z138" s="242">
        <f t="shared" si="42"/>
        <v>119.75500000000001</v>
      </c>
      <c r="AC138" t="str">
        <f t="shared" si="7"/>
        <v>PO 535310,495502232,9407739,32570071</v>
      </c>
    </row>
    <row r="139" spans="4:57" ht="14.25" customHeight="1" x14ac:dyDescent="0.3">
      <c r="D139" s="232"/>
      <c r="E139" s="233"/>
      <c r="F139" s="233"/>
      <c r="G139" s="234">
        <v>1.56</v>
      </c>
      <c r="H139" s="233"/>
      <c r="I139" s="233" t="s">
        <v>339</v>
      </c>
      <c r="J139" s="233"/>
      <c r="K139" s="181">
        <f t="shared" si="39"/>
        <v>176.39111111111112</v>
      </c>
      <c r="L139" s="235">
        <v>176</v>
      </c>
      <c r="M139" s="235">
        <v>23</v>
      </c>
      <c r="N139" s="235">
        <v>28</v>
      </c>
      <c r="O139" s="181">
        <f t="shared" si="37"/>
        <v>176.39111111111112</v>
      </c>
      <c r="P139" s="235">
        <v>91</v>
      </c>
      <c r="Q139" s="235">
        <v>2</v>
      </c>
      <c r="R139" s="235">
        <v>20</v>
      </c>
      <c r="S139" s="181">
        <f t="shared" si="38"/>
        <v>91.038888888888891</v>
      </c>
      <c r="T139" s="186">
        <v>34.036000000000001</v>
      </c>
      <c r="U139" s="236">
        <v>11.396000000000001</v>
      </c>
      <c r="V139" s="236">
        <v>-0.20699999999999999</v>
      </c>
      <c r="W139" s="236">
        <v>11.394</v>
      </c>
      <c r="X139" s="229">
        <f t="shared" si="40"/>
        <v>535310.49397031195</v>
      </c>
      <c r="Y139" s="229">
        <f t="shared" si="41"/>
        <v>9407739.3115895148</v>
      </c>
      <c r="Z139" s="242">
        <f t="shared" si="42"/>
        <v>119.01700000000001</v>
      </c>
      <c r="AC139" t="str">
        <f t="shared" si="7"/>
        <v>PO 535310,493970312,9407739,31158951</v>
      </c>
    </row>
    <row r="140" spans="4:57" ht="14.25" customHeight="1" x14ac:dyDescent="0.3">
      <c r="D140" s="232"/>
      <c r="E140" s="233"/>
      <c r="F140" s="233"/>
      <c r="G140" s="234">
        <v>1.56</v>
      </c>
      <c r="H140" s="233"/>
      <c r="I140" s="233" t="s">
        <v>340</v>
      </c>
      <c r="J140" s="233"/>
      <c r="K140" s="181">
        <f t="shared" si="39"/>
        <v>217.30500000000001</v>
      </c>
      <c r="L140" s="235">
        <v>217</v>
      </c>
      <c r="M140" s="235">
        <v>18</v>
      </c>
      <c r="N140" s="235">
        <v>18</v>
      </c>
      <c r="O140" s="181">
        <f t="shared" si="37"/>
        <v>217.30500000000001</v>
      </c>
      <c r="P140" s="235">
        <v>91</v>
      </c>
      <c r="Q140" s="235">
        <v>2</v>
      </c>
      <c r="R140" s="235">
        <v>47</v>
      </c>
      <c r="S140" s="181">
        <f t="shared" si="38"/>
        <v>91.046388888888885</v>
      </c>
      <c r="T140" s="186">
        <v>34.036000000000001</v>
      </c>
      <c r="U140" s="236">
        <v>23.664999999999999</v>
      </c>
      <c r="V140" s="236">
        <v>-0.23100000000000001</v>
      </c>
      <c r="W140" s="236">
        <v>23.663</v>
      </c>
      <c r="X140" s="229">
        <f t="shared" si="40"/>
        <v>535310.64699935552</v>
      </c>
      <c r="Y140" s="229">
        <f t="shared" si="41"/>
        <v>9407739.2887421586</v>
      </c>
      <c r="Z140" s="242">
        <f t="shared" si="42"/>
        <v>131.286</v>
      </c>
      <c r="AC140" t="str">
        <f t="shared" si="7"/>
        <v>PO 535310,646999356,9407739,28874216</v>
      </c>
    </row>
    <row r="141" spans="4:57" ht="14.25" customHeight="1" x14ac:dyDescent="0.3">
      <c r="D141" s="232"/>
      <c r="E141" s="233"/>
      <c r="F141" s="233"/>
      <c r="G141" s="234">
        <v>1.56</v>
      </c>
      <c r="H141" s="233"/>
      <c r="I141" s="233" t="s">
        <v>341</v>
      </c>
      <c r="J141" s="233"/>
      <c r="K141" s="181">
        <f t="shared" si="39"/>
        <v>214.39027777777778</v>
      </c>
      <c r="L141" s="185">
        <v>214</v>
      </c>
      <c r="M141" s="185">
        <v>23</v>
      </c>
      <c r="N141" s="185">
        <v>25</v>
      </c>
      <c r="O141" s="181">
        <f t="shared" si="37"/>
        <v>214.39027777777778</v>
      </c>
      <c r="P141" s="185">
        <v>91</v>
      </c>
      <c r="Q141" s="185">
        <v>2</v>
      </c>
      <c r="R141" s="185">
        <v>48</v>
      </c>
      <c r="S141" s="181">
        <f t="shared" si="38"/>
        <v>91.046666666666667</v>
      </c>
      <c r="T141" s="186">
        <v>34.036000000000001</v>
      </c>
      <c r="U141" s="243">
        <v>12.404999999999999</v>
      </c>
      <c r="V141" s="243">
        <v>-0.22700000000000001</v>
      </c>
      <c r="W141" s="244">
        <v>12.403</v>
      </c>
      <c r="X141" s="229">
        <f t="shared" si="40"/>
        <v>535310.63521572587</v>
      </c>
      <c r="Y141" s="229">
        <f t="shared" si="41"/>
        <v>9407739.2923225239</v>
      </c>
      <c r="Z141" s="242">
        <f t="shared" si="42"/>
        <v>120.02600000000001</v>
      </c>
      <c r="AC141" t="str">
        <f t="shared" si="7"/>
        <v>PO 535310,635215726,9407739,29232252</v>
      </c>
    </row>
    <row r="142" spans="4:57" ht="14.25" customHeight="1" x14ac:dyDescent="0.3">
      <c r="D142" s="232"/>
      <c r="E142" s="233"/>
      <c r="F142" s="233"/>
      <c r="G142" s="234">
        <v>1.56</v>
      </c>
      <c r="H142" s="233"/>
      <c r="I142" s="233" t="s">
        <v>342</v>
      </c>
      <c r="J142" s="233"/>
      <c r="K142" s="181">
        <f t="shared" si="39"/>
        <v>232.7802777777778</v>
      </c>
      <c r="L142" s="185">
        <v>232</v>
      </c>
      <c r="M142" s="185">
        <v>46</v>
      </c>
      <c r="N142" s="185">
        <v>49</v>
      </c>
      <c r="O142" s="181">
        <f t="shared" si="37"/>
        <v>232.7802777777778</v>
      </c>
      <c r="P142" s="185">
        <v>91</v>
      </c>
      <c r="Q142" s="185">
        <v>2</v>
      </c>
      <c r="R142" s="185">
        <v>54</v>
      </c>
      <c r="S142" s="181">
        <f t="shared" si="38"/>
        <v>91.048333333333332</v>
      </c>
      <c r="T142" s="186">
        <v>34.036000000000001</v>
      </c>
      <c r="U142" s="243">
        <v>12.846</v>
      </c>
      <c r="V142" s="243">
        <v>0.23499999999999999</v>
      </c>
      <c r="W142" s="244">
        <v>12.843999999999999</v>
      </c>
      <c r="X142" s="229">
        <f t="shared" si="40"/>
        <v>535310.31986438704</v>
      </c>
      <c r="Y142" s="229">
        <f t="shared" si="41"/>
        <v>9407738.962854784</v>
      </c>
      <c r="Z142" s="242">
        <f t="shared" si="42"/>
        <v>120.467</v>
      </c>
      <c r="AC142" t="str">
        <f t="shared" si="7"/>
        <v>PO 535310,319864387,9407738,96285478</v>
      </c>
    </row>
    <row r="143" spans="4:57" ht="14.25" customHeight="1" x14ac:dyDescent="0.3">
      <c r="D143" s="232"/>
      <c r="E143" s="233"/>
      <c r="F143" s="233"/>
      <c r="G143" s="234">
        <v>1.56</v>
      </c>
      <c r="H143" s="233"/>
      <c r="I143" s="233" t="s">
        <v>343</v>
      </c>
      <c r="J143" s="233"/>
      <c r="K143" s="181">
        <f t="shared" si="39"/>
        <v>235.13555555555556</v>
      </c>
      <c r="L143" s="185">
        <v>235</v>
      </c>
      <c r="M143" s="185">
        <v>8</v>
      </c>
      <c r="N143" s="185">
        <v>8</v>
      </c>
      <c r="O143" s="181">
        <f t="shared" si="37"/>
        <v>235.13555555555556</v>
      </c>
      <c r="P143" s="185">
        <v>91</v>
      </c>
      <c r="Q143" s="185">
        <v>2</v>
      </c>
      <c r="R143" s="185">
        <v>54</v>
      </c>
      <c r="S143" s="181">
        <f t="shared" si="38"/>
        <v>91.048333333333332</v>
      </c>
      <c r="T143" s="186">
        <v>34.036000000000001</v>
      </c>
      <c r="U143" s="243">
        <v>9.8780000000000001</v>
      </c>
      <c r="V143" s="243">
        <v>-0.18099999999999999</v>
      </c>
      <c r="W143" s="244">
        <v>9.8759999999999994</v>
      </c>
      <c r="X143" s="229">
        <f t="shared" si="40"/>
        <v>535310.65551172534</v>
      </c>
      <c r="Y143" s="229">
        <f t="shared" si="41"/>
        <v>9407739.2084662635</v>
      </c>
      <c r="Z143" s="181">
        <f t="shared" si="42"/>
        <v>117.49900000000001</v>
      </c>
      <c r="AC143" t="str">
        <f t="shared" si="7"/>
        <v>PO 535310,655511725,9407739,20846626</v>
      </c>
    </row>
    <row r="144" spans="4:57" ht="14.25" customHeight="1" x14ac:dyDescent="0.3">
      <c r="D144" s="232"/>
      <c r="E144" s="233"/>
      <c r="F144" s="233"/>
      <c r="G144" s="234">
        <v>1.56</v>
      </c>
      <c r="H144" s="233"/>
      <c r="I144" s="233" t="s">
        <v>344</v>
      </c>
      <c r="J144" s="233"/>
      <c r="K144" s="181">
        <f t="shared" si="39"/>
        <v>235.54166666666666</v>
      </c>
      <c r="L144" s="185">
        <v>235</v>
      </c>
      <c r="M144" s="185">
        <v>32</v>
      </c>
      <c r="N144" s="185">
        <v>30</v>
      </c>
      <c r="O144" s="181">
        <f t="shared" si="37"/>
        <v>235.54166666666666</v>
      </c>
      <c r="P144" s="185">
        <v>91</v>
      </c>
      <c r="Q144" s="185">
        <v>2</v>
      </c>
      <c r="R144" s="185">
        <v>50</v>
      </c>
      <c r="S144" s="181">
        <f t="shared" si="38"/>
        <v>91.047222222222217</v>
      </c>
      <c r="T144" s="186">
        <v>34.036000000000001</v>
      </c>
      <c r="U144" s="243">
        <v>9.5619999999999994</v>
      </c>
      <c r="V144" s="243">
        <v>-0.17499999999999999</v>
      </c>
      <c r="W144" s="244">
        <v>9.5429999999999993</v>
      </c>
      <c r="X144" s="229">
        <f t="shared" si="40"/>
        <v>535310.65129412769</v>
      </c>
      <c r="Y144" s="229">
        <f t="shared" si="41"/>
        <v>9407739.2040161844</v>
      </c>
      <c r="Z144" s="181">
        <f t="shared" si="42"/>
        <v>117.166</v>
      </c>
      <c r="AC144" t="str">
        <f t="shared" si="7"/>
        <v>PO 535310,651294128,9407739,20401618</v>
      </c>
    </row>
    <row r="145" spans="4:29" ht="14.25" customHeight="1" x14ac:dyDescent="0.3">
      <c r="D145" s="232"/>
      <c r="E145" s="233"/>
      <c r="F145" s="233"/>
      <c r="G145" s="234">
        <v>1.56</v>
      </c>
      <c r="H145" s="233"/>
      <c r="I145" s="233" t="s">
        <v>345</v>
      </c>
      <c r="J145" s="233"/>
      <c r="K145" s="181">
        <f t="shared" si="39"/>
        <v>217.54166666666666</v>
      </c>
      <c r="L145" s="185">
        <v>217</v>
      </c>
      <c r="M145" s="185">
        <v>32</v>
      </c>
      <c r="N145" s="185">
        <v>30</v>
      </c>
      <c r="O145" s="181">
        <f t="shared" si="37"/>
        <v>217.54166666666666</v>
      </c>
      <c r="P145" s="185">
        <v>91</v>
      </c>
      <c r="Q145" s="185">
        <v>2</v>
      </c>
      <c r="R145" s="185">
        <v>50</v>
      </c>
      <c r="S145" s="181">
        <f t="shared" si="38"/>
        <v>91.047222222222217</v>
      </c>
      <c r="T145" s="186">
        <v>34.036000000000001</v>
      </c>
      <c r="U145" s="243">
        <v>8.5939999999999994</v>
      </c>
      <c r="V145" s="243">
        <v>-0.157</v>
      </c>
      <c r="W145" s="244">
        <v>8.5429999999999993</v>
      </c>
      <c r="X145" s="229">
        <f t="shared" si="40"/>
        <v>535310.60266609909</v>
      </c>
      <c r="Y145" s="229">
        <f t="shared" si="41"/>
        <v>9407739.2294869367</v>
      </c>
      <c r="Z145" s="181">
        <f t="shared" si="42"/>
        <v>116.166</v>
      </c>
      <c r="AC145" t="str">
        <f t="shared" si="7"/>
        <v>PO 535310,602666099,9407739,22948694</v>
      </c>
    </row>
    <row r="146" spans="4:29" ht="14.25" customHeight="1" x14ac:dyDescent="0.3">
      <c r="E146" s="233"/>
      <c r="F146" s="233"/>
      <c r="G146" s="234">
        <v>1.56</v>
      </c>
      <c r="H146" s="233"/>
      <c r="I146" s="233" t="s">
        <v>347</v>
      </c>
      <c r="J146" s="233"/>
      <c r="K146" s="181">
        <f t="shared" si="39"/>
        <v>218.52333333333334</v>
      </c>
      <c r="L146" s="185">
        <v>218</v>
      </c>
      <c r="M146" s="185">
        <v>31</v>
      </c>
      <c r="N146" s="185">
        <v>24</v>
      </c>
      <c r="O146" s="181">
        <f t="shared" si="37"/>
        <v>218.52333333333334</v>
      </c>
      <c r="P146" s="185">
        <v>91</v>
      </c>
      <c r="Q146" s="185">
        <v>2</v>
      </c>
      <c r="R146" s="185">
        <v>51</v>
      </c>
      <c r="S146" s="181">
        <f t="shared" si="38"/>
        <v>91.047499999999999</v>
      </c>
      <c r="T146" s="186">
        <v>34.036000000000001</v>
      </c>
      <c r="U146" s="243">
        <v>8.1839999999999993</v>
      </c>
      <c r="V146" s="243">
        <v>-0.15</v>
      </c>
      <c r="W146" s="244">
        <v>8.1880000000000006</v>
      </c>
      <c r="X146" s="229">
        <f t="shared" si="40"/>
        <v>535310.6004249946</v>
      </c>
      <c r="Y146" s="229">
        <f t="shared" si="41"/>
        <v>9407739.2223531865</v>
      </c>
      <c r="Z146" s="181">
        <f t="shared" si="42"/>
        <v>115.81100000000001</v>
      </c>
      <c r="AC146" t="str">
        <f t="shared" si="7"/>
        <v>PO 535310,600424995,9407739,22235319</v>
      </c>
    </row>
    <row r="147" spans="4:29" ht="14.25" customHeight="1" x14ac:dyDescent="0.3">
      <c r="E147" s="233"/>
      <c r="F147" s="233"/>
      <c r="G147" s="234">
        <v>1.56</v>
      </c>
      <c r="H147" s="233"/>
      <c r="I147" s="233" t="s">
        <v>350</v>
      </c>
      <c r="J147" s="233"/>
      <c r="K147" s="181">
        <f t="shared" si="39"/>
        <v>235.91499999999999</v>
      </c>
      <c r="L147" s="185">
        <v>235</v>
      </c>
      <c r="M147" s="185">
        <v>54</v>
      </c>
      <c r="N147" s="185">
        <v>54</v>
      </c>
      <c r="O147" s="181">
        <f t="shared" si="37"/>
        <v>235.91499999999999</v>
      </c>
      <c r="P147" s="185">
        <v>91</v>
      </c>
      <c r="Q147" s="185">
        <v>2</v>
      </c>
      <c r="R147" s="185">
        <v>54</v>
      </c>
      <c r="S147" s="181">
        <f t="shared" si="38"/>
        <v>91.048333333333332</v>
      </c>
      <c r="T147" s="186">
        <v>34.036000000000001</v>
      </c>
      <c r="U147" s="243">
        <v>6.2359999999999998</v>
      </c>
      <c r="V147" s="243">
        <v>-0.114</v>
      </c>
      <c r="W147" s="244">
        <v>6.2350000000000003</v>
      </c>
      <c r="X147" s="229">
        <f t="shared" si="40"/>
        <v>535310.60141560726</v>
      </c>
      <c r="Y147" s="229">
        <f t="shared" si="41"/>
        <v>9407739.1688881293</v>
      </c>
      <c r="Z147" s="181">
        <f t="shared" si="42"/>
        <v>113.858</v>
      </c>
      <c r="AC147" t="str">
        <f t="shared" si="7"/>
        <v>PO 535310,601415607,9407739,16888813</v>
      </c>
    </row>
    <row r="148" spans="4:29" ht="14.25" customHeight="1" x14ac:dyDescent="0.3">
      <c r="E148" s="233"/>
      <c r="F148" s="233"/>
      <c r="G148" s="234">
        <v>1.56</v>
      </c>
      <c r="H148" s="233"/>
      <c r="I148" s="233" t="s">
        <v>353</v>
      </c>
      <c r="J148" s="233"/>
      <c r="K148" s="181">
        <f t="shared" si="39"/>
        <v>257.35583333333335</v>
      </c>
      <c r="L148" s="185">
        <v>257</v>
      </c>
      <c r="M148" s="185">
        <v>21</v>
      </c>
      <c r="N148" s="185">
        <v>21</v>
      </c>
      <c r="O148" s="181">
        <f t="shared" si="37"/>
        <v>257.35583333333335</v>
      </c>
      <c r="P148" s="185">
        <v>91</v>
      </c>
      <c r="Q148" s="185">
        <v>2</v>
      </c>
      <c r="R148" s="185">
        <v>58</v>
      </c>
      <c r="S148" s="181">
        <f t="shared" si="38"/>
        <v>91.049444444444447</v>
      </c>
      <c r="T148" s="186">
        <v>34.036000000000001</v>
      </c>
      <c r="U148" s="243">
        <v>4.8460000000000001</v>
      </c>
      <c r="V148" s="243">
        <v>-8.8999999999999996E-2</v>
      </c>
      <c r="W148" s="244">
        <v>4.8449999999999998</v>
      </c>
      <c r="X148" s="229">
        <f t="shared" si="40"/>
        <v>535310.59384160012</v>
      </c>
      <c r="Y148" s="229">
        <f t="shared" si="41"/>
        <v>9407739.1244816966</v>
      </c>
      <c r="Z148" s="181">
        <f t="shared" si="42"/>
        <v>112.468</v>
      </c>
      <c r="AC148" t="str">
        <f t="shared" si="7"/>
        <v>PO 535310,5938416,9407739,1244817</v>
      </c>
    </row>
    <row r="149" spans="4:29" ht="14.25" customHeight="1" x14ac:dyDescent="0.3">
      <c r="E149" s="233"/>
      <c r="F149" s="233"/>
      <c r="G149" s="234">
        <v>1.56</v>
      </c>
      <c r="H149" s="233"/>
      <c r="I149" s="233" t="s">
        <v>356</v>
      </c>
      <c r="J149" s="233"/>
      <c r="K149" s="181">
        <f t="shared" si="39"/>
        <v>199.01750000000001</v>
      </c>
      <c r="L149" s="185">
        <v>199</v>
      </c>
      <c r="M149" s="185">
        <v>1</v>
      </c>
      <c r="N149" s="185">
        <v>3</v>
      </c>
      <c r="O149" s="181">
        <f t="shared" si="37"/>
        <v>199.01750000000001</v>
      </c>
      <c r="P149" s="185">
        <v>91</v>
      </c>
      <c r="Q149" s="185">
        <v>2</v>
      </c>
      <c r="R149" s="185">
        <v>46</v>
      </c>
      <c r="S149" s="181">
        <f t="shared" si="38"/>
        <v>91.046111111111102</v>
      </c>
      <c r="T149" s="186">
        <v>34.036000000000001</v>
      </c>
      <c r="U149" s="243">
        <v>7.5670000000000002</v>
      </c>
      <c r="V149" s="243">
        <v>-0.13800000000000001</v>
      </c>
      <c r="W149" s="244">
        <v>7.5659999999999998</v>
      </c>
      <c r="X149" s="229">
        <f t="shared" si="40"/>
        <v>535310.55196825648</v>
      </c>
      <c r="Y149" s="229">
        <f t="shared" si="41"/>
        <v>9407739.2354678344</v>
      </c>
      <c r="Z149" s="181">
        <f t="shared" si="42"/>
        <v>115.18900000000001</v>
      </c>
      <c r="AC149" t="str">
        <f t="shared" si="7"/>
        <v>PO 535310,551968256,9407739,23546783</v>
      </c>
    </row>
    <row r="150" spans="4:29" ht="14.25" customHeight="1" x14ac:dyDescent="0.35">
      <c r="D150" s="212"/>
      <c r="E150" s="233"/>
      <c r="F150" s="233"/>
      <c r="G150" s="234">
        <v>1.56</v>
      </c>
      <c r="H150" s="233"/>
      <c r="I150" s="233" t="s">
        <v>359</v>
      </c>
      <c r="J150" s="233"/>
      <c r="K150" s="181">
        <f t="shared" si="39"/>
        <v>166.89861111111111</v>
      </c>
      <c r="L150" s="185">
        <v>166</v>
      </c>
      <c r="M150" s="185">
        <v>53</v>
      </c>
      <c r="N150" s="185">
        <v>55</v>
      </c>
      <c r="O150" s="181">
        <f t="shared" si="37"/>
        <v>166.89861111111111</v>
      </c>
      <c r="P150" s="185">
        <v>91</v>
      </c>
      <c r="Q150" s="185">
        <v>2</v>
      </c>
      <c r="R150" s="185">
        <v>31</v>
      </c>
      <c r="S150" s="181">
        <f t="shared" si="38"/>
        <v>91.041944444444439</v>
      </c>
      <c r="T150" s="186">
        <v>34.036000000000001</v>
      </c>
      <c r="U150" s="243">
        <v>4.7</v>
      </c>
      <c r="V150" s="243">
        <v>-8.5000000000000006E-2</v>
      </c>
      <c r="W150" s="244">
        <v>4.6989999999999998</v>
      </c>
      <c r="X150" s="229">
        <f t="shared" si="40"/>
        <v>535310.48773263197</v>
      </c>
      <c r="Y150" s="229">
        <f t="shared" si="41"/>
        <v>9407739.18778749</v>
      </c>
      <c r="Z150" s="181">
        <f t="shared" si="42"/>
        <v>112.322</v>
      </c>
      <c r="AC150" t="str">
        <f t="shared" si="7"/>
        <v>PO 535310,487732632,9407739,18778749</v>
      </c>
    </row>
    <row r="151" spans="4:29" ht="14.25" customHeight="1" x14ac:dyDescent="0.35">
      <c r="D151" s="212"/>
      <c r="E151" s="233"/>
      <c r="F151" s="233"/>
      <c r="G151" s="234">
        <v>1.56</v>
      </c>
      <c r="H151" s="233"/>
      <c r="I151" s="233" t="s">
        <v>362</v>
      </c>
      <c r="J151" s="233"/>
      <c r="K151" s="181">
        <f t="shared" si="39"/>
        <v>165.71166666666664</v>
      </c>
      <c r="L151" s="185">
        <v>165</v>
      </c>
      <c r="M151" s="185">
        <v>42</v>
      </c>
      <c r="N151" s="185">
        <v>42</v>
      </c>
      <c r="O151" s="181">
        <f t="shared" si="37"/>
        <v>165.71166666666664</v>
      </c>
      <c r="P151" s="185">
        <v>91</v>
      </c>
      <c r="Q151" s="185">
        <v>2</v>
      </c>
      <c r="R151" s="185">
        <v>28</v>
      </c>
      <c r="S151" s="181">
        <f t="shared" si="38"/>
        <v>91.041111111111107</v>
      </c>
      <c r="T151" s="186">
        <v>34.036000000000001</v>
      </c>
      <c r="U151" s="243">
        <v>3.7709999999999999</v>
      </c>
      <c r="V151" s="243">
        <v>-5.8999999999999997E-2</v>
      </c>
      <c r="W151" s="244">
        <v>3.77</v>
      </c>
      <c r="X151" s="229">
        <f t="shared" si="40"/>
        <v>535310.49243869993</v>
      </c>
      <c r="Y151" s="229">
        <f t="shared" si="41"/>
        <v>9407739.1621748954</v>
      </c>
      <c r="Z151" s="181">
        <f t="shared" si="42"/>
        <v>111.393</v>
      </c>
      <c r="AC151" t="str">
        <f t="shared" si="7"/>
        <v>PO 535310,4924387,9407739,1621749</v>
      </c>
    </row>
    <row r="152" spans="4:29" ht="14.25" customHeight="1" x14ac:dyDescent="0.3">
      <c r="E152" s="233"/>
      <c r="F152" s="233"/>
      <c r="G152" s="234">
        <v>1.56</v>
      </c>
      <c r="H152" s="233"/>
      <c r="I152" s="233" t="s">
        <v>364</v>
      </c>
      <c r="J152" s="233"/>
      <c r="K152" s="181">
        <f t="shared" si="39"/>
        <v>116.06805555555555</v>
      </c>
      <c r="L152" s="185">
        <v>116</v>
      </c>
      <c r="M152" s="185">
        <v>4</v>
      </c>
      <c r="N152" s="185">
        <v>5</v>
      </c>
      <c r="O152" s="181">
        <f t="shared" si="37"/>
        <v>116.06805555555555</v>
      </c>
      <c r="P152" s="185">
        <v>91</v>
      </c>
      <c r="Q152" s="185">
        <v>2</v>
      </c>
      <c r="R152" s="185">
        <v>23</v>
      </c>
      <c r="S152" s="181">
        <f t="shared" si="38"/>
        <v>91.039722222222224</v>
      </c>
      <c r="T152" s="186">
        <v>34.036000000000001</v>
      </c>
      <c r="U152" s="243">
        <v>7.2629999999999999</v>
      </c>
      <c r="V152" s="243">
        <v>-0.13200000000000001</v>
      </c>
      <c r="W152" s="244">
        <v>7.2619999999999996</v>
      </c>
      <c r="X152" s="229">
        <f t="shared" si="40"/>
        <v>535310.3884280012</v>
      </c>
      <c r="Y152" s="229">
        <f t="shared" si="41"/>
        <v>9407739.1630058717</v>
      </c>
      <c r="Z152" s="181">
        <f t="shared" si="42"/>
        <v>114.88500000000001</v>
      </c>
      <c r="AC152" t="str">
        <f t="shared" si="7"/>
        <v>PO 535310,388428001,9407739,16300587</v>
      </c>
    </row>
    <row r="153" spans="4:29" ht="14.25" customHeight="1" x14ac:dyDescent="0.3">
      <c r="E153" s="233"/>
      <c r="F153" s="233"/>
      <c r="G153" s="234">
        <v>1.56</v>
      </c>
      <c r="H153" s="233"/>
      <c r="I153" s="233" t="s">
        <v>365</v>
      </c>
      <c r="J153" s="233"/>
      <c r="K153" s="181">
        <f t="shared" si="39"/>
        <v>114.28805555555556</v>
      </c>
      <c r="L153" s="185">
        <v>114</v>
      </c>
      <c r="M153" s="185">
        <v>17</v>
      </c>
      <c r="N153" s="185">
        <v>17</v>
      </c>
      <c r="O153" s="181">
        <f t="shared" si="37"/>
        <v>114.28805555555556</v>
      </c>
      <c r="P153" s="185">
        <v>91</v>
      </c>
      <c r="Q153" s="185">
        <v>2</v>
      </c>
      <c r="R153" s="185">
        <v>27</v>
      </c>
      <c r="S153" s="181">
        <f t="shared" si="38"/>
        <v>91.040833333333325</v>
      </c>
      <c r="T153" s="186">
        <v>34.036000000000001</v>
      </c>
      <c r="U153" s="243">
        <v>7.242</v>
      </c>
      <c r="V153" s="243">
        <v>-0.13100000000000001</v>
      </c>
      <c r="W153" s="244">
        <v>7.2409999999999997</v>
      </c>
      <c r="X153" s="229">
        <f t="shared" si="40"/>
        <v>535310.38759493502</v>
      </c>
      <c r="Y153" s="229">
        <f t="shared" si="41"/>
        <v>9407739.1588834897</v>
      </c>
      <c r="Z153" s="181">
        <f t="shared" si="42"/>
        <v>114.864</v>
      </c>
      <c r="AC153" t="str">
        <f t="shared" si="7"/>
        <v>PO 535310,387594935,9407739,15888349</v>
      </c>
    </row>
    <row r="154" spans="4:29" ht="14.25" customHeight="1" x14ac:dyDescent="0.3">
      <c r="E154" s="233"/>
      <c r="F154" s="233"/>
      <c r="G154" s="234">
        <v>1.56</v>
      </c>
      <c r="H154" s="233"/>
      <c r="I154" s="233" t="s">
        <v>367</v>
      </c>
      <c r="J154" s="233"/>
      <c r="K154" s="181">
        <f t="shared" si="39"/>
        <v>115.79138888888889</v>
      </c>
      <c r="L154" s="185">
        <v>115</v>
      </c>
      <c r="M154" s="185">
        <v>47</v>
      </c>
      <c r="N154" s="185">
        <v>29</v>
      </c>
      <c r="O154" s="181">
        <f t="shared" si="37"/>
        <v>115.79138888888889</v>
      </c>
      <c r="P154" s="185">
        <v>91</v>
      </c>
      <c r="Q154" s="185">
        <v>2</v>
      </c>
      <c r="R154" s="185">
        <v>29</v>
      </c>
      <c r="S154" s="181">
        <f t="shared" si="38"/>
        <v>91.041388888888889</v>
      </c>
      <c r="T154" s="186">
        <v>34.036000000000001</v>
      </c>
      <c r="U154" s="243">
        <v>8.99</v>
      </c>
      <c r="V154" s="243">
        <v>-0.16300000000000001</v>
      </c>
      <c r="W154" s="244">
        <v>8.9890000000000008</v>
      </c>
      <c r="X154" s="229">
        <f t="shared" si="40"/>
        <v>535310.36023737979</v>
      </c>
      <c r="Y154" s="229">
        <f t="shared" si="41"/>
        <v>9407739.1759206131</v>
      </c>
      <c r="Z154" s="181">
        <f t="shared" si="42"/>
        <v>116.61200000000001</v>
      </c>
      <c r="AC154" t="str">
        <f t="shared" si="7"/>
        <v>PO 535310,36023738,9407739,17592061</v>
      </c>
    </row>
    <row r="155" spans="4:29" ht="14.25" customHeight="1" x14ac:dyDescent="0.3">
      <c r="E155" s="233"/>
      <c r="F155" s="233"/>
      <c r="G155" s="234">
        <v>1.56</v>
      </c>
      <c r="H155" s="233"/>
      <c r="I155" s="233" t="s">
        <v>368</v>
      </c>
      <c r="J155" s="233"/>
      <c r="K155" s="181">
        <f t="shared" si="39"/>
        <v>114.66138888888889</v>
      </c>
      <c r="L155" s="185">
        <v>114</v>
      </c>
      <c r="M155" s="185">
        <v>39</v>
      </c>
      <c r="N155" s="185">
        <v>41</v>
      </c>
      <c r="O155" s="181">
        <f t="shared" si="37"/>
        <v>114.66138888888889</v>
      </c>
      <c r="P155" s="185">
        <v>91</v>
      </c>
      <c r="Q155" s="185">
        <v>2</v>
      </c>
      <c r="R155" s="185">
        <v>50</v>
      </c>
      <c r="S155" s="181">
        <f t="shared" si="38"/>
        <v>91.047222222222217</v>
      </c>
      <c r="T155" s="186">
        <v>34.036000000000001</v>
      </c>
      <c r="U155" s="243">
        <v>9.0090000000000003</v>
      </c>
      <c r="V155" s="243">
        <v>-0.16400000000000001</v>
      </c>
      <c r="W155" s="244">
        <v>9.0079999999999991</v>
      </c>
      <c r="X155" s="229">
        <f t="shared" si="40"/>
        <v>535310.35795851087</v>
      </c>
      <c r="Y155" s="229">
        <f t="shared" si="41"/>
        <v>9407739.1734297778</v>
      </c>
      <c r="Z155" s="181">
        <f t="shared" si="42"/>
        <v>116.631</v>
      </c>
      <c r="AC155" t="str">
        <f t="shared" si="7"/>
        <v>PO 535310,357958511,9407739,17342978</v>
      </c>
    </row>
    <row r="156" spans="4:29" ht="14.25" customHeight="1" x14ac:dyDescent="0.35">
      <c r="D156" s="212"/>
      <c r="E156" s="233"/>
      <c r="F156" s="233"/>
      <c r="G156" s="233"/>
      <c r="H156" s="233"/>
      <c r="I156" s="233"/>
      <c r="J156" s="233"/>
      <c r="K156" s="233"/>
      <c r="L156" s="235"/>
      <c r="M156" s="235"/>
      <c r="N156" s="235"/>
      <c r="O156" s="235"/>
      <c r="P156" s="235"/>
      <c r="Q156" s="235"/>
      <c r="R156" s="235"/>
      <c r="S156" s="235"/>
      <c r="T156" s="235"/>
      <c r="U156" s="235"/>
      <c r="V156" s="235"/>
      <c r="W156" s="235"/>
      <c r="X156" s="233"/>
      <c r="Y156" s="233"/>
      <c r="Z156" s="233"/>
    </row>
    <row r="157" spans="4:29" ht="14.25" customHeight="1" x14ac:dyDescent="0.3"/>
    <row r="158" spans="4:29" ht="14.25" customHeight="1" x14ac:dyDescent="0.3"/>
    <row r="159" spans="4:29" ht="14.25" customHeight="1" x14ac:dyDescent="0.3"/>
    <row r="160" spans="4:29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spans="4:4" ht="14.25" customHeight="1" x14ac:dyDescent="0.3"/>
    <row r="178" spans="4:4" ht="14.25" customHeight="1" x14ac:dyDescent="0.3">
      <c r="D178" t="s">
        <v>330</v>
      </c>
    </row>
    <row r="179" spans="4:4" ht="14.25" customHeight="1" x14ac:dyDescent="0.3"/>
    <row r="180" spans="4:4" ht="14.25" customHeight="1" x14ac:dyDescent="0.3"/>
    <row r="181" spans="4:4" ht="14.25" customHeight="1" x14ac:dyDescent="0.3"/>
    <row r="182" spans="4:4" ht="14.25" customHeight="1" x14ac:dyDescent="0.3"/>
    <row r="183" spans="4:4" ht="14.25" customHeight="1" x14ac:dyDescent="0.3"/>
    <row r="184" spans="4:4" ht="14.25" customHeight="1" x14ac:dyDescent="0.3"/>
    <row r="185" spans="4:4" ht="14.25" customHeight="1" x14ac:dyDescent="0.3"/>
    <row r="186" spans="4:4" ht="14.25" customHeight="1" x14ac:dyDescent="0.3"/>
    <row r="187" spans="4:4" ht="14.25" customHeight="1" x14ac:dyDescent="0.3"/>
    <row r="188" spans="4:4" ht="14.25" customHeight="1" x14ac:dyDescent="0.3"/>
    <row r="189" spans="4:4" ht="14.25" customHeight="1" x14ac:dyDescent="0.3"/>
    <row r="190" spans="4:4" ht="14.25" customHeight="1" x14ac:dyDescent="0.3"/>
    <row r="191" spans="4:4" ht="14.25" customHeight="1" x14ac:dyDescent="0.3"/>
    <row r="193" spans="4:4" ht="14.25" customHeight="1" x14ac:dyDescent="0.3"/>
    <row r="194" spans="4:4" ht="14.25" customHeight="1" x14ac:dyDescent="0.3"/>
    <row r="195" spans="4:4" ht="14.25" customHeight="1" x14ac:dyDescent="0.3"/>
    <row r="196" spans="4:4" ht="14.25" customHeight="1" x14ac:dyDescent="0.35">
      <c r="D196" s="214"/>
    </row>
    <row r="197" spans="4:4" ht="14.25" customHeight="1" x14ac:dyDescent="0.3"/>
    <row r="198" spans="4:4" ht="14.25" customHeight="1" x14ac:dyDescent="0.3"/>
    <row r="199" spans="4:4" ht="14.25" customHeight="1" x14ac:dyDescent="0.3"/>
    <row r="200" spans="4:4" ht="14.25" customHeight="1" x14ac:dyDescent="0.3"/>
    <row r="201" spans="4:4" ht="14.25" customHeight="1" x14ac:dyDescent="0.3"/>
    <row r="202" spans="4:4" ht="14.25" customHeight="1" x14ac:dyDescent="0.3"/>
    <row r="203" spans="4:4" ht="14.25" customHeight="1" x14ac:dyDescent="0.3"/>
    <row r="204" spans="4:4" ht="14.25" customHeight="1" x14ac:dyDescent="0.3"/>
    <row r="205" spans="4:4" ht="14.25" customHeight="1" x14ac:dyDescent="0.3"/>
    <row r="206" spans="4:4" ht="14.25" customHeight="1" x14ac:dyDescent="0.3"/>
    <row r="207" spans="4:4" ht="14.25" customHeight="1" x14ac:dyDescent="0.3"/>
    <row r="208" spans="4:4" ht="14.25" customHeight="1" x14ac:dyDescent="0.3"/>
    <row r="209" spans="4:4" ht="14.25" customHeight="1" x14ac:dyDescent="0.3"/>
    <row r="210" spans="4:4" ht="14.25" customHeight="1" x14ac:dyDescent="0.3"/>
    <row r="211" spans="4:4" ht="14.25" customHeight="1" x14ac:dyDescent="0.3"/>
    <row r="212" spans="4:4" ht="14.25" customHeight="1" x14ac:dyDescent="0.3"/>
    <row r="213" spans="4:4" ht="14.25" customHeight="1" x14ac:dyDescent="0.3"/>
    <row r="214" spans="4:4" ht="14.25" customHeight="1" x14ac:dyDescent="0.3"/>
    <row r="215" spans="4:4" ht="14.25" customHeight="1" x14ac:dyDescent="0.3"/>
    <row r="216" spans="4:4" ht="14.25" customHeight="1" x14ac:dyDescent="0.3"/>
    <row r="217" spans="4:4" ht="14.25" customHeight="1" x14ac:dyDescent="0.3"/>
    <row r="218" spans="4:4" ht="14.25" customHeight="1" x14ac:dyDescent="0.35">
      <c r="D218" s="212"/>
    </row>
    <row r="219" spans="4:4" ht="14.25" customHeight="1" x14ac:dyDescent="0.35">
      <c r="D219" s="212"/>
    </row>
    <row r="220" spans="4:4" ht="14.25" customHeight="1" x14ac:dyDescent="0.3"/>
    <row r="221" spans="4:4" ht="14.25" customHeight="1" x14ac:dyDescent="0.3"/>
    <row r="222" spans="4:4" ht="14.25" customHeight="1" x14ac:dyDescent="0.3"/>
    <row r="223" spans="4:4" ht="14.25" customHeight="1" x14ac:dyDescent="0.3"/>
    <row r="224" spans="4:4" ht="14.25" customHeight="1" x14ac:dyDescent="0.35">
      <c r="D224" s="212"/>
    </row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spans="4:4" ht="14.25" customHeight="1" x14ac:dyDescent="0.3"/>
    <row r="242" spans="4:4" ht="14.25" customHeight="1" x14ac:dyDescent="0.3"/>
    <row r="243" spans="4:4" ht="14.25" customHeight="1" x14ac:dyDescent="0.3"/>
    <row r="244" spans="4:4" ht="14.25" customHeight="1" x14ac:dyDescent="0.3"/>
    <row r="245" spans="4:4" ht="14.25" customHeight="1" x14ac:dyDescent="0.3"/>
    <row r="246" spans="4:4" ht="14.25" customHeight="1" x14ac:dyDescent="0.3">
      <c r="D246" t="s">
        <v>330</v>
      </c>
    </row>
  </sheetData>
  <mergeCells count="18">
    <mergeCell ref="BA35:BA36"/>
    <mergeCell ref="BB35:BD35"/>
    <mergeCell ref="AI35:AJ35"/>
    <mergeCell ref="AK35:AN35"/>
    <mergeCell ref="AP35:AS35"/>
    <mergeCell ref="AT35:AW35"/>
    <mergeCell ref="AX35:AZ35"/>
    <mergeCell ref="P34:S34"/>
    <mergeCell ref="E30:Z33"/>
    <mergeCell ref="D110:D111"/>
    <mergeCell ref="E34:F34"/>
    <mergeCell ref="G34:J34"/>
    <mergeCell ref="L34:O34"/>
    <mergeCell ref="T34:V34"/>
    <mergeCell ref="W34:W35"/>
    <mergeCell ref="E101:Z101"/>
    <mergeCell ref="F85:Y88"/>
    <mergeCell ref="X34:Z34"/>
  </mergeCells>
  <pageMargins left="0.7" right="0.7" top="0.75" bottom="0.75" header="0" footer="0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1:AW111"/>
  <sheetViews>
    <sheetView workbookViewId="0"/>
  </sheetViews>
  <sheetFormatPr defaultColWidth="14.33203125" defaultRowHeight="15" customHeight="1" x14ac:dyDescent="0.3"/>
  <cols>
    <col min="1" max="49" width="8.75" customWidth="1"/>
  </cols>
  <sheetData>
    <row r="1" spans="3:49" ht="14.25" customHeight="1" x14ac:dyDescent="0.3"/>
    <row r="2" spans="3:49" ht="14.25" customHeight="1" x14ac:dyDescent="0.3">
      <c r="C2" s="455" t="s">
        <v>379</v>
      </c>
      <c r="D2" s="348"/>
      <c r="E2" s="348"/>
      <c r="F2" s="348"/>
      <c r="G2" s="348"/>
      <c r="H2" s="348"/>
      <c r="I2" s="348"/>
      <c r="J2" s="348"/>
      <c r="K2" s="348"/>
      <c r="L2" s="348"/>
      <c r="M2" s="348"/>
      <c r="N2" s="348"/>
      <c r="O2" s="348"/>
      <c r="P2" s="348"/>
      <c r="Q2" s="348"/>
      <c r="R2" s="348"/>
      <c r="S2" s="348"/>
      <c r="T2" s="348"/>
      <c r="U2" s="348"/>
      <c r="V2" s="348"/>
      <c r="W2" s="348"/>
      <c r="X2" s="349"/>
    </row>
    <row r="3" spans="3:49" ht="14.25" customHeight="1" x14ac:dyDescent="0.3">
      <c r="C3" s="440"/>
      <c r="D3" s="332"/>
      <c r="E3" s="332"/>
      <c r="F3" s="332"/>
      <c r="G3" s="332"/>
      <c r="H3" s="332"/>
      <c r="I3" s="332"/>
      <c r="J3" s="332"/>
      <c r="K3" s="332"/>
      <c r="L3" s="332"/>
      <c r="M3" s="332"/>
      <c r="N3" s="332"/>
      <c r="O3" s="332"/>
      <c r="P3" s="332"/>
      <c r="Q3" s="332"/>
      <c r="R3" s="332"/>
      <c r="S3" s="332"/>
      <c r="T3" s="332"/>
      <c r="U3" s="332"/>
      <c r="V3" s="332"/>
      <c r="W3" s="332"/>
      <c r="X3" s="441"/>
    </row>
    <row r="4" spans="3:49" ht="14.25" customHeight="1" x14ac:dyDescent="0.3">
      <c r="C4" s="440"/>
      <c r="D4" s="332"/>
      <c r="E4" s="332"/>
      <c r="F4" s="332"/>
      <c r="G4" s="332"/>
      <c r="H4" s="332"/>
      <c r="I4" s="332"/>
      <c r="J4" s="332"/>
      <c r="K4" s="332"/>
      <c r="L4" s="332"/>
      <c r="M4" s="332"/>
      <c r="N4" s="332"/>
      <c r="O4" s="332"/>
      <c r="P4" s="332"/>
      <c r="Q4" s="332"/>
      <c r="R4" s="332"/>
      <c r="S4" s="332"/>
      <c r="T4" s="332"/>
      <c r="U4" s="332"/>
      <c r="V4" s="332"/>
      <c r="W4" s="332"/>
      <c r="X4" s="441"/>
    </row>
    <row r="5" spans="3:49" ht="14.25" customHeight="1" x14ac:dyDescent="0.3">
      <c r="C5" s="350"/>
      <c r="D5" s="333"/>
      <c r="E5" s="333"/>
      <c r="F5" s="333"/>
      <c r="G5" s="333"/>
      <c r="H5" s="333"/>
      <c r="I5" s="333"/>
      <c r="J5" s="333"/>
      <c r="K5" s="333"/>
      <c r="L5" s="333"/>
      <c r="M5" s="333"/>
      <c r="N5" s="333"/>
      <c r="O5" s="333"/>
      <c r="P5" s="333"/>
      <c r="Q5" s="333"/>
      <c r="R5" s="333"/>
      <c r="S5" s="333"/>
      <c r="T5" s="333"/>
      <c r="U5" s="333"/>
      <c r="V5" s="333"/>
      <c r="W5" s="333"/>
      <c r="X5" s="351"/>
      <c r="AB5" t="s">
        <v>380</v>
      </c>
    </row>
    <row r="6" spans="3:49" ht="14.25" customHeight="1" x14ac:dyDescent="0.3">
      <c r="C6" s="438" t="s">
        <v>263</v>
      </c>
      <c r="D6" s="330"/>
      <c r="E6" s="438" t="s">
        <v>247</v>
      </c>
      <c r="F6" s="329"/>
      <c r="G6" s="329"/>
      <c r="H6" s="330"/>
      <c r="I6" s="178" t="s">
        <v>248</v>
      </c>
      <c r="J6" s="438" t="s">
        <v>249</v>
      </c>
      <c r="K6" s="329"/>
      <c r="L6" s="329"/>
      <c r="M6" s="330"/>
      <c r="N6" s="438" t="s">
        <v>250</v>
      </c>
      <c r="O6" s="329"/>
      <c r="P6" s="329"/>
      <c r="Q6" s="330"/>
      <c r="R6" s="438" t="s">
        <v>251</v>
      </c>
      <c r="S6" s="329"/>
      <c r="T6" s="330"/>
      <c r="U6" s="437" t="s">
        <v>106</v>
      </c>
      <c r="V6" s="438" t="s">
        <v>252</v>
      </c>
      <c r="W6" s="329"/>
      <c r="X6" s="330"/>
      <c r="AB6" s="438" t="s">
        <v>263</v>
      </c>
      <c r="AC6" s="330"/>
      <c r="AD6" s="438" t="s">
        <v>247</v>
      </c>
      <c r="AE6" s="329"/>
      <c r="AF6" s="329"/>
      <c r="AG6" s="330"/>
      <c r="AH6" s="178" t="s">
        <v>248</v>
      </c>
      <c r="AI6" s="438" t="s">
        <v>249</v>
      </c>
      <c r="AJ6" s="329"/>
      <c r="AK6" s="329"/>
      <c r="AL6" s="330"/>
      <c r="AM6" s="438" t="s">
        <v>250</v>
      </c>
      <c r="AN6" s="329"/>
      <c r="AO6" s="329"/>
      <c r="AP6" s="330"/>
      <c r="AQ6" s="438" t="s">
        <v>251</v>
      </c>
      <c r="AR6" s="329"/>
      <c r="AS6" s="330"/>
      <c r="AT6" s="437" t="s">
        <v>106</v>
      </c>
      <c r="AU6" s="438" t="s">
        <v>252</v>
      </c>
      <c r="AV6" s="329"/>
      <c r="AW6" s="330"/>
    </row>
    <row r="7" spans="3:49" ht="14.25" customHeight="1" x14ac:dyDescent="0.3">
      <c r="C7" s="179" t="s">
        <v>253</v>
      </c>
      <c r="D7" s="179" t="s">
        <v>254</v>
      </c>
      <c r="E7" s="179" t="s">
        <v>255</v>
      </c>
      <c r="F7" s="179" t="s">
        <v>256</v>
      </c>
      <c r="G7" s="179" t="s">
        <v>257</v>
      </c>
      <c r="H7" s="179" t="s">
        <v>258</v>
      </c>
      <c r="I7" s="179" t="s">
        <v>259</v>
      </c>
      <c r="J7" s="179" t="s">
        <v>260</v>
      </c>
      <c r="K7" s="179" t="s">
        <v>261</v>
      </c>
      <c r="L7" s="179" t="s">
        <v>262</v>
      </c>
      <c r="M7" s="179" t="s">
        <v>259</v>
      </c>
      <c r="N7" s="179" t="s">
        <v>260</v>
      </c>
      <c r="O7" s="179" t="s">
        <v>261</v>
      </c>
      <c r="P7" s="179" t="s">
        <v>262</v>
      </c>
      <c r="Q7" s="179" t="s">
        <v>259</v>
      </c>
      <c r="R7" s="179" t="s">
        <v>114</v>
      </c>
      <c r="S7" s="179" t="s">
        <v>113</v>
      </c>
      <c r="T7" s="179" t="s">
        <v>112</v>
      </c>
      <c r="U7" s="443"/>
      <c r="V7" s="179" t="s">
        <v>79</v>
      </c>
      <c r="W7" s="179" t="s">
        <v>80</v>
      </c>
      <c r="X7" s="179" t="s">
        <v>81</v>
      </c>
      <c r="AB7" s="178" t="s">
        <v>253</v>
      </c>
      <c r="AC7" s="178" t="s">
        <v>254</v>
      </c>
      <c r="AD7" s="178" t="s">
        <v>255</v>
      </c>
      <c r="AE7" s="178" t="s">
        <v>256</v>
      </c>
      <c r="AF7" s="178" t="s">
        <v>257</v>
      </c>
      <c r="AG7" s="178" t="s">
        <v>258</v>
      </c>
      <c r="AH7" s="178" t="s">
        <v>259</v>
      </c>
      <c r="AI7" s="178" t="s">
        <v>260</v>
      </c>
      <c r="AJ7" s="178" t="s">
        <v>261</v>
      </c>
      <c r="AK7" s="178" t="s">
        <v>262</v>
      </c>
      <c r="AL7" s="178" t="s">
        <v>259</v>
      </c>
      <c r="AM7" s="178" t="s">
        <v>260</v>
      </c>
      <c r="AN7" s="178" t="s">
        <v>261</v>
      </c>
      <c r="AO7" s="178" t="s">
        <v>262</v>
      </c>
      <c r="AP7" s="178" t="s">
        <v>259</v>
      </c>
      <c r="AQ7" s="178" t="s">
        <v>114</v>
      </c>
      <c r="AR7" s="178" t="s">
        <v>113</v>
      </c>
      <c r="AS7" s="178" t="s">
        <v>112</v>
      </c>
      <c r="AT7" s="339"/>
      <c r="AU7" s="178" t="s">
        <v>79</v>
      </c>
      <c r="AV7" s="178" t="s">
        <v>80</v>
      </c>
      <c r="AW7" s="178" t="s">
        <v>81</v>
      </c>
    </row>
    <row r="8" spans="3:49" ht="14.25" customHeight="1" x14ac:dyDescent="0.35">
      <c r="C8" s="180">
        <v>1.52</v>
      </c>
      <c r="D8" s="180" t="s">
        <v>19</v>
      </c>
      <c r="E8" s="180">
        <v>1.54</v>
      </c>
      <c r="F8" s="180"/>
      <c r="G8" s="180" t="s">
        <v>19</v>
      </c>
      <c r="H8" s="180"/>
      <c r="I8" s="181">
        <f>KKH!G9</f>
        <v>260.42447222222222</v>
      </c>
      <c r="J8" s="185">
        <v>277</v>
      </c>
      <c r="K8" s="185">
        <v>23</v>
      </c>
      <c r="L8" s="185">
        <v>30</v>
      </c>
      <c r="M8" s="181">
        <f t="shared" ref="M8:M13" si="0">J8+(K8/60)+(L8/3600)</f>
        <v>277.39166666666665</v>
      </c>
      <c r="N8" s="185">
        <v>90</v>
      </c>
      <c r="O8" s="185">
        <v>10</v>
      </c>
      <c r="P8" s="185">
        <v>59</v>
      </c>
      <c r="Q8" s="181">
        <f t="shared" ref="Q8:Q13" si="1">N8+(O8/60)+(P8/3600)</f>
        <v>90.183055555555555</v>
      </c>
      <c r="R8" s="186">
        <v>90.052000000000007</v>
      </c>
      <c r="S8" s="186">
        <v>-0.128</v>
      </c>
      <c r="T8" s="186">
        <v>90.052000000000007</v>
      </c>
      <c r="U8" s="181">
        <f t="shared" ref="U8:U13" si="2">S8+$C$8-E8</f>
        <v>-0.14800000000000013</v>
      </c>
      <c r="V8" s="183">
        <v>535310.50699999998</v>
      </c>
      <c r="W8" s="183">
        <v>9407739.1050000004</v>
      </c>
      <c r="X8" s="183">
        <v>106.786</v>
      </c>
      <c r="AB8" s="188">
        <v>1.52</v>
      </c>
      <c r="AC8" s="188" t="s">
        <v>19</v>
      </c>
      <c r="AD8" s="188">
        <v>1.54</v>
      </c>
      <c r="AE8" s="188"/>
      <c r="AF8" s="188">
        <v>46</v>
      </c>
      <c r="AG8" s="188"/>
      <c r="AH8" s="189"/>
      <c r="AI8" s="245">
        <v>277</v>
      </c>
      <c r="AJ8" s="246">
        <v>23</v>
      </c>
      <c r="AK8" s="245">
        <v>30</v>
      </c>
      <c r="AL8" s="247">
        <f t="shared" ref="AL8:AL13" si="3">AI8+(AJ8/60)+(AK8/3600)</f>
        <v>277.39166666666665</v>
      </c>
      <c r="AM8" s="248">
        <v>90</v>
      </c>
      <c r="AN8" s="249">
        <v>10</v>
      </c>
      <c r="AO8" s="245">
        <v>59</v>
      </c>
      <c r="AP8" s="247">
        <f t="shared" ref="AP8:AP13" si="4">AM8+(AN8/60)+(AO8/3600)</f>
        <v>90.183055555555555</v>
      </c>
      <c r="AQ8" s="250">
        <v>90.052000000000007</v>
      </c>
      <c r="AR8" s="251">
        <v>-0.128</v>
      </c>
      <c r="AS8" s="251">
        <v>90.052000000000007</v>
      </c>
      <c r="AT8" s="189">
        <f t="shared" ref="AT8:AT13" si="5">AR8+$C$8-AD8</f>
        <v>-0.14800000000000013</v>
      </c>
      <c r="AU8" s="191">
        <v>535310.50699999998</v>
      </c>
      <c r="AV8" s="191">
        <v>9407739.1050000004</v>
      </c>
      <c r="AW8" s="92">
        <v>106.786</v>
      </c>
    </row>
    <row r="9" spans="3:49" ht="14.25" customHeight="1" x14ac:dyDescent="0.3">
      <c r="C9" s="192" t="s">
        <v>348</v>
      </c>
      <c r="D9" s="192"/>
      <c r="E9" s="180">
        <v>1.54</v>
      </c>
      <c r="F9" s="192"/>
      <c r="G9" s="180"/>
      <c r="H9" s="192" t="s">
        <v>381</v>
      </c>
      <c r="I9" s="181">
        <f t="shared" ref="I9:I13" si="6">IF($I$8+M9&gt;=540,$I$8+M9-540,IF($I$8+M9&gt;=180,$I$8+M9-180,$I$8+M9+180))</f>
        <v>41.768361111111062</v>
      </c>
      <c r="J9" s="185">
        <v>321</v>
      </c>
      <c r="K9" s="185">
        <v>20</v>
      </c>
      <c r="L9" s="185">
        <v>38</v>
      </c>
      <c r="M9" s="181">
        <f t="shared" si="0"/>
        <v>321.3438888888889</v>
      </c>
      <c r="N9" s="185">
        <v>89</v>
      </c>
      <c r="O9" s="185">
        <v>19</v>
      </c>
      <c r="P9" s="185">
        <v>53</v>
      </c>
      <c r="Q9" s="181">
        <f t="shared" si="1"/>
        <v>89.331388888888881</v>
      </c>
      <c r="R9" s="186">
        <v>15.066000000000001</v>
      </c>
      <c r="S9" s="186">
        <v>0.17599999999999999</v>
      </c>
      <c r="T9" s="186">
        <v>15.065</v>
      </c>
      <c r="U9" s="181">
        <f t="shared" si="2"/>
        <v>0.15599999999999992</v>
      </c>
      <c r="V9" s="182">
        <f t="shared" ref="V9:V13" si="7">$V$8+T9*SIN(RADIANS(I9))</f>
        <v>535320.54210856732</v>
      </c>
      <c r="W9" s="182">
        <f t="shared" ref="W9:W13" si="8">$W$8+T9*COS(RADIANS(I9))</f>
        <v>9407750.3411390632</v>
      </c>
      <c r="X9" s="181">
        <f t="shared" ref="X9:X13" si="9">$X$8+U9</f>
        <v>106.94200000000001</v>
      </c>
      <c r="AB9" s="252" t="s">
        <v>348</v>
      </c>
      <c r="AC9" s="252"/>
      <c r="AD9" s="188">
        <v>1.54</v>
      </c>
      <c r="AE9" s="252"/>
      <c r="AF9" s="253"/>
      <c r="AG9" s="253"/>
      <c r="AH9" s="247"/>
      <c r="AI9" s="254">
        <v>168</v>
      </c>
      <c r="AJ9" s="249">
        <v>26</v>
      </c>
      <c r="AK9" s="254">
        <v>24</v>
      </c>
      <c r="AL9" s="247">
        <f t="shared" si="3"/>
        <v>168.44</v>
      </c>
      <c r="AM9" s="255">
        <v>92</v>
      </c>
      <c r="AN9" s="249">
        <v>25</v>
      </c>
      <c r="AO9" s="254">
        <v>37</v>
      </c>
      <c r="AP9" s="247">
        <f t="shared" si="4"/>
        <v>92.426944444444445</v>
      </c>
      <c r="AQ9" s="256">
        <v>11.347</v>
      </c>
      <c r="AR9" s="257">
        <v>-0.48</v>
      </c>
      <c r="AS9" s="257">
        <v>11.337</v>
      </c>
      <c r="AT9" s="189">
        <f t="shared" si="5"/>
        <v>-0.5</v>
      </c>
      <c r="AU9" s="258"/>
      <c r="AV9" s="258"/>
      <c r="AW9" s="247"/>
    </row>
    <row r="10" spans="3:49" ht="14.25" customHeight="1" x14ac:dyDescent="0.3">
      <c r="C10" s="192" t="s">
        <v>382</v>
      </c>
      <c r="D10" s="192"/>
      <c r="E10" s="180">
        <v>1.54</v>
      </c>
      <c r="F10" s="192"/>
      <c r="G10" s="180"/>
      <c r="H10" s="192" t="s">
        <v>383</v>
      </c>
      <c r="I10" s="181">
        <f t="shared" si="6"/>
        <v>65.635305555555533</v>
      </c>
      <c r="J10" s="185">
        <v>345</v>
      </c>
      <c r="K10" s="185">
        <v>12</v>
      </c>
      <c r="L10" s="185">
        <v>39</v>
      </c>
      <c r="M10" s="181">
        <f t="shared" si="0"/>
        <v>345.21083333333331</v>
      </c>
      <c r="N10" s="185">
        <v>89</v>
      </c>
      <c r="O10" s="185">
        <v>20</v>
      </c>
      <c r="P10" s="185">
        <v>23</v>
      </c>
      <c r="Q10" s="181">
        <f t="shared" si="1"/>
        <v>89.339722222222221</v>
      </c>
      <c r="R10" s="186">
        <v>13.409000000000001</v>
      </c>
      <c r="S10" s="186">
        <v>0.15</v>
      </c>
      <c r="T10" s="186">
        <v>13.048</v>
      </c>
      <c r="U10" s="181">
        <f t="shared" si="2"/>
        <v>0.12999999999999989</v>
      </c>
      <c r="V10" s="182">
        <f t="shared" si="7"/>
        <v>535322.39291957323</v>
      </c>
      <c r="W10" s="182">
        <f t="shared" si="8"/>
        <v>9407744.4878635406</v>
      </c>
      <c r="X10" s="181">
        <f t="shared" si="9"/>
        <v>106.916</v>
      </c>
      <c r="AB10" s="252" t="s">
        <v>382</v>
      </c>
      <c r="AC10" s="252"/>
      <c r="AD10" s="188">
        <v>1.54</v>
      </c>
      <c r="AE10" s="252"/>
      <c r="AF10" s="253"/>
      <c r="AG10" s="253"/>
      <c r="AH10" s="247"/>
      <c r="AI10" s="254">
        <v>169</v>
      </c>
      <c r="AJ10" s="249">
        <v>33</v>
      </c>
      <c r="AK10" s="254">
        <v>0</v>
      </c>
      <c r="AL10" s="247">
        <f t="shared" si="3"/>
        <v>169.55</v>
      </c>
      <c r="AM10" s="255">
        <v>90</v>
      </c>
      <c r="AN10" s="249">
        <v>55</v>
      </c>
      <c r="AO10" s="254">
        <v>8</v>
      </c>
      <c r="AP10" s="247">
        <f t="shared" si="4"/>
        <v>90.918888888888887</v>
      </c>
      <c r="AQ10" s="256">
        <v>34.378</v>
      </c>
      <c r="AR10" s="257">
        <v>-0.55100000000000005</v>
      </c>
      <c r="AS10" s="257">
        <v>34.378999999999998</v>
      </c>
      <c r="AT10" s="189">
        <f t="shared" si="5"/>
        <v>-0.57100000000000006</v>
      </c>
      <c r="AU10" s="258"/>
      <c r="AV10" s="258"/>
      <c r="AW10" s="247"/>
    </row>
    <row r="11" spans="3:49" ht="14.25" customHeight="1" x14ac:dyDescent="0.3">
      <c r="C11" s="192" t="s">
        <v>384</v>
      </c>
      <c r="D11" s="192"/>
      <c r="E11" s="180">
        <v>1.54</v>
      </c>
      <c r="F11" s="192"/>
      <c r="G11" s="180"/>
      <c r="H11" s="192" t="s">
        <v>292</v>
      </c>
      <c r="I11" s="181">
        <f t="shared" si="6"/>
        <v>26.223361111111217</v>
      </c>
      <c r="J11" s="185">
        <v>305</v>
      </c>
      <c r="K11" s="185">
        <v>47</v>
      </c>
      <c r="L11" s="185">
        <v>56</v>
      </c>
      <c r="M11" s="181">
        <f t="shared" si="0"/>
        <v>305.79888888888894</v>
      </c>
      <c r="N11" s="185">
        <v>89</v>
      </c>
      <c r="O11" s="185">
        <v>7</v>
      </c>
      <c r="P11" s="185">
        <v>32</v>
      </c>
      <c r="Q11" s="181">
        <f t="shared" si="1"/>
        <v>89.12555555555555</v>
      </c>
      <c r="R11" s="186">
        <v>10.420999999999999</v>
      </c>
      <c r="S11" s="186">
        <v>0.159</v>
      </c>
      <c r="T11" s="186">
        <v>10.42</v>
      </c>
      <c r="U11" s="181">
        <f t="shared" si="2"/>
        <v>0.13900000000000001</v>
      </c>
      <c r="V11" s="182">
        <f t="shared" si="7"/>
        <v>535315.11130263167</v>
      </c>
      <c r="W11" s="182">
        <f t="shared" si="8"/>
        <v>9407748.4525556844</v>
      </c>
      <c r="X11" s="181">
        <f t="shared" si="9"/>
        <v>106.925</v>
      </c>
      <c r="AB11" s="252" t="s">
        <v>384</v>
      </c>
      <c r="AC11" s="252"/>
      <c r="AD11" s="188">
        <v>1.54</v>
      </c>
      <c r="AE11" s="253"/>
      <c r="AF11" s="253"/>
      <c r="AG11" s="253"/>
      <c r="AH11" s="247"/>
      <c r="AI11" s="254">
        <v>170</v>
      </c>
      <c r="AJ11" s="249">
        <v>16</v>
      </c>
      <c r="AK11" s="254">
        <v>15</v>
      </c>
      <c r="AL11" s="247">
        <f t="shared" si="3"/>
        <v>170.27083333333334</v>
      </c>
      <c r="AM11" s="255">
        <v>90</v>
      </c>
      <c r="AN11" s="249">
        <v>55</v>
      </c>
      <c r="AO11" s="254">
        <v>28</v>
      </c>
      <c r="AP11" s="247">
        <f t="shared" si="4"/>
        <v>90.924444444444447</v>
      </c>
      <c r="AQ11" s="256">
        <v>55.427999999999997</v>
      </c>
      <c r="AR11" s="257">
        <v>-0.89900000000000002</v>
      </c>
      <c r="AS11" s="257">
        <v>55.420999999999999</v>
      </c>
      <c r="AT11" s="189">
        <f t="shared" si="5"/>
        <v>-0.91900000000000004</v>
      </c>
      <c r="AU11" s="258"/>
      <c r="AV11" s="258"/>
      <c r="AW11" s="247"/>
    </row>
    <row r="12" spans="3:49" ht="14.25" customHeight="1" x14ac:dyDescent="0.3">
      <c r="C12" s="192" t="s">
        <v>385</v>
      </c>
      <c r="D12" s="192"/>
      <c r="E12" s="180">
        <v>1.54</v>
      </c>
      <c r="F12" s="180"/>
      <c r="G12" s="180"/>
      <c r="H12" s="192" t="s">
        <v>386</v>
      </c>
      <c r="I12" s="181">
        <f t="shared" si="6"/>
        <v>15.609194444444483</v>
      </c>
      <c r="J12" s="185">
        <v>295</v>
      </c>
      <c r="K12" s="185">
        <v>11</v>
      </c>
      <c r="L12" s="185">
        <v>5</v>
      </c>
      <c r="M12" s="181">
        <f t="shared" si="0"/>
        <v>295.18472222222221</v>
      </c>
      <c r="N12" s="185">
        <v>91</v>
      </c>
      <c r="O12" s="185">
        <v>32</v>
      </c>
      <c r="P12" s="185">
        <v>59</v>
      </c>
      <c r="Q12" s="181">
        <f t="shared" si="1"/>
        <v>91.549722222222215</v>
      </c>
      <c r="R12" s="186">
        <v>8.7230000000000008</v>
      </c>
      <c r="S12" s="186">
        <v>0.23599999999999999</v>
      </c>
      <c r="T12" s="186">
        <v>9.7200000000000006</v>
      </c>
      <c r="U12" s="181">
        <f t="shared" si="2"/>
        <v>0.21599999999999997</v>
      </c>
      <c r="V12" s="182">
        <f t="shared" si="7"/>
        <v>535313.12240296439</v>
      </c>
      <c r="W12" s="182">
        <f t="shared" si="8"/>
        <v>9407748.4665205684</v>
      </c>
      <c r="X12" s="181">
        <f t="shared" si="9"/>
        <v>107.002</v>
      </c>
      <c r="AB12" s="252" t="s">
        <v>385</v>
      </c>
      <c r="AC12" s="252"/>
      <c r="AD12" s="188">
        <v>1.54</v>
      </c>
      <c r="AE12" s="252"/>
      <c r="AF12" s="253"/>
      <c r="AG12" s="253"/>
      <c r="AH12" s="247"/>
      <c r="AI12" s="254">
        <v>170</v>
      </c>
      <c r="AJ12" s="249">
        <v>19</v>
      </c>
      <c r="AK12" s="254">
        <v>62</v>
      </c>
      <c r="AL12" s="247">
        <f t="shared" si="3"/>
        <v>170.33388888888888</v>
      </c>
      <c r="AM12" s="255">
        <v>90</v>
      </c>
      <c r="AN12" s="249">
        <v>51</v>
      </c>
      <c r="AO12" s="254">
        <v>55</v>
      </c>
      <c r="AP12" s="247">
        <f t="shared" si="4"/>
        <v>90.865277777777777</v>
      </c>
      <c r="AQ12" s="256">
        <v>70.088999999999999</v>
      </c>
      <c r="AR12" s="257">
        <v>-1.056</v>
      </c>
      <c r="AS12" s="257">
        <v>70.075999999999993</v>
      </c>
      <c r="AT12" s="189">
        <f t="shared" si="5"/>
        <v>-1.0760000000000001</v>
      </c>
      <c r="AU12" s="258"/>
      <c r="AV12" s="258"/>
      <c r="AW12" s="247"/>
    </row>
    <row r="13" spans="3:49" ht="14.25" customHeight="1" x14ac:dyDescent="0.3">
      <c r="C13" s="192" t="s">
        <v>387</v>
      </c>
      <c r="D13" s="192"/>
      <c r="E13" s="180">
        <v>1.54</v>
      </c>
      <c r="F13" s="192"/>
      <c r="G13" s="180"/>
      <c r="H13" s="192" t="s">
        <v>388</v>
      </c>
      <c r="I13" s="181">
        <f t="shared" si="6"/>
        <v>252.94891666666672</v>
      </c>
      <c r="J13" s="185">
        <v>172</v>
      </c>
      <c r="K13" s="185">
        <v>31</v>
      </c>
      <c r="L13" s="185">
        <v>28</v>
      </c>
      <c r="M13" s="181">
        <f t="shared" si="0"/>
        <v>172.52444444444447</v>
      </c>
      <c r="N13" s="185">
        <v>90</v>
      </c>
      <c r="O13" s="185">
        <v>17</v>
      </c>
      <c r="P13" s="185">
        <v>14</v>
      </c>
      <c r="Q13" s="181">
        <f t="shared" si="1"/>
        <v>90.287222222222226</v>
      </c>
      <c r="R13" s="186">
        <v>70.141000000000005</v>
      </c>
      <c r="S13" s="186">
        <v>-0.35099999999999998</v>
      </c>
      <c r="T13" s="186">
        <v>70.14</v>
      </c>
      <c r="U13" s="181">
        <f t="shared" si="2"/>
        <v>-0.371</v>
      </c>
      <c r="V13" s="182">
        <f t="shared" si="7"/>
        <v>535243.4500945044</v>
      </c>
      <c r="W13" s="182">
        <f t="shared" si="8"/>
        <v>9407718.5382543821</v>
      </c>
      <c r="X13" s="181">
        <f t="shared" si="9"/>
        <v>106.41500000000001</v>
      </c>
      <c r="AB13" s="252" t="s">
        <v>387</v>
      </c>
      <c r="AC13" s="252"/>
      <c r="AD13" s="188">
        <v>1.54</v>
      </c>
      <c r="AE13" s="252"/>
      <c r="AF13" s="253"/>
      <c r="AG13" s="253"/>
      <c r="AH13" s="247"/>
      <c r="AI13" s="254">
        <v>152</v>
      </c>
      <c r="AJ13" s="249">
        <v>21</v>
      </c>
      <c r="AK13" s="254">
        <v>48</v>
      </c>
      <c r="AL13" s="247">
        <f t="shared" si="3"/>
        <v>152.36333333333332</v>
      </c>
      <c r="AM13" s="255">
        <v>89</v>
      </c>
      <c r="AN13" s="249">
        <v>17</v>
      </c>
      <c r="AO13" s="254">
        <v>45</v>
      </c>
      <c r="AP13" s="247">
        <f t="shared" si="4"/>
        <v>89.295833333333334</v>
      </c>
      <c r="AQ13" s="256">
        <v>26.931000000000001</v>
      </c>
      <c r="AR13" s="257">
        <v>0.33100000000000002</v>
      </c>
      <c r="AS13" s="257">
        <v>26.928999999999998</v>
      </c>
      <c r="AT13" s="189">
        <f t="shared" si="5"/>
        <v>0.31099999999999994</v>
      </c>
      <c r="AU13" s="258"/>
      <c r="AV13" s="258"/>
      <c r="AW13" s="247"/>
    </row>
    <row r="14" spans="3:49" ht="14.25" customHeight="1" x14ac:dyDescent="0.3">
      <c r="C14" s="458" t="s">
        <v>389</v>
      </c>
      <c r="D14" s="348"/>
      <c r="E14" s="348"/>
      <c r="F14" s="348"/>
      <c r="G14" s="348"/>
      <c r="H14" s="348"/>
      <c r="I14" s="348"/>
      <c r="J14" s="348"/>
      <c r="K14" s="348"/>
      <c r="L14" s="348"/>
      <c r="M14" s="348"/>
      <c r="N14" s="348"/>
      <c r="O14" s="348"/>
      <c r="P14" s="348"/>
      <c r="Q14" s="348"/>
      <c r="R14" s="348"/>
      <c r="S14" s="348"/>
      <c r="T14" s="348"/>
      <c r="U14" s="348"/>
      <c r="V14" s="348"/>
      <c r="W14" s="348"/>
      <c r="X14" s="459"/>
      <c r="AB14" s="463"/>
      <c r="AC14" s="464"/>
      <c r="AD14" s="464"/>
      <c r="AE14" s="464"/>
      <c r="AF14" s="464"/>
      <c r="AG14" s="464"/>
      <c r="AH14" s="464"/>
      <c r="AI14" s="464"/>
      <c r="AJ14" s="464"/>
      <c r="AK14" s="464"/>
      <c r="AL14" s="464"/>
      <c r="AM14" s="464"/>
      <c r="AN14" s="464"/>
      <c r="AO14" s="464"/>
      <c r="AP14" s="464"/>
      <c r="AQ14" s="464"/>
      <c r="AR14" s="464"/>
      <c r="AS14" s="464"/>
      <c r="AT14" s="464"/>
      <c r="AU14" s="464"/>
      <c r="AV14" s="464"/>
      <c r="AW14" s="465"/>
    </row>
    <row r="15" spans="3:49" ht="14.25" customHeight="1" x14ac:dyDescent="0.3">
      <c r="C15" s="365"/>
      <c r="D15" s="332"/>
      <c r="E15" s="332"/>
      <c r="F15" s="332"/>
      <c r="G15" s="332"/>
      <c r="H15" s="332"/>
      <c r="I15" s="332"/>
      <c r="J15" s="332"/>
      <c r="K15" s="332"/>
      <c r="L15" s="332"/>
      <c r="M15" s="332"/>
      <c r="N15" s="332"/>
      <c r="O15" s="332"/>
      <c r="P15" s="332"/>
      <c r="Q15" s="332"/>
      <c r="R15" s="332"/>
      <c r="S15" s="332"/>
      <c r="T15" s="332"/>
      <c r="U15" s="332"/>
      <c r="V15" s="332"/>
      <c r="W15" s="332"/>
      <c r="X15" s="392"/>
      <c r="AB15" s="259">
        <v>1.44</v>
      </c>
      <c r="AC15" s="259" t="s">
        <v>20</v>
      </c>
      <c r="AD15" s="260">
        <v>1.44</v>
      </c>
      <c r="AE15" s="259"/>
      <c r="AF15" s="261" t="s">
        <v>19</v>
      </c>
      <c r="AG15" s="261"/>
      <c r="AH15" s="262"/>
      <c r="AI15" s="263">
        <v>237</v>
      </c>
      <c r="AJ15" s="264">
        <v>9</v>
      </c>
      <c r="AK15" s="263">
        <v>44</v>
      </c>
      <c r="AL15" s="262">
        <f t="shared" ref="AL15:AL22" si="10">AI15+(AJ15/60)+(AK15/3600)</f>
        <v>237.16222222222223</v>
      </c>
      <c r="AM15" s="265">
        <v>89</v>
      </c>
      <c r="AN15" s="264">
        <v>50</v>
      </c>
      <c r="AO15" s="263">
        <v>9</v>
      </c>
      <c r="AP15" s="262">
        <f t="shared" ref="AP15:AP22" si="11">AM15+(AN15/60)+(AO15/3600)</f>
        <v>89.835833333333326</v>
      </c>
      <c r="AQ15" s="266">
        <v>91.948999999999998</v>
      </c>
      <c r="AR15" s="267">
        <v>0.26600000000000001</v>
      </c>
      <c r="AS15" s="267">
        <v>91.948999999999998</v>
      </c>
      <c r="AT15" s="262">
        <f t="shared" ref="AT15:AT22" si="12">AR15+$C$19-AD15</f>
        <v>0.26600000000000001</v>
      </c>
      <c r="AU15" s="268"/>
      <c r="AV15" s="268"/>
      <c r="AW15" s="262"/>
    </row>
    <row r="16" spans="3:49" ht="14.25" customHeight="1" x14ac:dyDescent="0.3">
      <c r="C16" s="365"/>
      <c r="D16" s="332"/>
      <c r="E16" s="332"/>
      <c r="F16" s="332"/>
      <c r="G16" s="332"/>
      <c r="H16" s="332"/>
      <c r="I16" s="332"/>
      <c r="J16" s="332"/>
      <c r="K16" s="332"/>
      <c r="L16" s="332"/>
      <c r="M16" s="332"/>
      <c r="N16" s="332"/>
      <c r="O16" s="332"/>
      <c r="P16" s="332"/>
      <c r="Q16" s="332"/>
      <c r="R16" s="332"/>
      <c r="S16" s="332"/>
      <c r="T16" s="332"/>
      <c r="U16" s="332"/>
      <c r="V16" s="332"/>
      <c r="W16" s="332"/>
      <c r="X16" s="392"/>
      <c r="AB16" s="253"/>
      <c r="AC16" s="253"/>
      <c r="AD16" s="260">
        <v>1.44</v>
      </c>
      <c r="AE16" s="253"/>
      <c r="AF16" s="252"/>
      <c r="AG16" s="253" t="s">
        <v>305</v>
      </c>
      <c r="AH16" s="247"/>
      <c r="AI16" s="254">
        <v>102</v>
      </c>
      <c r="AJ16" s="249">
        <v>92</v>
      </c>
      <c r="AK16" s="254">
        <v>11</v>
      </c>
      <c r="AL16" s="247">
        <f t="shared" si="10"/>
        <v>103.53638888888889</v>
      </c>
      <c r="AM16" s="255">
        <v>92</v>
      </c>
      <c r="AN16" s="249">
        <v>32</v>
      </c>
      <c r="AO16" s="254">
        <v>28</v>
      </c>
      <c r="AP16" s="247">
        <f t="shared" si="11"/>
        <v>92.541111111111107</v>
      </c>
      <c r="AQ16" s="256">
        <v>11.935</v>
      </c>
      <c r="AR16" s="257">
        <v>-0.53100000000000003</v>
      </c>
      <c r="AS16" s="257">
        <v>11.962999999999999</v>
      </c>
      <c r="AT16" s="262">
        <f t="shared" si="12"/>
        <v>-0.53100000000000003</v>
      </c>
      <c r="AU16" s="258"/>
      <c r="AV16" s="258"/>
      <c r="AW16" s="247"/>
    </row>
    <row r="17" spans="3:49" ht="14.25" customHeight="1" x14ac:dyDescent="0.3">
      <c r="C17" s="365"/>
      <c r="D17" s="332"/>
      <c r="E17" s="332"/>
      <c r="F17" s="332"/>
      <c r="G17" s="332"/>
      <c r="H17" s="332"/>
      <c r="I17" s="332"/>
      <c r="J17" s="332"/>
      <c r="K17" s="332"/>
      <c r="L17" s="332"/>
      <c r="M17" s="332"/>
      <c r="N17" s="332"/>
      <c r="O17" s="332"/>
      <c r="P17" s="332"/>
      <c r="Q17" s="332"/>
      <c r="R17" s="332"/>
      <c r="S17" s="332"/>
      <c r="T17" s="332"/>
      <c r="U17" s="332"/>
      <c r="V17" s="332"/>
      <c r="W17" s="332"/>
      <c r="X17" s="392"/>
      <c r="AB17" s="252"/>
      <c r="AC17" s="252"/>
      <c r="AD17" s="260">
        <v>1.44</v>
      </c>
      <c r="AE17" s="252"/>
      <c r="AF17" s="252"/>
      <c r="AG17" s="253" t="s">
        <v>306</v>
      </c>
      <c r="AH17" s="247"/>
      <c r="AI17" s="254">
        <v>146</v>
      </c>
      <c r="AJ17" s="249">
        <v>12</v>
      </c>
      <c r="AK17" s="254">
        <v>13</v>
      </c>
      <c r="AL17" s="247">
        <f t="shared" si="10"/>
        <v>146.20361111111109</v>
      </c>
      <c r="AM17" s="255">
        <v>88</v>
      </c>
      <c r="AN17" s="249">
        <v>4</v>
      </c>
      <c r="AO17" s="254">
        <v>30</v>
      </c>
      <c r="AP17" s="247">
        <f t="shared" si="11"/>
        <v>88.075000000000003</v>
      </c>
      <c r="AQ17" s="256">
        <v>7.6669999999999998</v>
      </c>
      <c r="AR17" s="257">
        <v>0.25800000000000001</v>
      </c>
      <c r="AS17" s="257">
        <v>7.6630000000000003</v>
      </c>
      <c r="AT17" s="262">
        <f t="shared" si="12"/>
        <v>0.25800000000000001</v>
      </c>
      <c r="AU17" s="258"/>
      <c r="AV17" s="258"/>
      <c r="AW17" s="247"/>
    </row>
    <row r="18" spans="3:49" ht="14.25" customHeight="1" x14ac:dyDescent="0.3">
      <c r="C18" s="460"/>
      <c r="D18" s="461"/>
      <c r="E18" s="461"/>
      <c r="F18" s="461"/>
      <c r="G18" s="461"/>
      <c r="H18" s="461"/>
      <c r="I18" s="461"/>
      <c r="J18" s="461"/>
      <c r="K18" s="461"/>
      <c r="L18" s="461"/>
      <c r="M18" s="461"/>
      <c r="N18" s="461"/>
      <c r="O18" s="461"/>
      <c r="P18" s="461"/>
      <c r="Q18" s="461"/>
      <c r="R18" s="461"/>
      <c r="S18" s="461"/>
      <c r="T18" s="461"/>
      <c r="U18" s="461"/>
      <c r="V18" s="461"/>
      <c r="W18" s="461"/>
      <c r="X18" s="462"/>
      <c r="AB18" s="252"/>
      <c r="AC18" s="252"/>
      <c r="AD18" s="260">
        <v>1.44</v>
      </c>
      <c r="AE18" s="252"/>
      <c r="AF18" s="252"/>
      <c r="AG18" s="253" t="s">
        <v>307</v>
      </c>
      <c r="AH18" s="247"/>
      <c r="AI18" s="254">
        <v>143</v>
      </c>
      <c r="AJ18" s="249">
        <v>19</v>
      </c>
      <c r="AK18" s="254">
        <v>21</v>
      </c>
      <c r="AL18" s="247">
        <f t="shared" si="10"/>
        <v>143.32249999999999</v>
      </c>
      <c r="AM18" s="255">
        <v>89</v>
      </c>
      <c r="AN18" s="249">
        <v>5</v>
      </c>
      <c r="AO18" s="254">
        <v>24</v>
      </c>
      <c r="AP18" s="247">
        <f t="shared" si="11"/>
        <v>89.089999999999989</v>
      </c>
      <c r="AQ18" s="256">
        <v>7.8129999999999997</v>
      </c>
      <c r="AR18" s="257">
        <v>0.124</v>
      </c>
      <c r="AS18" s="257">
        <v>7.8120000000000003</v>
      </c>
      <c r="AT18" s="262">
        <f t="shared" si="12"/>
        <v>0.12400000000000011</v>
      </c>
      <c r="AU18" s="258"/>
      <c r="AV18" s="258"/>
      <c r="AW18" s="247"/>
    </row>
    <row r="19" spans="3:49" ht="14.25" customHeight="1" x14ac:dyDescent="0.35">
      <c r="C19" s="269">
        <v>1.44</v>
      </c>
      <c r="D19" s="269" t="s">
        <v>20</v>
      </c>
      <c r="E19" s="270">
        <v>1.44</v>
      </c>
      <c r="F19" s="269"/>
      <c r="G19" s="271" t="s">
        <v>19</v>
      </c>
      <c r="H19" s="271"/>
      <c r="I19" s="272">
        <f>KKH!G11</f>
        <v>351.56023611111107</v>
      </c>
      <c r="J19" s="273">
        <v>237</v>
      </c>
      <c r="K19" s="274">
        <v>9</v>
      </c>
      <c r="L19" s="273">
        <v>44</v>
      </c>
      <c r="M19" s="272">
        <f t="shared" ref="M19:M52" si="13">J19+(K19/60)+(L19/3600)</f>
        <v>237.16222222222223</v>
      </c>
      <c r="N19" s="275">
        <v>89</v>
      </c>
      <c r="O19" s="274">
        <v>50</v>
      </c>
      <c r="P19" s="273">
        <v>9</v>
      </c>
      <c r="Q19" s="272">
        <f t="shared" ref="Q19:Q52" si="14">N19+(O19/60)+(P19/3600)</f>
        <v>89.835833333333326</v>
      </c>
      <c r="R19" s="276">
        <v>91.948999999999998</v>
      </c>
      <c r="S19" s="277">
        <v>0.26600000000000001</v>
      </c>
      <c r="T19" s="277">
        <v>91.948999999999998</v>
      </c>
      <c r="U19" s="272">
        <f t="shared" ref="U19:U52" si="15">S19+$C$19-E19</f>
        <v>0.26600000000000001</v>
      </c>
      <c r="V19" s="278">
        <v>535310.50699999998</v>
      </c>
      <c r="W19" s="278">
        <v>9407739.1050000004</v>
      </c>
      <c r="X19" s="272">
        <v>106.786</v>
      </c>
      <c r="AB19" s="252"/>
      <c r="AC19" s="252"/>
      <c r="AD19" s="260">
        <v>1.44</v>
      </c>
      <c r="AE19" s="252"/>
      <c r="AF19" s="252"/>
      <c r="AG19" s="253" t="s">
        <v>308</v>
      </c>
      <c r="AH19" s="247"/>
      <c r="AI19" s="254">
        <v>151</v>
      </c>
      <c r="AJ19" s="249">
        <v>9</v>
      </c>
      <c r="AK19" s="254">
        <v>7</v>
      </c>
      <c r="AL19" s="247">
        <f t="shared" si="10"/>
        <v>151.15194444444444</v>
      </c>
      <c r="AM19" s="255">
        <v>87</v>
      </c>
      <c r="AN19" s="249">
        <v>1</v>
      </c>
      <c r="AO19" s="254">
        <v>58</v>
      </c>
      <c r="AP19" s="247">
        <f t="shared" si="11"/>
        <v>87.032777777777781</v>
      </c>
      <c r="AQ19" s="256">
        <v>19.225999999999999</v>
      </c>
      <c r="AR19" s="257">
        <v>0.995</v>
      </c>
      <c r="AS19" s="257">
        <v>19.2</v>
      </c>
      <c r="AT19" s="262">
        <f t="shared" si="12"/>
        <v>0.99500000000000011</v>
      </c>
      <c r="AU19" s="258"/>
      <c r="AV19" s="258"/>
      <c r="AW19" s="247"/>
    </row>
    <row r="20" spans="3:49" ht="14.25" customHeight="1" x14ac:dyDescent="0.3">
      <c r="C20" s="279"/>
      <c r="D20" s="279"/>
      <c r="E20" s="280">
        <v>1.44</v>
      </c>
      <c r="F20" s="281"/>
      <c r="G20" s="281"/>
      <c r="H20" s="281" t="s">
        <v>266</v>
      </c>
      <c r="I20" s="282">
        <f t="shared" ref="I20:I52" si="16">IF($I$19+M20&gt;=540,$I$19+M20-540,IF($I$19+M20&gt;=180,$I$19+M20-180,$I$19+M20+180))</f>
        <v>264.89495833333331</v>
      </c>
      <c r="J20" s="283">
        <v>93</v>
      </c>
      <c r="K20" s="283">
        <v>20</v>
      </c>
      <c r="L20" s="283">
        <v>5</v>
      </c>
      <c r="M20" s="282">
        <f t="shared" si="13"/>
        <v>93.334722222222211</v>
      </c>
      <c r="N20" s="283">
        <v>93</v>
      </c>
      <c r="O20" s="283">
        <v>11</v>
      </c>
      <c r="P20" s="283">
        <v>49</v>
      </c>
      <c r="Q20" s="282">
        <f t="shared" si="14"/>
        <v>93.196944444444455</v>
      </c>
      <c r="R20" s="284">
        <v>13.188000000000001</v>
      </c>
      <c r="S20" s="284">
        <v>-0.17799999999999999</v>
      </c>
      <c r="T20" s="284">
        <v>3.1829999999999998</v>
      </c>
      <c r="U20" s="282">
        <f t="shared" si="15"/>
        <v>-0.17799999999999994</v>
      </c>
      <c r="V20" s="285">
        <f t="shared" ref="V20:V52" si="17">$V$19+T20*SIN(RADIANS(I20))</f>
        <v>535307.33662619896</v>
      </c>
      <c r="W20" s="285">
        <f t="shared" ref="W20:W52" si="18">$W$19+T20*COS(RADIANS(I20))</f>
        <v>9407738.8217704799</v>
      </c>
      <c r="X20" s="282">
        <f t="shared" ref="X20:X52" si="19">$X$19+U20</f>
        <v>106.608</v>
      </c>
      <c r="AB20" s="252"/>
      <c r="AC20" s="252"/>
      <c r="AD20" s="260">
        <v>1.44</v>
      </c>
      <c r="AE20" s="252"/>
      <c r="AF20" s="252"/>
      <c r="AG20" s="253" t="s">
        <v>309</v>
      </c>
      <c r="AH20" s="247"/>
      <c r="AI20" s="254">
        <v>149</v>
      </c>
      <c r="AJ20" s="249">
        <v>7</v>
      </c>
      <c r="AK20" s="286">
        <v>21</v>
      </c>
      <c r="AL20" s="247">
        <f t="shared" si="10"/>
        <v>149.1225</v>
      </c>
      <c r="AM20" s="255">
        <v>87</v>
      </c>
      <c r="AN20" s="249">
        <v>1</v>
      </c>
      <c r="AO20" s="254">
        <v>11</v>
      </c>
      <c r="AP20" s="247">
        <f t="shared" si="11"/>
        <v>87.019722222222228</v>
      </c>
      <c r="AQ20" s="256">
        <v>19.161000000000001</v>
      </c>
      <c r="AR20" s="257">
        <v>0.99199999999999999</v>
      </c>
      <c r="AS20" s="257">
        <v>19.135000000000002</v>
      </c>
      <c r="AT20" s="262">
        <f t="shared" si="12"/>
        <v>0.99199999999999999</v>
      </c>
      <c r="AU20" s="258"/>
      <c r="AV20" s="258"/>
      <c r="AW20" s="247"/>
    </row>
    <row r="21" spans="3:49" ht="14.25" customHeight="1" x14ac:dyDescent="0.3">
      <c r="C21" s="279"/>
      <c r="D21" s="279"/>
      <c r="E21" s="280">
        <v>1.44</v>
      </c>
      <c r="F21" s="279"/>
      <c r="G21" s="281"/>
      <c r="H21" s="281" t="s">
        <v>268</v>
      </c>
      <c r="I21" s="282">
        <f t="shared" si="16"/>
        <v>248.75551388888886</v>
      </c>
      <c r="J21" s="283">
        <v>77</v>
      </c>
      <c r="K21" s="283">
        <v>11</v>
      </c>
      <c r="L21" s="283">
        <v>43</v>
      </c>
      <c r="M21" s="282">
        <f t="shared" si="13"/>
        <v>77.195277777777775</v>
      </c>
      <c r="N21" s="283">
        <v>91</v>
      </c>
      <c r="O21" s="283">
        <v>8</v>
      </c>
      <c r="P21" s="283">
        <v>5</v>
      </c>
      <c r="Q21" s="282">
        <f t="shared" si="14"/>
        <v>91.134722222222223</v>
      </c>
      <c r="R21" s="284">
        <v>3.3220000000000001</v>
      </c>
      <c r="S21" s="284">
        <v>-6.0000000000000001E-3</v>
      </c>
      <c r="T21" s="284">
        <v>3.3210000000000002</v>
      </c>
      <c r="U21" s="282">
        <f t="shared" si="15"/>
        <v>-6.0000000000000053E-3</v>
      </c>
      <c r="V21" s="285">
        <f t="shared" si="17"/>
        <v>535307.41168604593</v>
      </c>
      <c r="W21" s="285">
        <f t="shared" si="18"/>
        <v>9407737.9016411491</v>
      </c>
      <c r="X21" s="282">
        <f t="shared" si="19"/>
        <v>106.78</v>
      </c>
      <c r="AB21" s="252"/>
      <c r="AC21" s="252"/>
      <c r="AD21" s="260">
        <v>1.44</v>
      </c>
      <c r="AE21" s="252"/>
      <c r="AF21" s="252"/>
      <c r="AG21" s="253" t="s">
        <v>310</v>
      </c>
      <c r="AH21" s="247"/>
      <c r="AI21" s="254">
        <v>154</v>
      </c>
      <c r="AJ21" s="249">
        <v>8</v>
      </c>
      <c r="AK21" s="287">
        <v>7</v>
      </c>
      <c r="AL21" s="247">
        <f t="shared" si="10"/>
        <v>154.13527777777776</v>
      </c>
      <c r="AM21" s="255">
        <v>89</v>
      </c>
      <c r="AN21" s="249">
        <v>16</v>
      </c>
      <c r="AO21" s="254">
        <v>12</v>
      </c>
      <c r="AP21" s="247">
        <f t="shared" si="11"/>
        <v>89.27</v>
      </c>
      <c r="AQ21" s="256">
        <v>35.021999999999998</v>
      </c>
      <c r="AR21" s="257">
        <v>0.44600000000000001</v>
      </c>
      <c r="AS21" s="257">
        <v>35.018999999999998</v>
      </c>
      <c r="AT21" s="262">
        <f t="shared" si="12"/>
        <v>0.44599999999999995</v>
      </c>
      <c r="AU21" s="258"/>
      <c r="AV21" s="258"/>
      <c r="AW21" s="247"/>
    </row>
    <row r="22" spans="3:49" ht="14.25" customHeight="1" x14ac:dyDescent="0.3">
      <c r="C22" s="279"/>
      <c r="D22" s="279"/>
      <c r="E22" s="280">
        <v>1.44</v>
      </c>
      <c r="F22" s="279"/>
      <c r="G22" s="279"/>
      <c r="H22" s="281" t="s">
        <v>269</v>
      </c>
      <c r="I22" s="282">
        <f t="shared" si="16"/>
        <v>243.1235694444444</v>
      </c>
      <c r="J22" s="283">
        <v>71</v>
      </c>
      <c r="K22" s="283">
        <v>33</v>
      </c>
      <c r="L22" s="283">
        <v>48</v>
      </c>
      <c r="M22" s="282">
        <f t="shared" si="13"/>
        <v>71.563333333333333</v>
      </c>
      <c r="N22" s="283">
        <v>93</v>
      </c>
      <c r="O22" s="283">
        <v>26</v>
      </c>
      <c r="P22" s="283">
        <v>11</v>
      </c>
      <c r="Q22" s="282">
        <f t="shared" si="14"/>
        <v>93.436388888888899</v>
      </c>
      <c r="R22" s="284">
        <v>5.41</v>
      </c>
      <c r="S22" s="284">
        <v>-0.32400000000000001</v>
      </c>
      <c r="T22" s="284">
        <v>5.4</v>
      </c>
      <c r="U22" s="282">
        <f t="shared" si="15"/>
        <v>-0.32400000000000007</v>
      </c>
      <c r="V22" s="285">
        <f t="shared" si="17"/>
        <v>535305.69028872368</v>
      </c>
      <c r="W22" s="285">
        <f t="shared" si="18"/>
        <v>9407736.6638337877</v>
      </c>
      <c r="X22" s="282">
        <f t="shared" si="19"/>
        <v>106.462</v>
      </c>
      <c r="AB22" s="288"/>
      <c r="AC22" s="288"/>
      <c r="AD22" s="260">
        <v>1.44</v>
      </c>
      <c r="AE22" s="288"/>
      <c r="AF22" s="252"/>
      <c r="AG22" s="253" t="s">
        <v>311</v>
      </c>
      <c r="AH22" s="289"/>
      <c r="AI22" s="286">
        <v>153</v>
      </c>
      <c r="AJ22" s="290">
        <v>32</v>
      </c>
      <c r="AK22" s="291">
        <v>35</v>
      </c>
      <c r="AL22" s="247">
        <f t="shared" si="10"/>
        <v>153.54305555555555</v>
      </c>
      <c r="AM22" s="292">
        <v>89</v>
      </c>
      <c r="AN22" s="290">
        <v>16</v>
      </c>
      <c r="AO22" s="286">
        <v>11</v>
      </c>
      <c r="AP22" s="247">
        <f t="shared" si="11"/>
        <v>89.269722222222228</v>
      </c>
      <c r="AQ22" s="293">
        <v>34.944000000000003</v>
      </c>
      <c r="AR22" s="294">
        <v>0.44500000000000001</v>
      </c>
      <c r="AS22" s="294">
        <v>34.941000000000003</v>
      </c>
      <c r="AT22" s="262">
        <f t="shared" si="12"/>
        <v>0.44500000000000006</v>
      </c>
      <c r="AU22" s="258"/>
      <c r="AV22" s="258"/>
      <c r="AW22" s="247"/>
    </row>
    <row r="23" spans="3:49" ht="14.25" customHeight="1" x14ac:dyDescent="0.3">
      <c r="C23" s="279"/>
      <c r="D23" s="279"/>
      <c r="E23" s="280">
        <v>1.44</v>
      </c>
      <c r="F23" s="279"/>
      <c r="G23" s="279"/>
      <c r="H23" s="281" t="s">
        <v>270</v>
      </c>
      <c r="I23" s="282">
        <f t="shared" si="16"/>
        <v>243.1235694444444</v>
      </c>
      <c r="J23" s="283">
        <v>71</v>
      </c>
      <c r="K23" s="283">
        <v>33</v>
      </c>
      <c r="L23" s="283">
        <v>48</v>
      </c>
      <c r="M23" s="282">
        <f t="shared" si="13"/>
        <v>71.563333333333333</v>
      </c>
      <c r="N23" s="283">
        <v>93</v>
      </c>
      <c r="O23" s="283">
        <v>26</v>
      </c>
      <c r="P23" s="283">
        <v>12</v>
      </c>
      <c r="Q23" s="282">
        <f t="shared" si="14"/>
        <v>93.436666666666667</v>
      </c>
      <c r="R23" s="284">
        <v>5.6520000000000001</v>
      </c>
      <c r="S23" s="284">
        <v>-0.33900000000000002</v>
      </c>
      <c r="T23" s="284">
        <v>5.6420000000000003</v>
      </c>
      <c r="U23" s="282">
        <f t="shared" si="15"/>
        <v>-0.33899999999999997</v>
      </c>
      <c r="V23" s="285">
        <f t="shared" si="17"/>
        <v>535305.47442869982</v>
      </c>
      <c r="W23" s="285">
        <f t="shared" si="18"/>
        <v>9407736.5544333756</v>
      </c>
      <c r="X23" s="282">
        <f t="shared" si="19"/>
        <v>106.447</v>
      </c>
      <c r="AB23" s="252"/>
      <c r="AC23" s="252"/>
      <c r="AD23" s="295"/>
      <c r="AE23" s="252"/>
      <c r="AF23" s="252"/>
      <c r="AG23" s="253"/>
      <c r="AH23" s="247"/>
      <c r="AI23" s="254"/>
      <c r="AJ23" s="249"/>
      <c r="AK23" s="254"/>
      <c r="AL23" s="247"/>
      <c r="AM23" s="255"/>
      <c r="AN23" s="249"/>
      <c r="AO23" s="254"/>
      <c r="AP23" s="247"/>
      <c r="AQ23" s="256"/>
      <c r="AR23" s="257"/>
      <c r="AS23" s="257"/>
      <c r="AT23" s="189"/>
      <c r="AU23" s="258"/>
      <c r="AV23" s="258"/>
      <c r="AW23" s="247"/>
    </row>
    <row r="24" spans="3:49" ht="14.25" customHeight="1" x14ac:dyDescent="0.3">
      <c r="C24" s="279"/>
      <c r="D24" s="279"/>
      <c r="E24" s="280">
        <v>1.44</v>
      </c>
      <c r="F24" s="281"/>
      <c r="G24" s="281"/>
      <c r="H24" s="281" t="s">
        <v>271</v>
      </c>
      <c r="I24" s="282">
        <f t="shared" si="16"/>
        <v>309.56051388888886</v>
      </c>
      <c r="J24" s="283">
        <v>138</v>
      </c>
      <c r="K24" s="283">
        <v>0</v>
      </c>
      <c r="L24" s="283">
        <v>1</v>
      </c>
      <c r="M24" s="282">
        <f t="shared" si="13"/>
        <v>138.00027777777777</v>
      </c>
      <c r="N24" s="283">
        <v>90</v>
      </c>
      <c r="O24" s="283">
        <v>32</v>
      </c>
      <c r="P24" s="283">
        <v>54</v>
      </c>
      <c r="Q24" s="282">
        <f t="shared" si="14"/>
        <v>90.548333333333332</v>
      </c>
      <c r="R24" s="284">
        <v>7.0579999999999998</v>
      </c>
      <c r="S24" s="284">
        <v>-6.8000000000000005E-2</v>
      </c>
      <c r="T24" s="284">
        <v>7.0579999999999998</v>
      </c>
      <c r="U24" s="282">
        <f t="shared" si="15"/>
        <v>-6.800000000000006E-2</v>
      </c>
      <c r="V24" s="285">
        <f t="shared" si="17"/>
        <v>535305.06561832374</v>
      </c>
      <c r="W24" s="285">
        <f t="shared" si="18"/>
        <v>9407743.6001895908</v>
      </c>
      <c r="X24" s="282">
        <f t="shared" si="19"/>
        <v>106.718</v>
      </c>
      <c r="AB24" s="252"/>
      <c r="AC24" s="252"/>
      <c r="AD24" s="295"/>
      <c r="AE24" s="253"/>
      <c r="AF24" s="253"/>
      <c r="AG24" s="253"/>
      <c r="AH24" s="247"/>
      <c r="AI24" s="254"/>
      <c r="AJ24" s="249"/>
      <c r="AK24" s="254"/>
      <c r="AL24" s="247"/>
      <c r="AM24" s="255"/>
      <c r="AN24" s="249"/>
      <c r="AO24" s="254"/>
      <c r="AP24" s="247"/>
      <c r="AQ24" s="256"/>
      <c r="AR24" s="257"/>
      <c r="AS24" s="257"/>
      <c r="AT24" s="189"/>
      <c r="AU24" s="258"/>
      <c r="AV24" s="258"/>
      <c r="AW24" s="247"/>
    </row>
    <row r="25" spans="3:49" ht="14.25" customHeight="1" x14ac:dyDescent="0.3">
      <c r="C25" s="279"/>
      <c r="D25" s="279"/>
      <c r="E25" s="280">
        <v>1.44</v>
      </c>
      <c r="F25" s="279"/>
      <c r="G25" s="279"/>
      <c r="H25" s="281" t="s">
        <v>272</v>
      </c>
      <c r="I25" s="282">
        <f t="shared" si="16"/>
        <v>304.69134722222219</v>
      </c>
      <c r="J25" s="283">
        <v>133</v>
      </c>
      <c r="K25" s="283">
        <v>7</v>
      </c>
      <c r="L25" s="283">
        <v>52</v>
      </c>
      <c r="M25" s="282">
        <f t="shared" si="13"/>
        <v>133.13111111111112</v>
      </c>
      <c r="N25" s="283">
        <v>90</v>
      </c>
      <c r="O25" s="283">
        <v>32</v>
      </c>
      <c r="P25" s="283">
        <v>53</v>
      </c>
      <c r="Q25" s="282">
        <f t="shared" si="14"/>
        <v>90.54805555555555</v>
      </c>
      <c r="R25" s="284">
        <v>8.1920000000000002</v>
      </c>
      <c r="S25" s="284">
        <v>-7.8E-2</v>
      </c>
      <c r="T25" s="284">
        <v>8.1920000000000002</v>
      </c>
      <c r="U25" s="282">
        <f t="shared" si="15"/>
        <v>-7.8000000000000069E-2</v>
      </c>
      <c r="V25" s="285">
        <f t="shared" si="17"/>
        <v>535303.77129180764</v>
      </c>
      <c r="W25" s="285">
        <f t="shared" si="18"/>
        <v>9407743.7675206866</v>
      </c>
      <c r="X25" s="282">
        <f t="shared" si="19"/>
        <v>106.708</v>
      </c>
      <c r="AB25" s="252"/>
      <c r="AC25" s="252"/>
      <c r="AD25" s="295"/>
      <c r="AE25" s="252"/>
      <c r="AF25" s="252"/>
      <c r="AG25" s="253"/>
      <c r="AH25" s="247"/>
      <c r="AI25" s="254"/>
      <c r="AJ25" s="249"/>
      <c r="AK25" s="254"/>
      <c r="AL25" s="247"/>
      <c r="AM25" s="255"/>
      <c r="AN25" s="249"/>
      <c r="AO25" s="254"/>
      <c r="AP25" s="247"/>
      <c r="AQ25" s="256"/>
      <c r="AR25" s="257"/>
      <c r="AS25" s="257"/>
      <c r="AT25" s="189"/>
      <c r="AU25" s="258"/>
      <c r="AV25" s="258"/>
      <c r="AW25" s="247"/>
    </row>
    <row r="26" spans="3:49" ht="14.25" customHeight="1" x14ac:dyDescent="0.3">
      <c r="C26" s="279"/>
      <c r="D26" s="279"/>
      <c r="E26" s="280">
        <v>1.44</v>
      </c>
      <c r="F26" s="281"/>
      <c r="G26" s="279"/>
      <c r="H26" s="281" t="s">
        <v>273</v>
      </c>
      <c r="I26" s="282">
        <f t="shared" si="16"/>
        <v>291.75801388888885</v>
      </c>
      <c r="J26" s="283">
        <v>120</v>
      </c>
      <c r="K26" s="283">
        <v>11</v>
      </c>
      <c r="L26" s="283">
        <v>52</v>
      </c>
      <c r="M26" s="282">
        <f t="shared" si="13"/>
        <v>120.19777777777779</v>
      </c>
      <c r="N26" s="283">
        <v>90</v>
      </c>
      <c r="O26" s="283">
        <v>35</v>
      </c>
      <c r="P26" s="283">
        <v>38</v>
      </c>
      <c r="Q26" s="282">
        <f t="shared" si="14"/>
        <v>90.593888888888884</v>
      </c>
      <c r="R26" s="284">
        <v>9</v>
      </c>
      <c r="S26" s="284">
        <v>-9.2999999999999999E-2</v>
      </c>
      <c r="T26" s="284">
        <v>9</v>
      </c>
      <c r="U26" s="282">
        <f t="shared" si="15"/>
        <v>-9.2999999999999972E-2</v>
      </c>
      <c r="V26" s="285">
        <f t="shared" si="17"/>
        <v>535302.14818057057</v>
      </c>
      <c r="W26" s="285">
        <f t="shared" si="18"/>
        <v>9407742.4411861077</v>
      </c>
      <c r="X26" s="282">
        <f t="shared" si="19"/>
        <v>106.693</v>
      </c>
      <c r="AB26" s="252"/>
      <c r="AC26" s="252"/>
      <c r="AD26" s="295"/>
      <c r="AE26" s="253"/>
      <c r="AF26" s="252"/>
      <c r="AG26" s="253"/>
      <c r="AH26" s="247"/>
      <c r="AI26" s="254"/>
      <c r="AJ26" s="249"/>
      <c r="AK26" s="254"/>
      <c r="AL26" s="247"/>
      <c r="AM26" s="255"/>
      <c r="AN26" s="249"/>
      <c r="AO26" s="254"/>
      <c r="AP26" s="247"/>
      <c r="AQ26" s="256"/>
      <c r="AR26" s="257"/>
      <c r="AS26" s="257"/>
      <c r="AT26" s="189"/>
      <c r="AU26" s="258"/>
      <c r="AV26" s="258"/>
      <c r="AW26" s="247"/>
    </row>
    <row r="27" spans="3:49" ht="14.25" customHeight="1" x14ac:dyDescent="0.3">
      <c r="C27" s="279"/>
      <c r="D27" s="279"/>
      <c r="E27" s="280">
        <v>1.44</v>
      </c>
      <c r="F27" s="279"/>
      <c r="G27" s="279"/>
      <c r="H27" s="281" t="s">
        <v>274</v>
      </c>
      <c r="I27" s="282">
        <f t="shared" si="16"/>
        <v>348.174125</v>
      </c>
      <c r="J27" s="283">
        <v>176</v>
      </c>
      <c r="K27" s="283">
        <v>36</v>
      </c>
      <c r="L27" s="283">
        <v>50</v>
      </c>
      <c r="M27" s="282">
        <f t="shared" si="13"/>
        <v>176.61388888888888</v>
      </c>
      <c r="N27" s="283">
        <v>90</v>
      </c>
      <c r="O27" s="283">
        <v>35</v>
      </c>
      <c r="P27" s="283">
        <v>38</v>
      </c>
      <c r="Q27" s="282">
        <f t="shared" si="14"/>
        <v>90.593888888888884</v>
      </c>
      <c r="R27" s="284">
        <v>9.3699999999999992</v>
      </c>
      <c r="S27" s="284">
        <v>-9.7000000000000003E-2</v>
      </c>
      <c r="T27" s="284">
        <v>9.3689999999999998</v>
      </c>
      <c r="U27" s="282">
        <f t="shared" si="15"/>
        <v>-9.6999999999999975E-2</v>
      </c>
      <c r="V27" s="285">
        <f t="shared" si="17"/>
        <v>535308.58693502215</v>
      </c>
      <c r="W27" s="285">
        <f t="shared" si="18"/>
        <v>9407748.2751423921</v>
      </c>
      <c r="X27" s="282">
        <f t="shared" si="19"/>
        <v>106.68900000000001</v>
      </c>
      <c r="AB27" s="252"/>
      <c r="AC27" s="252"/>
      <c r="AD27" s="295"/>
      <c r="AE27" s="252"/>
      <c r="AF27" s="252"/>
      <c r="AG27" s="253"/>
      <c r="AH27" s="247"/>
      <c r="AI27" s="254"/>
      <c r="AJ27" s="249"/>
      <c r="AK27" s="254"/>
      <c r="AL27" s="247"/>
      <c r="AM27" s="255"/>
      <c r="AN27" s="249"/>
      <c r="AO27" s="254"/>
      <c r="AP27" s="247"/>
      <c r="AQ27" s="256"/>
      <c r="AR27" s="257"/>
      <c r="AS27" s="257"/>
      <c r="AT27" s="189"/>
      <c r="AU27" s="258"/>
      <c r="AV27" s="258"/>
      <c r="AW27" s="247"/>
    </row>
    <row r="28" spans="3:49" ht="14.25" customHeight="1" x14ac:dyDescent="0.3">
      <c r="C28" s="279"/>
      <c r="D28" s="279"/>
      <c r="E28" s="280">
        <v>1.44</v>
      </c>
      <c r="F28" s="279"/>
      <c r="G28" s="279"/>
      <c r="H28" s="281" t="s">
        <v>277</v>
      </c>
      <c r="I28" s="282">
        <f t="shared" si="16"/>
        <v>343.09968055555555</v>
      </c>
      <c r="J28" s="283">
        <v>170</v>
      </c>
      <c r="K28" s="283">
        <v>92</v>
      </c>
      <c r="L28" s="283">
        <v>22</v>
      </c>
      <c r="M28" s="282">
        <f t="shared" si="13"/>
        <v>171.53944444444446</v>
      </c>
      <c r="N28" s="283">
        <v>92</v>
      </c>
      <c r="O28" s="283">
        <v>38</v>
      </c>
      <c r="P28" s="283">
        <v>9</v>
      </c>
      <c r="Q28" s="282">
        <f t="shared" si="14"/>
        <v>92.635833333333338</v>
      </c>
      <c r="R28" s="284">
        <v>12.683</v>
      </c>
      <c r="S28" s="284">
        <v>-0.56299999999999994</v>
      </c>
      <c r="T28" s="284">
        <v>12.67</v>
      </c>
      <c r="U28" s="282">
        <f t="shared" si="15"/>
        <v>-0.56299999999999994</v>
      </c>
      <c r="V28" s="285">
        <f t="shared" si="17"/>
        <v>535306.82373561803</v>
      </c>
      <c r="W28" s="285">
        <f t="shared" si="18"/>
        <v>9407751.2278075758</v>
      </c>
      <c r="X28" s="282">
        <f t="shared" si="19"/>
        <v>106.223</v>
      </c>
      <c r="AB28" s="252"/>
      <c r="AC28" s="252"/>
      <c r="AD28" s="295"/>
      <c r="AE28" s="252"/>
      <c r="AF28" s="252"/>
      <c r="AG28" s="253"/>
      <c r="AH28" s="247"/>
      <c r="AI28" s="254"/>
      <c r="AJ28" s="249"/>
      <c r="AK28" s="254"/>
      <c r="AL28" s="247"/>
      <c r="AM28" s="255"/>
      <c r="AN28" s="249"/>
      <c r="AO28" s="254"/>
      <c r="AP28" s="247"/>
      <c r="AQ28" s="256"/>
      <c r="AR28" s="257"/>
      <c r="AS28" s="257"/>
      <c r="AT28" s="189"/>
      <c r="AU28" s="258"/>
      <c r="AV28" s="258"/>
      <c r="AW28" s="247"/>
    </row>
    <row r="29" spans="3:49" ht="14.25" customHeight="1" x14ac:dyDescent="0.3">
      <c r="C29" s="279"/>
      <c r="D29" s="279"/>
      <c r="E29" s="280">
        <v>1.44</v>
      </c>
      <c r="F29" s="279"/>
      <c r="G29" s="279"/>
      <c r="H29" s="281" t="s">
        <v>279</v>
      </c>
      <c r="I29" s="282">
        <f t="shared" si="16"/>
        <v>241.28495833333329</v>
      </c>
      <c r="J29" s="283">
        <v>69</v>
      </c>
      <c r="K29" s="283">
        <v>43</v>
      </c>
      <c r="L29" s="283">
        <v>29</v>
      </c>
      <c r="M29" s="282">
        <f t="shared" si="13"/>
        <v>69.724722222222226</v>
      </c>
      <c r="N29" s="283">
        <v>92</v>
      </c>
      <c r="O29" s="283">
        <v>39</v>
      </c>
      <c r="P29" s="283">
        <v>16</v>
      </c>
      <c r="Q29" s="282">
        <f t="shared" si="14"/>
        <v>92.654444444444451</v>
      </c>
      <c r="R29" s="284">
        <v>14.119</v>
      </c>
      <c r="S29" s="284">
        <v>-0.65400000000000003</v>
      </c>
      <c r="T29" s="284">
        <v>14.103999999999999</v>
      </c>
      <c r="U29" s="282">
        <f t="shared" si="15"/>
        <v>-0.65400000000000003</v>
      </c>
      <c r="V29" s="285">
        <f t="shared" si="17"/>
        <v>535298.13750904507</v>
      </c>
      <c r="W29" s="285">
        <f t="shared" si="18"/>
        <v>9407732.3286802378</v>
      </c>
      <c r="X29" s="282">
        <f t="shared" si="19"/>
        <v>106.13200000000001</v>
      </c>
      <c r="AB29" s="253"/>
      <c r="AC29" s="253"/>
      <c r="AD29" s="295"/>
      <c r="AE29" s="253"/>
      <c r="AF29" s="252"/>
      <c r="AG29" s="253"/>
      <c r="AH29" s="247"/>
      <c r="AI29" s="254"/>
      <c r="AJ29" s="249"/>
      <c r="AK29" s="254"/>
      <c r="AL29" s="247"/>
      <c r="AM29" s="255"/>
      <c r="AN29" s="249"/>
      <c r="AO29" s="254"/>
      <c r="AP29" s="247"/>
      <c r="AQ29" s="256"/>
      <c r="AR29" s="257"/>
      <c r="AS29" s="257"/>
      <c r="AT29" s="189"/>
      <c r="AU29" s="258"/>
      <c r="AV29" s="258"/>
      <c r="AW29" s="247"/>
    </row>
    <row r="30" spans="3:49" ht="14.25" customHeight="1" x14ac:dyDescent="0.3">
      <c r="C30" s="279"/>
      <c r="D30" s="279"/>
      <c r="E30" s="280">
        <v>1.44</v>
      </c>
      <c r="F30" s="279"/>
      <c r="G30" s="279"/>
      <c r="H30" s="281" t="s">
        <v>281</v>
      </c>
      <c r="I30" s="282">
        <f t="shared" si="16"/>
        <v>240.10218055555549</v>
      </c>
      <c r="J30" s="283">
        <v>68</v>
      </c>
      <c r="K30" s="283">
        <v>32</v>
      </c>
      <c r="L30" s="283">
        <v>31</v>
      </c>
      <c r="M30" s="282">
        <f t="shared" si="13"/>
        <v>68.541944444444439</v>
      </c>
      <c r="N30" s="283">
        <v>92</v>
      </c>
      <c r="O30" s="283">
        <v>39</v>
      </c>
      <c r="P30" s="283">
        <v>17</v>
      </c>
      <c r="Q30" s="282">
        <f t="shared" si="14"/>
        <v>92.654722222222233</v>
      </c>
      <c r="R30" s="284">
        <v>20.984000000000002</v>
      </c>
      <c r="S30" s="284">
        <v>-0.97199999999999998</v>
      </c>
      <c r="T30" s="284">
        <v>20.960999999999999</v>
      </c>
      <c r="U30" s="282">
        <f t="shared" si="15"/>
        <v>-0.97199999999999998</v>
      </c>
      <c r="V30" s="285">
        <f t="shared" si="17"/>
        <v>535292.33557959949</v>
      </c>
      <c r="W30" s="285">
        <f t="shared" si="18"/>
        <v>9407728.6568900459</v>
      </c>
      <c r="X30" s="282">
        <f t="shared" si="19"/>
        <v>105.81400000000001</v>
      </c>
      <c r="AB30" s="252"/>
      <c r="AC30" s="252"/>
      <c r="AD30" s="295"/>
      <c r="AE30" s="252"/>
      <c r="AF30" s="252"/>
      <c r="AG30" s="253"/>
      <c r="AH30" s="247"/>
      <c r="AI30" s="254"/>
      <c r="AJ30" s="249"/>
      <c r="AK30" s="254"/>
      <c r="AL30" s="247"/>
      <c r="AM30" s="255"/>
      <c r="AN30" s="249"/>
      <c r="AO30" s="254"/>
      <c r="AP30" s="247"/>
      <c r="AQ30" s="256"/>
      <c r="AR30" s="257"/>
      <c r="AS30" s="257"/>
      <c r="AT30" s="189"/>
      <c r="AU30" s="258"/>
      <c r="AV30" s="258"/>
      <c r="AW30" s="247"/>
    </row>
    <row r="31" spans="3:49" ht="14.25" customHeight="1" x14ac:dyDescent="0.3">
      <c r="C31" s="279"/>
      <c r="D31" s="279"/>
      <c r="E31" s="280">
        <v>1.44</v>
      </c>
      <c r="F31" s="279"/>
      <c r="G31" s="279"/>
      <c r="H31" s="281" t="s">
        <v>283</v>
      </c>
      <c r="I31" s="282">
        <f t="shared" si="16"/>
        <v>240.32801388888885</v>
      </c>
      <c r="J31" s="283">
        <v>68</v>
      </c>
      <c r="K31" s="283">
        <v>46</v>
      </c>
      <c r="L31" s="283">
        <v>4</v>
      </c>
      <c r="M31" s="282">
        <f t="shared" si="13"/>
        <v>68.767777777777781</v>
      </c>
      <c r="N31" s="283">
        <v>92</v>
      </c>
      <c r="O31" s="283">
        <v>39</v>
      </c>
      <c r="P31" s="283">
        <v>14</v>
      </c>
      <c r="Q31" s="282">
        <f t="shared" si="14"/>
        <v>92.653888888888901</v>
      </c>
      <c r="R31" s="284">
        <v>23.422999999999998</v>
      </c>
      <c r="S31" s="284">
        <v>-1.085</v>
      </c>
      <c r="T31" s="284">
        <v>23.408000000000001</v>
      </c>
      <c r="U31" s="282">
        <f t="shared" si="15"/>
        <v>-1.085</v>
      </c>
      <c r="V31" s="285">
        <f t="shared" si="17"/>
        <v>535290.1684054255</v>
      </c>
      <c r="W31" s="285">
        <f t="shared" si="18"/>
        <v>9407727.5172463469</v>
      </c>
      <c r="X31" s="282">
        <f t="shared" si="19"/>
        <v>105.70100000000001</v>
      </c>
      <c r="AB31" s="252"/>
      <c r="AC31" s="252"/>
      <c r="AD31" s="295"/>
      <c r="AE31" s="252"/>
      <c r="AF31" s="252"/>
      <c r="AG31" s="253"/>
      <c r="AH31" s="247"/>
      <c r="AI31" s="254"/>
      <c r="AJ31" s="249"/>
      <c r="AK31" s="254"/>
      <c r="AL31" s="247"/>
      <c r="AM31" s="255"/>
      <c r="AN31" s="249"/>
      <c r="AO31" s="254"/>
      <c r="AP31" s="247"/>
      <c r="AQ31" s="256"/>
      <c r="AR31" s="257"/>
      <c r="AS31" s="257"/>
      <c r="AT31" s="189"/>
      <c r="AU31" s="258"/>
      <c r="AV31" s="258"/>
      <c r="AW31" s="247"/>
    </row>
    <row r="32" spans="3:49" ht="14.25" customHeight="1" x14ac:dyDescent="0.3">
      <c r="C32" s="279"/>
      <c r="D32" s="279"/>
      <c r="E32" s="280">
        <v>1.44</v>
      </c>
      <c r="F32" s="279"/>
      <c r="G32" s="279"/>
      <c r="H32" s="281" t="s">
        <v>370</v>
      </c>
      <c r="I32" s="282">
        <f t="shared" si="16"/>
        <v>47.373569444444456</v>
      </c>
      <c r="J32" s="283">
        <v>235</v>
      </c>
      <c r="K32" s="283">
        <v>48</v>
      </c>
      <c r="L32" s="283">
        <v>48</v>
      </c>
      <c r="M32" s="282">
        <f t="shared" si="13"/>
        <v>235.81333333333333</v>
      </c>
      <c r="N32" s="283">
        <v>90</v>
      </c>
      <c r="O32" s="283">
        <v>28</v>
      </c>
      <c r="P32" s="283">
        <v>18</v>
      </c>
      <c r="Q32" s="282">
        <f t="shared" si="14"/>
        <v>90.471666666666664</v>
      </c>
      <c r="R32" s="284">
        <v>9.3550000000000004</v>
      </c>
      <c r="S32" s="284">
        <v>-7.6999999999999999E-2</v>
      </c>
      <c r="T32" s="284">
        <v>9.3550000000000004</v>
      </c>
      <c r="U32" s="282">
        <f t="shared" si="15"/>
        <v>-7.6999999999999957E-2</v>
      </c>
      <c r="V32" s="285">
        <f t="shared" si="17"/>
        <v>535317.39026648388</v>
      </c>
      <c r="W32" s="285">
        <f t="shared" si="18"/>
        <v>9407745.4403506238</v>
      </c>
      <c r="X32" s="282">
        <f t="shared" si="19"/>
        <v>106.709</v>
      </c>
      <c r="AB32" s="252"/>
      <c r="AC32" s="252"/>
      <c r="AD32" s="295"/>
      <c r="AE32" s="252"/>
      <c r="AF32" s="252"/>
      <c r="AG32" s="253"/>
      <c r="AH32" s="247"/>
      <c r="AI32" s="254"/>
      <c r="AJ32" s="249"/>
      <c r="AK32" s="254"/>
      <c r="AL32" s="247"/>
      <c r="AM32" s="255"/>
      <c r="AN32" s="249"/>
      <c r="AO32" s="254"/>
      <c r="AP32" s="247"/>
      <c r="AQ32" s="256"/>
      <c r="AR32" s="257"/>
      <c r="AS32" s="257"/>
      <c r="AT32" s="189"/>
      <c r="AU32" s="258"/>
      <c r="AV32" s="258"/>
      <c r="AW32" s="247"/>
    </row>
    <row r="33" spans="3:49" ht="14.25" customHeight="1" x14ac:dyDescent="0.3">
      <c r="C33" s="279"/>
      <c r="D33" s="279"/>
      <c r="E33" s="280">
        <v>1.44</v>
      </c>
      <c r="F33" s="279"/>
      <c r="G33" s="279"/>
      <c r="H33" s="281" t="s">
        <v>371</v>
      </c>
      <c r="I33" s="282">
        <f t="shared" si="16"/>
        <v>22.820791666666651</v>
      </c>
      <c r="J33" s="283">
        <v>211</v>
      </c>
      <c r="K33" s="283">
        <v>15</v>
      </c>
      <c r="L33" s="283">
        <v>38</v>
      </c>
      <c r="M33" s="282">
        <f t="shared" si="13"/>
        <v>211.26055555555556</v>
      </c>
      <c r="N33" s="283">
        <v>89</v>
      </c>
      <c r="O33" s="283">
        <v>51</v>
      </c>
      <c r="P33" s="283">
        <v>8</v>
      </c>
      <c r="Q33" s="282">
        <f t="shared" si="14"/>
        <v>89.85222222222221</v>
      </c>
      <c r="R33" s="284">
        <v>11.833</v>
      </c>
      <c r="S33" s="284">
        <v>0.03</v>
      </c>
      <c r="T33" s="284">
        <v>11.832000000000001</v>
      </c>
      <c r="U33" s="282">
        <f t="shared" si="15"/>
        <v>3.0000000000000027E-2</v>
      </c>
      <c r="V33" s="285">
        <f t="shared" si="17"/>
        <v>535315.0960422582</v>
      </c>
      <c r="W33" s="285">
        <f t="shared" si="18"/>
        <v>9407750.0108202416</v>
      </c>
      <c r="X33" s="282">
        <f t="shared" si="19"/>
        <v>106.816</v>
      </c>
      <c r="AB33" s="252"/>
      <c r="AC33" s="252"/>
      <c r="AD33" s="295"/>
      <c r="AE33" s="252"/>
      <c r="AF33" s="252"/>
      <c r="AG33" s="253"/>
      <c r="AH33" s="247"/>
      <c r="AI33" s="254"/>
      <c r="AJ33" s="249"/>
      <c r="AK33" s="254"/>
      <c r="AL33" s="247"/>
      <c r="AM33" s="255"/>
      <c r="AN33" s="249"/>
      <c r="AO33" s="254"/>
      <c r="AP33" s="247"/>
      <c r="AQ33" s="256"/>
      <c r="AR33" s="257"/>
      <c r="AS33" s="257"/>
      <c r="AT33" s="189"/>
      <c r="AU33" s="258"/>
      <c r="AV33" s="258"/>
      <c r="AW33" s="247"/>
    </row>
    <row r="34" spans="3:49" ht="14.25" customHeight="1" x14ac:dyDescent="0.3">
      <c r="C34" s="279"/>
      <c r="D34" s="279"/>
      <c r="E34" s="280">
        <v>1.44</v>
      </c>
      <c r="F34" s="279"/>
      <c r="G34" s="279"/>
      <c r="H34" s="281" t="s">
        <v>372</v>
      </c>
      <c r="I34" s="282">
        <f t="shared" si="16"/>
        <v>16.827458333333311</v>
      </c>
      <c r="J34" s="283">
        <v>205</v>
      </c>
      <c r="K34" s="283">
        <v>16</v>
      </c>
      <c r="L34" s="283">
        <v>2</v>
      </c>
      <c r="M34" s="282">
        <f t="shared" si="13"/>
        <v>205.26722222222224</v>
      </c>
      <c r="N34" s="283">
        <v>89</v>
      </c>
      <c r="O34" s="283">
        <v>51</v>
      </c>
      <c r="P34" s="283">
        <v>12</v>
      </c>
      <c r="Q34" s="282">
        <f t="shared" si="14"/>
        <v>89.853333333333325</v>
      </c>
      <c r="R34" s="284">
        <v>14.882</v>
      </c>
      <c r="S34" s="284">
        <v>3.7999999999999999E-2</v>
      </c>
      <c r="T34" s="284">
        <v>14.882</v>
      </c>
      <c r="U34" s="282">
        <f t="shared" si="15"/>
        <v>3.8000000000000034E-2</v>
      </c>
      <c r="V34" s="285">
        <f t="shared" si="17"/>
        <v>535314.81519833428</v>
      </c>
      <c r="W34" s="285">
        <f t="shared" si="18"/>
        <v>9407753.3497657441</v>
      </c>
      <c r="X34" s="282">
        <f t="shared" si="19"/>
        <v>106.824</v>
      </c>
      <c r="AB34" s="252"/>
      <c r="AC34" s="252"/>
      <c r="AD34" s="295"/>
      <c r="AE34" s="252"/>
      <c r="AF34" s="252"/>
      <c r="AG34" s="253"/>
      <c r="AH34" s="247"/>
      <c r="AI34" s="254"/>
      <c r="AJ34" s="249"/>
      <c r="AK34" s="254"/>
      <c r="AL34" s="247"/>
      <c r="AM34" s="255"/>
      <c r="AN34" s="249"/>
      <c r="AO34" s="254"/>
      <c r="AP34" s="247"/>
      <c r="AQ34" s="256"/>
      <c r="AR34" s="257"/>
      <c r="AS34" s="257"/>
      <c r="AT34" s="189"/>
      <c r="AU34" s="258"/>
      <c r="AV34" s="258"/>
      <c r="AW34" s="247"/>
    </row>
    <row r="35" spans="3:49" ht="14.25" customHeight="1" x14ac:dyDescent="0.3">
      <c r="C35" s="279"/>
      <c r="D35" s="279"/>
      <c r="E35" s="280">
        <v>1.44</v>
      </c>
      <c r="F35" s="279"/>
      <c r="G35" s="279"/>
      <c r="H35" s="281" t="s">
        <v>373</v>
      </c>
      <c r="I35" s="282">
        <f t="shared" si="16"/>
        <v>55.488291666666555</v>
      </c>
      <c r="J35" s="283">
        <v>243</v>
      </c>
      <c r="K35" s="283">
        <v>55</v>
      </c>
      <c r="L35" s="283">
        <v>41</v>
      </c>
      <c r="M35" s="282">
        <f t="shared" si="13"/>
        <v>243.92805555555555</v>
      </c>
      <c r="N35" s="283">
        <v>89</v>
      </c>
      <c r="O35" s="283">
        <v>51</v>
      </c>
      <c r="P35" s="283">
        <v>25</v>
      </c>
      <c r="Q35" s="282">
        <f t="shared" si="14"/>
        <v>89.856944444444437</v>
      </c>
      <c r="R35" s="284">
        <v>14.362</v>
      </c>
      <c r="S35" s="284">
        <v>3.5999999999999997E-2</v>
      </c>
      <c r="T35" s="284">
        <v>14.302</v>
      </c>
      <c r="U35" s="282">
        <f t="shared" si="15"/>
        <v>3.6000000000000032E-2</v>
      </c>
      <c r="V35" s="285">
        <f t="shared" si="17"/>
        <v>535322.29199712526</v>
      </c>
      <c r="W35" s="285">
        <f t="shared" si="18"/>
        <v>9407747.2081504222</v>
      </c>
      <c r="X35" s="282">
        <f t="shared" si="19"/>
        <v>106.822</v>
      </c>
      <c r="AB35" s="252"/>
      <c r="AC35" s="252"/>
      <c r="AD35" s="295"/>
      <c r="AE35" s="252"/>
      <c r="AF35" s="252"/>
      <c r="AG35" s="253"/>
      <c r="AH35" s="247"/>
      <c r="AI35" s="254"/>
      <c r="AJ35" s="249"/>
      <c r="AK35" s="254"/>
      <c r="AL35" s="247"/>
      <c r="AM35" s="255"/>
      <c r="AN35" s="249"/>
      <c r="AO35" s="254"/>
      <c r="AP35" s="247"/>
      <c r="AQ35" s="256"/>
      <c r="AR35" s="257"/>
      <c r="AS35" s="257"/>
      <c r="AT35" s="189"/>
      <c r="AU35" s="258"/>
      <c r="AV35" s="258"/>
      <c r="AW35" s="247"/>
    </row>
    <row r="36" spans="3:49" ht="14.25" customHeight="1" x14ac:dyDescent="0.3">
      <c r="C36" s="279"/>
      <c r="D36" s="279"/>
      <c r="E36" s="280">
        <v>1.44</v>
      </c>
      <c r="F36" s="279"/>
      <c r="G36" s="279"/>
      <c r="H36" s="281" t="s">
        <v>374</v>
      </c>
      <c r="I36" s="282">
        <f t="shared" si="16"/>
        <v>55.948013888888795</v>
      </c>
      <c r="J36" s="283">
        <v>244</v>
      </c>
      <c r="K36" s="283">
        <v>23</v>
      </c>
      <c r="L36" s="283">
        <v>16</v>
      </c>
      <c r="M36" s="282">
        <f t="shared" si="13"/>
        <v>244.38777777777776</v>
      </c>
      <c r="N36" s="283">
        <v>89</v>
      </c>
      <c r="O36" s="283">
        <v>17</v>
      </c>
      <c r="P36" s="283">
        <v>25</v>
      </c>
      <c r="Q36" s="282">
        <f t="shared" si="14"/>
        <v>89.290277777777774</v>
      </c>
      <c r="R36" s="284">
        <v>14.451000000000001</v>
      </c>
      <c r="S36" s="284">
        <v>0.17899999999999999</v>
      </c>
      <c r="T36" s="284">
        <v>14.45</v>
      </c>
      <c r="U36" s="282">
        <f t="shared" si="15"/>
        <v>0.17900000000000005</v>
      </c>
      <c r="V36" s="285">
        <f t="shared" si="17"/>
        <v>535322.47925647045</v>
      </c>
      <c r="W36" s="285">
        <f t="shared" si="18"/>
        <v>9407747.1962035578</v>
      </c>
      <c r="X36" s="282">
        <f t="shared" si="19"/>
        <v>106.965</v>
      </c>
      <c r="AB36" s="252"/>
      <c r="AC36" s="252"/>
      <c r="AD36" s="295"/>
      <c r="AE36" s="252"/>
      <c r="AF36" s="252"/>
      <c r="AG36" s="253"/>
      <c r="AH36" s="247"/>
      <c r="AI36" s="254"/>
      <c r="AJ36" s="249"/>
      <c r="AK36" s="254"/>
      <c r="AL36" s="247"/>
      <c r="AM36" s="255"/>
      <c r="AN36" s="249"/>
      <c r="AO36" s="254"/>
      <c r="AP36" s="247"/>
      <c r="AQ36" s="256"/>
      <c r="AR36" s="257"/>
      <c r="AS36" s="257"/>
      <c r="AT36" s="189"/>
      <c r="AU36" s="258"/>
      <c r="AV36" s="258"/>
      <c r="AW36" s="247"/>
    </row>
    <row r="37" spans="3:49" ht="14.25" customHeight="1" x14ac:dyDescent="0.3">
      <c r="C37" s="279"/>
      <c r="D37" s="279"/>
      <c r="E37" s="280">
        <v>1.44</v>
      </c>
      <c r="F37" s="279"/>
      <c r="G37" s="279"/>
      <c r="H37" s="281" t="s">
        <v>375</v>
      </c>
      <c r="I37" s="282">
        <f t="shared" si="16"/>
        <v>57.533569444444424</v>
      </c>
      <c r="J37" s="283">
        <v>245</v>
      </c>
      <c r="K37" s="283">
        <v>58</v>
      </c>
      <c r="L37" s="283">
        <v>24</v>
      </c>
      <c r="M37" s="282">
        <f t="shared" si="13"/>
        <v>245.97333333333333</v>
      </c>
      <c r="N37" s="283">
        <v>89</v>
      </c>
      <c r="O37" s="283">
        <v>16</v>
      </c>
      <c r="P37" s="283">
        <v>1</v>
      </c>
      <c r="Q37" s="282">
        <f t="shared" si="14"/>
        <v>89.266944444444448</v>
      </c>
      <c r="R37" s="284">
        <v>14.943</v>
      </c>
      <c r="S37" s="284">
        <v>0.191</v>
      </c>
      <c r="T37" s="284">
        <v>14.942</v>
      </c>
      <c r="U37" s="282">
        <f t="shared" si="15"/>
        <v>0.19100000000000006</v>
      </c>
      <c r="V37" s="285">
        <f t="shared" si="17"/>
        <v>535323.11365659768</v>
      </c>
      <c r="W37" s="285">
        <f t="shared" si="18"/>
        <v>9407747.1259459183</v>
      </c>
      <c r="X37" s="282">
        <f t="shared" si="19"/>
        <v>106.977</v>
      </c>
      <c r="AB37" s="252"/>
      <c r="AC37" s="252"/>
      <c r="AD37" s="295"/>
      <c r="AE37" s="252"/>
      <c r="AF37" s="252"/>
      <c r="AG37" s="253"/>
      <c r="AH37" s="247"/>
      <c r="AI37" s="254"/>
      <c r="AJ37" s="249"/>
      <c r="AK37" s="254"/>
      <c r="AL37" s="247"/>
      <c r="AM37" s="255"/>
      <c r="AN37" s="249"/>
      <c r="AO37" s="254"/>
      <c r="AP37" s="247"/>
      <c r="AQ37" s="256"/>
      <c r="AR37" s="257"/>
      <c r="AS37" s="257"/>
      <c r="AT37" s="189"/>
      <c r="AU37" s="258"/>
      <c r="AV37" s="258"/>
      <c r="AW37" s="247"/>
    </row>
    <row r="38" spans="3:49" ht="14.25" customHeight="1" x14ac:dyDescent="0.3">
      <c r="C38" s="279"/>
      <c r="D38" s="279"/>
      <c r="E38" s="280">
        <v>1.44</v>
      </c>
      <c r="F38" s="279"/>
      <c r="G38" s="279"/>
      <c r="H38" s="281" t="s">
        <v>376</v>
      </c>
      <c r="I38" s="282">
        <f t="shared" si="16"/>
        <v>57.678569444444406</v>
      </c>
      <c r="J38" s="283">
        <v>246</v>
      </c>
      <c r="K38" s="283">
        <v>7</v>
      </c>
      <c r="L38" s="283">
        <v>6</v>
      </c>
      <c r="M38" s="282">
        <f t="shared" si="13"/>
        <v>246.11833333333334</v>
      </c>
      <c r="N38" s="283">
        <v>88</v>
      </c>
      <c r="O38" s="283">
        <v>29</v>
      </c>
      <c r="P38" s="283">
        <v>3</v>
      </c>
      <c r="Q38" s="282">
        <f t="shared" si="14"/>
        <v>88.484166666666667</v>
      </c>
      <c r="R38" s="284">
        <v>14.957000000000001</v>
      </c>
      <c r="S38" s="284">
        <v>0.39600000000000002</v>
      </c>
      <c r="T38" s="284">
        <v>14.952</v>
      </c>
      <c r="U38" s="282">
        <f t="shared" si="15"/>
        <v>0.39599999999999991</v>
      </c>
      <c r="V38" s="285">
        <f t="shared" si="17"/>
        <v>535323.1423656526</v>
      </c>
      <c r="W38" s="285">
        <f t="shared" si="18"/>
        <v>9407747.0993629415</v>
      </c>
      <c r="X38" s="282">
        <f t="shared" si="19"/>
        <v>107.182</v>
      </c>
      <c r="AB38" s="252"/>
      <c r="AC38" s="252"/>
      <c r="AD38" s="295"/>
      <c r="AE38" s="252"/>
      <c r="AF38" s="252"/>
      <c r="AG38" s="253"/>
      <c r="AH38" s="247"/>
      <c r="AI38" s="254"/>
      <c r="AJ38" s="249"/>
      <c r="AK38" s="254"/>
      <c r="AL38" s="247"/>
      <c r="AM38" s="255"/>
      <c r="AN38" s="249"/>
      <c r="AO38" s="254"/>
      <c r="AP38" s="247"/>
      <c r="AQ38" s="256"/>
      <c r="AR38" s="257"/>
      <c r="AS38" s="257"/>
      <c r="AT38" s="189"/>
      <c r="AU38" s="258"/>
      <c r="AV38" s="258"/>
      <c r="AW38" s="247"/>
    </row>
    <row r="39" spans="3:49" ht="14.25" customHeight="1" x14ac:dyDescent="0.3">
      <c r="C39" s="279"/>
      <c r="D39" s="279"/>
      <c r="E39" s="280">
        <v>1.44</v>
      </c>
      <c r="F39" s="279"/>
      <c r="G39" s="279"/>
      <c r="H39" s="281" t="s">
        <v>390</v>
      </c>
      <c r="I39" s="282">
        <f t="shared" si="16"/>
        <v>106.13495833333332</v>
      </c>
      <c r="J39" s="283">
        <v>293</v>
      </c>
      <c r="K39" s="283">
        <v>94</v>
      </c>
      <c r="L39" s="283">
        <v>29</v>
      </c>
      <c r="M39" s="282">
        <f t="shared" si="13"/>
        <v>294.57472222222219</v>
      </c>
      <c r="N39" s="283">
        <v>91</v>
      </c>
      <c r="O39" s="283">
        <v>41</v>
      </c>
      <c r="P39" s="283">
        <v>51</v>
      </c>
      <c r="Q39" s="282">
        <f t="shared" si="14"/>
        <v>91.697500000000005</v>
      </c>
      <c r="R39" s="284">
        <v>20.762</v>
      </c>
      <c r="S39" s="284">
        <v>-0.61499999999999999</v>
      </c>
      <c r="T39" s="284">
        <v>20.753</v>
      </c>
      <c r="U39" s="282">
        <f t="shared" si="15"/>
        <v>-0.61499999999999999</v>
      </c>
      <c r="V39" s="285">
        <f t="shared" si="17"/>
        <v>535330.44253466313</v>
      </c>
      <c r="W39" s="285">
        <f t="shared" si="18"/>
        <v>9407733.3377244994</v>
      </c>
      <c r="X39" s="282">
        <f t="shared" si="19"/>
        <v>106.17100000000001</v>
      </c>
      <c r="AB39" s="252"/>
      <c r="AC39" s="252"/>
      <c r="AD39" s="295"/>
      <c r="AE39" s="252"/>
      <c r="AF39" s="252"/>
      <c r="AG39" s="253"/>
      <c r="AH39" s="247"/>
      <c r="AI39" s="254"/>
      <c r="AJ39" s="249"/>
      <c r="AK39" s="254"/>
      <c r="AL39" s="247"/>
      <c r="AM39" s="255"/>
      <c r="AN39" s="249"/>
      <c r="AO39" s="254"/>
      <c r="AP39" s="247"/>
      <c r="AQ39" s="256"/>
      <c r="AR39" s="257"/>
      <c r="AS39" s="257"/>
      <c r="AT39" s="189"/>
      <c r="AU39" s="258"/>
      <c r="AV39" s="258"/>
      <c r="AW39" s="247"/>
    </row>
    <row r="40" spans="3:49" ht="14.25" customHeight="1" x14ac:dyDescent="0.3">
      <c r="C40" s="279"/>
      <c r="D40" s="279"/>
      <c r="E40" s="280">
        <v>1.44</v>
      </c>
      <c r="F40" s="279"/>
      <c r="G40" s="279"/>
      <c r="H40" s="281" t="s">
        <v>391</v>
      </c>
      <c r="I40" s="282">
        <f t="shared" si="16"/>
        <v>104.42356944444441</v>
      </c>
      <c r="J40" s="283">
        <v>292</v>
      </c>
      <c r="K40" s="283">
        <v>51</v>
      </c>
      <c r="L40" s="283">
        <v>48</v>
      </c>
      <c r="M40" s="282">
        <f t="shared" si="13"/>
        <v>292.86333333333334</v>
      </c>
      <c r="N40" s="283">
        <v>91</v>
      </c>
      <c r="O40" s="283">
        <v>91</v>
      </c>
      <c r="P40" s="283">
        <v>51</v>
      </c>
      <c r="Q40" s="282">
        <f t="shared" si="14"/>
        <v>92.530833333333334</v>
      </c>
      <c r="R40" s="284">
        <v>20.768999999999998</v>
      </c>
      <c r="S40" s="284">
        <v>-1.6E-2</v>
      </c>
      <c r="T40" s="284">
        <v>20.76</v>
      </c>
      <c r="U40" s="282">
        <f t="shared" si="15"/>
        <v>-1.6000000000000014E-2</v>
      </c>
      <c r="V40" s="285">
        <f t="shared" si="17"/>
        <v>535330.61266093072</v>
      </c>
      <c r="W40" s="285">
        <f t="shared" si="18"/>
        <v>9407733.9339267518</v>
      </c>
      <c r="X40" s="282">
        <f t="shared" si="19"/>
        <v>106.77</v>
      </c>
      <c r="AB40" s="252"/>
      <c r="AC40" s="252"/>
      <c r="AD40" s="295"/>
      <c r="AE40" s="252"/>
      <c r="AF40" s="252"/>
      <c r="AG40" s="253"/>
      <c r="AH40" s="247"/>
      <c r="AI40" s="254"/>
      <c r="AJ40" s="249"/>
      <c r="AK40" s="254"/>
      <c r="AL40" s="247"/>
      <c r="AM40" s="255"/>
      <c r="AN40" s="249"/>
      <c r="AO40" s="254"/>
      <c r="AP40" s="247"/>
      <c r="AQ40" s="256"/>
      <c r="AR40" s="257"/>
      <c r="AS40" s="257"/>
      <c r="AT40" s="189"/>
      <c r="AU40" s="258"/>
      <c r="AV40" s="258"/>
      <c r="AW40" s="247"/>
    </row>
    <row r="41" spans="3:49" ht="14.25" customHeight="1" x14ac:dyDescent="0.3">
      <c r="C41" s="279"/>
      <c r="D41" s="279"/>
      <c r="E41" s="280">
        <v>1.44</v>
      </c>
      <c r="F41" s="279"/>
      <c r="G41" s="279"/>
      <c r="H41" s="281" t="s">
        <v>392</v>
      </c>
      <c r="I41" s="282">
        <f t="shared" si="16"/>
        <v>102.88995833333331</v>
      </c>
      <c r="J41" s="283">
        <v>291</v>
      </c>
      <c r="K41" s="283">
        <v>19</v>
      </c>
      <c r="L41" s="283">
        <v>47</v>
      </c>
      <c r="M41" s="282">
        <f t="shared" si="13"/>
        <v>291.32972222222224</v>
      </c>
      <c r="N41" s="283">
        <v>91</v>
      </c>
      <c r="O41" s="283">
        <v>41</v>
      </c>
      <c r="P41" s="283">
        <v>50</v>
      </c>
      <c r="Q41" s="282">
        <f t="shared" si="14"/>
        <v>91.697222222222223</v>
      </c>
      <c r="R41" s="284">
        <v>20.716000000000001</v>
      </c>
      <c r="S41" s="284">
        <v>-0.61399999999999999</v>
      </c>
      <c r="T41" s="284">
        <v>20.707000000000001</v>
      </c>
      <c r="U41" s="282">
        <f t="shared" si="15"/>
        <v>-0.61399999999999999</v>
      </c>
      <c r="V41" s="285">
        <f t="shared" si="17"/>
        <v>535330.69218993769</v>
      </c>
      <c r="W41" s="285">
        <f t="shared" si="18"/>
        <v>9407734.4856974371</v>
      </c>
      <c r="X41" s="282">
        <f t="shared" si="19"/>
        <v>106.172</v>
      </c>
      <c r="AB41" s="252"/>
      <c r="AC41" s="252"/>
      <c r="AD41" s="295"/>
      <c r="AE41" s="252"/>
      <c r="AF41" s="252"/>
      <c r="AG41" s="253"/>
      <c r="AH41" s="247"/>
      <c r="AI41" s="254"/>
      <c r="AJ41" s="249"/>
      <c r="AK41" s="254"/>
      <c r="AL41" s="247"/>
      <c r="AM41" s="255"/>
      <c r="AN41" s="249"/>
      <c r="AO41" s="254"/>
      <c r="AP41" s="247"/>
      <c r="AQ41" s="256"/>
      <c r="AR41" s="257"/>
      <c r="AS41" s="257"/>
      <c r="AT41" s="189"/>
      <c r="AU41" s="258"/>
      <c r="AV41" s="258"/>
      <c r="AW41" s="247"/>
    </row>
    <row r="42" spans="3:49" ht="14.25" customHeight="1" x14ac:dyDescent="0.3">
      <c r="C42" s="279"/>
      <c r="D42" s="279"/>
      <c r="E42" s="280">
        <v>1.44</v>
      </c>
      <c r="F42" s="279"/>
      <c r="G42" s="279"/>
      <c r="H42" s="281" t="s">
        <v>393</v>
      </c>
      <c r="I42" s="282">
        <f t="shared" si="16"/>
        <v>102.62773611111106</v>
      </c>
      <c r="J42" s="283">
        <v>291</v>
      </c>
      <c r="K42" s="283">
        <v>3</v>
      </c>
      <c r="L42" s="283">
        <v>63</v>
      </c>
      <c r="M42" s="282">
        <f t="shared" si="13"/>
        <v>291.0675</v>
      </c>
      <c r="N42" s="283">
        <v>91</v>
      </c>
      <c r="O42" s="283">
        <v>41</v>
      </c>
      <c r="P42" s="283">
        <v>53</v>
      </c>
      <c r="Q42" s="282">
        <f t="shared" si="14"/>
        <v>91.698055555555555</v>
      </c>
      <c r="R42" s="284">
        <v>11.061999999999999</v>
      </c>
      <c r="S42" s="284">
        <v>-0.32800000000000001</v>
      </c>
      <c r="T42" s="284">
        <v>11.057</v>
      </c>
      <c r="U42" s="282">
        <f t="shared" si="15"/>
        <v>-0.32800000000000007</v>
      </c>
      <c r="V42" s="285">
        <f t="shared" si="17"/>
        <v>535321.29654275114</v>
      </c>
      <c r="W42" s="285">
        <f t="shared" si="18"/>
        <v>9407736.6877668258</v>
      </c>
      <c r="X42" s="282">
        <f t="shared" si="19"/>
        <v>106.458</v>
      </c>
      <c r="AB42" s="252"/>
      <c r="AC42" s="252"/>
      <c r="AD42" s="295"/>
      <c r="AE42" s="252"/>
      <c r="AF42" s="252"/>
      <c r="AG42" s="253"/>
      <c r="AH42" s="247"/>
      <c r="AI42" s="254"/>
      <c r="AJ42" s="249"/>
      <c r="AK42" s="254"/>
      <c r="AL42" s="247"/>
      <c r="AM42" s="255"/>
      <c r="AN42" s="249"/>
      <c r="AO42" s="254"/>
      <c r="AP42" s="247"/>
      <c r="AQ42" s="256"/>
      <c r="AR42" s="257"/>
      <c r="AS42" s="257"/>
      <c r="AT42" s="189"/>
      <c r="AU42" s="258"/>
      <c r="AV42" s="258"/>
      <c r="AW42" s="247"/>
    </row>
    <row r="43" spans="3:49" ht="14.25" customHeight="1" x14ac:dyDescent="0.3">
      <c r="C43" s="279"/>
      <c r="D43" s="279"/>
      <c r="E43" s="280">
        <v>1.44</v>
      </c>
      <c r="F43" s="279"/>
      <c r="G43" s="279"/>
      <c r="H43" s="281" t="s">
        <v>394</v>
      </c>
      <c r="I43" s="282">
        <f t="shared" si="16"/>
        <v>356.71301388888878</v>
      </c>
      <c r="J43" s="283">
        <v>185</v>
      </c>
      <c r="K43" s="283">
        <v>9</v>
      </c>
      <c r="L43" s="283">
        <v>10</v>
      </c>
      <c r="M43" s="282">
        <f t="shared" si="13"/>
        <v>185.15277777777777</v>
      </c>
      <c r="N43" s="283">
        <v>88</v>
      </c>
      <c r="O43" s="283">
        <v>3</v>
      </c>
      <c r="P43" s="283">
        <v>48</v>
      </c>
      <c r="Q43" s="282">
        <f t="shared" si="14"/>
        <v>88.063333333333333</v>
      </c>
      <c r="R43" s="284">
        <v>21.75</v>
      </c>
      <c r="S43" s="284">
        <v>0.72599999999999998</v>
      </c>
      <c r="T43" s="284">
        <v>21.797000000000001</v>
      </c>
      <c r="U43" s="282">
        <f t="shared" si="15"/>
        <v>0.72599999999999998</v>
      </c>
      <c r="V43" s="285">
        <f t="shared" si="17"/>
        <v>535309.25721959339</v>
      </c>
      <c r="W43" s="285">
        <f t="shared" si="18"/>
        <v>9407760.8661410082</v>
      </c>
      <c r="X43" s="282">
        <f t="shared" si="19"/>
        <v>107.512</v>
      </c>
      <c r="AB43" s="252"/>
      <c r="AC43" s="252"/>
      <c r="AD43" s="295"/>
      <c r="AE43" s="252"/>
      <c r="AF43" s="252"/>
      <c r="AG43" s="253"/>
      <c r="AH43" s="247"/>
      <c r="AI43" s="254"/>
      <c r="AJ43" s="249"/>
      <c r="AK43" s="254"/>
      <c r="AL43" s="247"/>
      <c r="AM43" s="255"/>
      <c r="AN43" s="249"/>
      <c r="AO43" s="254"/>
      <c r="AP43" s="247"/>
      <c r="AQ43" s="256"/>
      <c r="AR43" s="257"/>
      <c r="AS43" s="257"/>
      <c r="AT43" s="189"/>
      <c r="AU43" s="258"/>
      <c r="AV43" s="258"/>
      <c r="AW43" s="247"/>
    </row>
    <row r="44" spans="3:49" ht="14.25" customHeight="1" x14ac:dyDescent="0.3">
      <c r="C44" s="279"/>
      <c r="D44" s="279"/>
      <c r="E44" s="280">
        <v>1.44</v>
      </c>
      <c r="F44" s="279"/>
      <c r="G44" s="279"/>
      <c r="H44" s="281" t="s">
        <v>395</v>
      </c>
      <c r="I44" s="282">
        <f t="shared" si="16"/>
        <v>342.49162499999989</v>
      </c>
      <c r="J44" s="283">
        <v>170</v>
      </c>
      <c r="K44" s="283">
        <v>55</v>
      </c>
      <c r="L44" s="283">
        <v>53</v>
      </c>
      <c r="M44" s="282">
        <f t="shared" si="13"/>
        <v>170.93138888888888</v>
      </c>
      <c r="N44" s="283">
        <v>88</v>
      </c>
      <c r="O44" s="283">
        <v>4</v>
      </c>
      <c r="P44" s="283">
        <v>20</v>
      </c>
      <c r="Q44" s="282">
        <f t="shared" si="14"/>
        <v>88.072222222222223</v>
      </c>
      <c r="R44" s="284">
        <v>39.93</v>
      </c>
      <c r="S44" s="284">
        <v>1.3420000000000001</v>
      </c>
      <c r="T44" s="284">
        <v>39.902000000000001</v>
      </c>
      <c r="U44" s="282">
        <f t="shared" si="15"/>
        <v>1.3420000000000001</v>
      </c>
      <c r="V44" s="285">
        <f t="shared" si="17"/>
        <v>535298.50267473538</v>
      </c>
      <c r="W44" s="285">
        <f t="shared" si="18"/>
        <v>9407777.1584594883</v>
      </c>
      <c r="X44" s="282">
        <f t="shared" si="19"/>
        <v>108.128</v>
      </c>
      <c r="AB44" s="252"/>
      <c r="AC44" s="252"/>
      <c r="AD44" s="295"/>
      <c r="AE44" s="252"/>
      <c r="AF44" s="252"/>
      <c r="AG44" s="253"/>
      <c r="AH44" s="247"/>
      <c r="AI44" s="254"/>
      <c r="AJ44" s="249"/>
      <c r="AK44" s="254"/>
      <c r="AL44" s="247"/>
      <c r="AM44" s="255"/>
      <c r="AN44" s="249"/>
      <c r="AO44" s="254"/>
      <c r="AP44" s="247"/>
      <c r="AQ44" s="256"/>
      <c r="AR44" s="257"/>
      <c r="AS44" s="257"/>
      <c r="AT44" s="189"/>
      <c r="AU44" s="258"/>
      <c r="AV44" s="258"/>
      <c r="AW44" s="247"/>
    </row>
    <row r="45" spans="3:49" ht="14.25" customHeight="1" x14ac:dyDescent="0.3">
      <c r="C45" s="279"/>
      <c r="D45" s="279"/>
      <c r="E45" s="280">
        <v>1.44</v>
      </c>
      <c r="F45" s="279"/>
      <c r="G45" s="279"/>
      <c r="H45" s="281" t="s">
        <v>396</v>
      </c>
      <c r="I45" s="282">
        <f t="shared" si="16"/>
        <v>324.86523611111107</v>
      </c>
      <c r="J45" s="283">
        <v>153</v>
      </c>
      <c r="K45" s="283">
        <v>18</v>
      </c>
      <c r="L45" s="283">
        <v>18</v>
      </c>
      <c r="M45" s="282">
        <f t="shared" si="13"/>
        <v>153.30500000000001</v>
      </c>
      <c r="N45" s="283">
        <v>89</v>
      </c>
      <c r="O45" s="283">
        <v>15</v>
      </c>
      <c r="P45" s="283">
        <v>30</v>
      </c>
      <c r="Q45" s="282">
        <f t="shared" si="14"/>
        <v>89.25833333333334</v>
      </c>
      <c r="R45" s="284">
        <v>52.991</v>
      </c>
      <c r="S45" s="284">
        <v>0.68600000000000005</v>
      </c>
      <c r="T45" s="284">
        <v>52.957000000000001</v>
      </c>
      <c r="U45" s="282">
        <f t="shared" si="15"/>
        <v>0.68599999999999994</v>
      </c>
      <c r="V45" s="285">
        <f t="shared" si="17"/>
        <v>535280.03016421187</v>
      </c>
      <c r="W45" s="285">
        <f t="shared" si="18"/>
        <v>9407782.4132709112</v>
      </c>
      <c r="X45" s="282">
        <f t="shared" si="19"/>
        <v>107.47200000000001</v>
      </c>
      <c r="AB45" s="252"/>
      <c r="AC45" s="252"/>
      <c r="AD45" s="295"/>
      <c r="AE45" s="252"/>
      <c r="AF45" s="252"/>
      <c r="AG45" s="253"/>
      <c r="AH45" s="247"/>
      <c r="AI45" s="254"/>
      <c r="AJ45" s="249"/>
      <c r="AK45" s="254"/>
      <c r="AL45" s="247"/>
      <c r="AM45" s="255"/>
      <c r="AN45" s="249"/>
      <c r="AO45" s="254"/>
      <c r="AP45" s="247"/>
      <c r="AQ45" s="256"/>
      <c r="AR45" s="257"/>
      <c r="AS45" s="257"/>
      <c r="AT45" s="189"/>
      <c r="AU45" s="258"/>
      <c r="AV45" s="258"/>
      <c r="AW45" s="247"/>
    </row>
    <row r="46" spans="3:49" ht="14.25" customHeight="1" x14ac:dyDescent="0.3">
      <c r="C46" s="279"/>
      <c r="D46" s="279"/>
      <c r="E46" s="280">
        <v>1.44</v>
      </c>
      <c r="F46" s="279"/>
      <c r="G46" s="279"/>
      <c r="H46" s="281" t="s">
        <v>397</v>
      </c>
      <c r="I46" s="282">
        <f t="shared" si="16"/>
        <v>322.39079166666659</v>
      </c>
      <c r="J46" s="283">
        <v>150</v>
      </c>
      <c r="K46" s="283">
        <v>49</v>
      </c>
      <c r="L46" s="283">
        <v>50</v>
      </c>
      <c r="M46" s="282">
        <f t="shared" si="13"/>
        <v>150.83055555555555</v>
      </c>
      <c r="N46" s="283">
        <v>89</v>
      </c>
      <c r="O46" s="283">
        <v>15</v>
      </c>
      <c r="P46" s="283">
        <v>21</v>
      </c>
      <c r="Q46" s="282">
        <f t="shared" si="14"/>
        <v>89.255833333333328</v>
      </c>
      <c r="R46" s="284">
        <v>52.976999999999997</v>
      </c>
      <c r="S46" s="284">
        <v>0.68799999999999994</v>
      </c>
      <c r="T46" s="284">
        <v>52.472999999999999</v>
      </c>
      <c r="U46" s="282">
        <f t="shared" si="15"/>
        <v>0.68800000000000017</v>
      </c>
      <c r="V46" s="285">
        <f t="shared" si="17"/>
        <v>535278.4841716619</v>
      </c>
      <c r="W46" s="285">
        <f t="shared" si="18"/>
        <v>9407780.6736684199</v>
      </c>
      <c r="X46" s="282">
        <f t="shared" si="19"/>
        <v>107.474</v>
      </c>
      <c r="AB46" s="252"/>
      <c r="AC46" s="252"/>
      <c r="AD46" s="295"/>
      <c r="AE46" s="252"/>
      <c r="AF46" s="252"/>
      <c r="AG46" s="253"/>
      <c r="AH46" s="247"/>
      <c r="AI46" s="254"/>
      <c r="AJ46" s="249"/>
      <c r="AK46" s="254"/>
      <c r="AL46" s="247"/>
      <c r="AM46" s="255"/>
      <c r="AN46" s="249"/>
      <c r="AO46" s="254"/>
      <c r="AP46" s="247"/>
      <c r="AQ46" s="256"/>
      <c r="AR46" s="257"/>
      <c r="AS46" s="257"/>
      <c r="AT46" s="189"/>
      <c r="AU46" s="258"/>
      <c r="AV46" s="258"/>
      <c r="AW46" s="247"/>
    </row>
    <row r="47" spans="3:49" ht="14.25" customHeight="1" x14ac:dyDescent="0.3">
      <c r="C47" s="279"/>
      <c r="D47" s="279"/>
      <c r="E47" s="280">
        <v>1.44</v>
      </c>
      <c r="F47" s="279"/>
      <c r="G47" s="279"/>
      <c r="H47" s="281" t="s">
        <v>398</v>
      </c>
      <c r="I47" s="282">
        <f t="shared" si="16"/>
        <v>322.27329166666664</v>
      </c>
      <c r="J47" s="283">
        <v>150</v>
      </c>
      <c r="K47" s="283">
        <v>42</v>
      </c>
      <c r="L47" s="283">
        <v>47</v>
      </c>
      <c r="M47" s="282">
        <f t="shared" si="13"/>
        <v>150.71305555555554</v>
      </c>
      <c r="N47" s="283">
        <v>89</v>
      </c>
      <c r="O47" s="283">
        <v>15</v>
      </c>
      <c r="P47" s="283">
        <v>24</v>
      </c>
      <c r="Q47" s="282">
        <f t="shared" si="14"/>
        <v>89.256666666666661</v>
      </c>
      <c r="R47" s="284">
        <v>52.981000000000002</v>
      </c>
      <c r="S47" s="284">
        <v>0.69</v>
      </c>
      <c r="T47" s="284">
        <v>52.976999999999997</v>
      </c>
      <c r="U47" s="282">
        <f t="shared" si="15"/>
        <v>0.69</v>
      </c>
      <c r="V47" s="285">
        <f t="shared" si="17"/>
        <v>535278.09059613559</v>
      </c>
      <c r="W47" s="285">
        <f t="shared" si="18"/>
        <v>9407781.0065428056</v>
      </c>
      <c r="X47" s="282">
        <f t="shared" si="19"/>
        <v>107.476</v>
      </c>
    </row>
    <row r="48" spans="3:49" ht="14.25" customHeight="1" x14ac:dyDescent="0.3">
      <c r="C48" s="279"/>
      <c r="D48" s="279"/>
      <c r="E48" s="280">
        <v>1.44</v>
      </c>
      <c r="F48" s="279"/>
      <c r="G48" s="279"/>
      <c r="H48" s="281" t="s">
        <v>285</v>
      </c>
      <c r="I48" s="282">
        <f t="shared" si="16"/>
        <v>315.18718055555553</v>
      </c>
      <c r="J48" s="283">
        <v>143</v>
      </c>
      <c r="K48" s="283">
        <v>37</v>
      </c>
      <c r="L48" s="283">
        <v>37</v>
      </c>
      <c r="M48" s="282">
        <f t="shared" si="13"/>
        <v>143.62694444444446</v>
      </c>
      <c r="N48" s="283">
        <v>89</v>
      </c>
      <c r="O48" s="283">
        <v>15</v>
      </c>
      <c r="P48" s="283">
        <v>27</v>
      </c>
      <c r="Q48" s="282">
        <f t="shared" si="14"/>
        <v>89.257499999999993</v>
      </c>
      <c r="R48" s="284">
        <v>54.325000000000003</v>
      </c>
      <c r="S48" s="284">
        <v>7.3999999999999996E-2</v>
      </c>
      <c r="T48" s="284">
        <v>54.32</v>
      </c>
      <c r="U48" s="282">
        <f t="shared" si="15"/>
        <v>7.4000000000000066E-2</v>
      </c>
      <c r="V48" s="285">
        <f t="shared" si="17"/>
        <v>535272.22264680627</v>
      </c>
      <c r="W48" s="285">
        <f t="shared" si="18"/>
        <v>9407777.6403175741</v>
      </c>
      <c r="X48" s="282">
        <f t="shared" si="19"/>
        <v>106.86</v>
      </c>
    </row>
    <row r="49" spans="3:24" ht="14.25" customHeight="1" x14ac:dyDescent="0.3">
      <c r="C49" s="279"/>
      <c r="D49" s="279"/>
      <c r="E49" s="280">
        <v>1.44</v>
      </c>
      <c r="F49" s="279"/>
      <c r="G49" s="279"/>
      <c r="H49" s="281" t="s">
        <v>287</v>
      </c>
      <c r="I49" s="282">
        <f t="shared" si="16"/>
        <v>313.56190277777773</v>
      </c>
      <c r="J49" s="283">
        <v>142</v>
      </c>
      <c r="K49" s="283">
        <v>0</v>
      </c>
      <c r="L49" s="283">
        <v>6</v>
      </c>
      <c r="M49" s="282">
        <f t="shared" si="13"/>
        <v>142.00166666666667</v>
      </c>
      <c r="N49" s="283">
        <v>89</v>
      </c>
      <c r="O49" s="283">
        <v>15</v>
      </c>
      <c r="P49" s="283">
        <v>25</v>
      </c>
      <c r="Q49" s="282">
        <f t="shared" si="14"/>
        <v>89.256944444444443</v>
      </c>
      <c r="R49" s="284">
        <v>54.569000000000003</v>
      </c>
      <c r="S49" s="284">
        <v>0.70699999999999996</v>
      </c>
      <c r="T49" s="284">
        <v>54.564</v>
      </c>
      <c r="U49" s="282">
        <f t="shared" si="15"/>
        <v>0.70699999999999985</v>
      </c>
      <c r="V49" s="285">
        <f t="shared" si="17"/>
        <v>535270.96827533911</v>
      </c>
      <c r="W49" s="285">
        <f t="shared" si="18"/>
        <v>9407776.7071189322</v>
      </c>
      <c r="X49" s="282">
        <f t="shared" si="19"/>
        <v>107.49299999999999</v>
      </c>
    </row>
    <row r="50" spans="3:24" ht="14.25" customHeight="1" x14ac:dyDescent="0.3">
      <c r="C50" s="279"/>
      <c r="D50" s="279"/>
      <c r="E50" s="280">
        <v>1.44</v>
      </c>
      <c r="F50" s="279"/>
      <c r="G50" s="279"/>
      <c r="H50" s="281" t="s">
        <v>289</v>
      </c>
      <c r="I50" s="282">
        <f t="shared" si="16"/>
        <v>306.95079166666665</v>
      </c>
      <c r="J50" s="283">
        <v>135</v>
      </c>
      <c r="K50" s="283">
        <v>23</v>
      </c>
      <c r="L50" s="283">
        <v>26</v>
      </c>
      <c r="M50" s="282">
        <f t="shared" si="13"/>
        <v>135.39055555555555</v>
      </c>
      <c r="N50" s="283">
        <v>89</v>
      </c>
      <c r="O50" s="283">
        <v>15</v>
      </c>
      <c r="P50" s="283">
        <v>27</v>
      </c>
      <c r="Q50" s="282">
        <f t="shared" si="14"/>
        <v>89.257499999999993</v>
      </c>
      <c r="R50" s="284">
        <v>56.89</v>
      </c>
      <c r="S50" s="284">
        <v>0.73699999999999999</v>
      </c>
      <c r="T50" s="284">
        <v>56.884999999999998</v>
      </c>
      <c r="U50" s="282">
        <f t="shared" si="15"/>
        <v>0.7370000000000001</v>
      </c>
      <c r="V50" s="285">
        <f t="shared" si="17"/>
        <v>535265.04723377398</v>
      </c>
      <c r="W50" s="285">
        <f t="shared" si="18"/>
        <v>9407773.3002172057</v>
      </c>
      <c r="X50" s="282">
        <f t="shared" si="19"/>
        <v>107.523</v>
      </c>
    </row>
    <row r="51" spans="3:24" ht="14.25" customHeight="1" x14ac:dyDescent="0.3">
      <c r="C51" s="279"/>
      <c r="D51" s="279"/>
      <c r="E51" s="280">
        <v>1.44</v>
      </c>
      <c r="F51" s="279"/>
      <c r="G51" s="279"/>
      <c r="H51" s="281" t="s">
        <v>291</v>
      </c>
      <c r="I51" s="282">
        <f t="shared" si="16"/>
        <v>306.86495833333333</v>
      </c>
      <c r="J51" s="283">
        <v>135</v>
      </c>
      <c r="K51" s="283">
        <v>18</v>
      </c>
      <c r="L51" s="283">
        <v>17</v>
      </c>
      <c r="M51" s="282">
        <f t="shared" si="13"/>
        <v>135.30472222222224</v>
      </c>
      <c r="N51" s="283">
        <v>89</v>
      </c>
      <c r="O51" s="283">
        <v>15</v>
      </c>
      <c r="P51" s="283">
        <v>20</v>
      </c>
      <c r="Q51" s="282">
        <f t="shared" si="14"/>
        <v>89.25555555555556</v>
      </c>
      <c r="R51" s="284">
        <v>56.817</v>
      </c>
      <c r="S51" s="284">
        <v>0.379</v>
      </c>
      <c r="T51" s="284">
        <v>56.811999999999998</v>
      </c>
      <c r="U51" s="282">
        <f t="shared" si="15"/>
        <v>0.379</v>
      </c>
      <c r="V51" s="285">
        <f t="shared" si="17"/>
        <v>535265.05446160457</v>
      </c>
      <c r="W51" s="285">
        <f t="shared" si="18"/>
        <v>9407773.1882817876</v>
      </c>
      <c r="X51" s="282">
        <f t="shared" si="19"/>
        <v>107.16500000000001</v>
      </c>
    </row>
    <row r="52" spans="3:24" ht="14.25" customHeight="1" x14ac:dyDescent="0.3">
      <c r="C52" s="279"/>
      <c r="D52" s="279"/>
      <c r="E52" s="280">
        <v>1.44</v>
      </c>
      <c r="F52" s="279"/>
      <c r="G52" s="279"/>
      <c r="H52" s="281" t="s">
        <v>293</v>
      </c>
      <c r="I52" s="282">
        <f t="shared" si="16"/>
        <v>303.88245833333326</v>
      </c>
      <c r="J52" s="283">
        <v>132</v>
      </c>
      <c r="K52" s="283">
        <v>19</v>
      </c>
      <c r="L52" s="283">
        <v>20</v>
      </c>
      <c r="M52" s="282">
        <f t="shared" si="13"/>
        <v>132.32222222222222</v>
      </c>
      <c r="N52" s="283">
        <v>88</v>
      </c>
      <c r="O52" s="283">
        <v>27</v>
      </c>
      <c r="P52" s="283">
        <v>54</v>
      </c>
      <c r="Q52" s="282">
        <f t="shared" si="14"/>
        <v>88.465000000000003</v>
      </c>
      <c r="R52" s="284">
        <v>60.119</v>
      </c>
      <c r="S52" s="284">
        <v>1.611</v>
      </c>
      <c r="T52" s="284">
        <v>60.097000000000001</v>
      </c>
      <c r="U52" s="282">
        <f t="shared" si="15"/>
        <v>1.6110000000000002</v>
      </c>
      <c r="V52" s="285">
        <f t="shared" si="17"/>
        <v>535260.61549192772</v>
      </c>
      <c r="W52" s="285">
        <f t="shared" si="18"/>
        <v>9407772.6085346099</v>
      </c>
      <c r="X52" s="282">
        <f t="shared" si="19"/>
        <v>108.39700000000001</v>
      </c>
    </row>
    <row r="53" spans="3:24" ht="14.25" customHeight="1" x14ac:dyDescent="0.3">
      <c r="C53" s="456" t="s">
        <v>399</v>
      </c>
      <c r="D53" s="448"/>
      <c r="E53" s="448"/>
      <c r="F53" s="448"/>
      <c r="G53" s="448"/>
      <c r="H53" s="448"/>
      <c r="I53" s="448"/>
      <c r="J53" s="448"/>
      <c r="K53" s="448"/>
      <c r="L53" s="448"/>
      <c r="M53" s="448"/>
      <c r="N53" s="448"/>
      <c r="O53" s="448"/>
      <c r="P53" s="448"/>
      <c r="Q53" s="448"/>
      <c r="R53" s="448"/>
      <c r="S53" s="448"/>
      <c r="T53" s="448"/>
      <c r="U53" s="448"/>
      <c r="V53" s="448"/>
      <c r="W53" s="448"/>
      <c r="X53" s="457"/>
    </row>
    <row r="54" spans="3:24" ht="14.25" customHeight="1" x14ac:dyDescent="0.3">
      <c r="C54" s="440"/>
      <c r="D54" s="332"/>
      <c r="E54" s="332"/>
      <c r="F54" s="332"/>
      <c r="G54" s="332"/>
      <c r="H54" s="332"/>
      <c r="I54" s="332"/>
      <c r="J54" s="332"/>
      <c r="K54" s="332"/>
      <c r="L54" s="332"/>
      <c r="M54" s="332"/>
      <c r="N54" s="332"/>
      <c r="O54" s="332"/>
      <c r="P54" s="332"/>
      <c r="Q54" s="332"/>
      <c r="R54" s="332"/>
      <c r="S54" s="332"/>
      <c r="T54" s="332"/>
      <c r="U54" s="332"/>
      <c r="V54" s="332"/>
      <c r="W54" s="332"/>
      <c r="X54" s="441"/>
    </row>
    <row r="55" spans="3:24" ht="14.25" customHeight="1" x14ac:dyDescent="0.3">
      <c r="C55" s="350"/>
      <c r="D55" s="333"/>
      <c r="E55" s="333"/>
      <c r="F55" s="333"/>
      <c r="G55" s="333"/>
      <c r="H55" s="333"/>
      <c r="I55" s="333"/>
      <c r="J55" s="333"/>
      <c r="K55" s="333"/>
      <c r="L55" s="333"/>
      <c r="M55" s="333"/>
      <c r="N55" s="333"/>
      <c r="O55" s="333"/>
      <c r="P55" s="333"/>
      <c r="Q55" s="333"/>
      <c r="R55" s="333"/>
      <c r="S55" s="333"/>
      <c r="T55" s="333"/>
      <c r="U55" s="333"/>
      <c r="V55" s="333"/>
      <c r="W55" s="333"/>
      <c r="X55" s="351"/>
    </row>
    <row r="56" spans="3:24" ht="14.25" customHeight="1" x14ac:dyDescent="0.3">
      <c r="C56" s="438" t="s">
        <v>263</v>
      </c>
      <c r="D56" s="330"/>
      <c r="E56" s="438" t="s">
        <v>247</v>
      </c>
      <c r="F56" s="329"/>
      <c r="G56" s="329"/>
      <c r="H56" s="330"/>
      <c r="I56" s="178" t="s">
        <v>248</v>
      </c>
      <c r="J56" s="438" t="s">
        <v>249</v>
      </c>
      <c r="K56" s="329"/>
      <c r="L56" s="329"/>
      <c r="M56" s="330"/>
      <c r="N56" s="438" t="s">
        <v>250</v>
      </c>
      <c r="O56" s="329"/>
      <c r="P56" s="329"/>
      <c r="Q56" s="330"/>
      <c r="R56" s="438" t="s">
        <v>251</v>
      </c>
      <c r="S56" s="329"/>
      <c r="T56" s="330"/>
      <c r="U56" s="437" t="s">
        <v>106</v>
      </c>
      <c r="V56" s="438" t="s">
        <v>252</v>
      </c>
      <c r="W56" s="329"/>
      <c r="X56" s="330"/>
    </row>
    <row r="57" spans="3:24" ht="14.25" customHeight="1" x14ac:dyDescent="0.3">
      <c r="C57" s="178" t="s">
        <v>253</v>
      </c>
      <c r="D57" s="178" t="s">
        <v>254</v>
      </c>
      <c r="E57" s="178" t="s">
        <v>255</v>
      </c>
      <c r="F57" s="178" t="s">
        <v>256</v>
      </c>
      <c r="G57" s="178" t="s">
        <v>257</v>
      </c>
      <c r="H57" s="178" t="s">
        <v>258</v>
      </c>
      <c r="I57" s="178" t="s">
        <v>259</v>
      </c>
      <c r="J57" s="178" t="s">
        <v>260</v>
      </c>
      <c r="K57" s="178" t="s">
        <v>261</v>
      </c>
      <c r="L57" s="178" t="s">
        <v>262</v>
      </c>
      <c r="M57" s="178" t="s">
        <v>259</v>
      </c>
      <c r="N57" s="178" t="s">
        <v>260</v>
      </c>
      <c r="O57" s="178" t="s">
        <v>261</v>
      </c>
      <c r="P57" s="178" t="s">
        <v>262</v>
      </c>
      <c r="Q57" s="178" t="s">
        <v>259</v>
      </c>
      <c r="R57" s="178" t="s">
        <v>114</v>
      </c>
      <c r="S57" s="178" t="s">
        <v>113</v>
      </c>
      <c r="T57" s="178" t="s">
        <v>112</v>
      </c>
      <c r="U57" s="339"/>
      <c r="V57" s="178" t="s">
        <v>79</v>
      </c>
      <c r="W57" s="178" t="s">
        <v>80</v>
      </c>
      <c r="X57" s="178" t="s">
        <v>81</v>
      </c>
    </row>
    <row r="58" spans="3:24" ht="14.25" customHeight="1" x14ac:dyDescent="0.35">
      <c r="C58" s="271" t="s">
        <v>400</v>
      </c>
      <c r="D58" s="271" t="s">
        <v>19</v>
      </c>
      <c r="E58" s="271">
        <v>1.7</v>
      </c>
      <c r="F58" s="271"/>
      <c r="G58" s="271" t="s">
        <v>18</v>
      </c>
      <c r="H58" s="271"/>
      <c r="I58" s="272">
        <f>KKH!G9</f>
        <v>260.42447222222222</v>
      </c>
      <c r="J58" s="271">
        <v>136</v>
      </c>
      <c r="K58" s="271">
        <v>16</v>
      </c>
      <c r="L58" s="271">
        <v>2</v>
      </c>
      <c r="M58" s="272">
        <f t="shared" ref="M58:M105" si="20">J58+(K58/60)+(L58/3600)</f>
        <v>136.26722222222224</v>
      </c>
      <c r="N58" s="271">
        <v>89</v>
      </c>
      <c r="O58" s="271">
        <v>2</v>
      </c>
      <c r="P58" s="271">
        <v>17</v>
      </c>
      <c r="Q58" s="272">
        <f t="shared" ref="Q58:Q105" si="21">N58+(O58/60)+(P58/3600)</f>
        <v>89.038055555555559</v>
      </c>
      <c r="R58" s="272">
        <v>62.871000000000002</v>
      </c>
      <c r="S58" s="272">
        <v>1.0529999999999999</v>
      </c>
      <c r="T58" s="272">
        <v>62.862000000000002</v>
      </c>
      <c r="U58" s="272">
        <f t="shared" ref="U58:U105" si="22">S58+$C$58-E58</f>
        <v>-0.55672222222222234</v>
      </c>
      <c r="V58" s="278">
        <v>535310.50699999998</v>
      </c>
      <c r="W58" s="278">
        <v>9407739.1050000004</v>
      </c>
      <c r="X58" s="278">
        <v>106.786</v>
      </c>
    </row>
    <row r="59" spans="3:24" ht="14.25" customHeight="1" x14ac:dyDescent="0.3">
      <c r="C59" s="180"/>
      <c r="D59" s="180" t="s">
        <v>401</v>
      </c>
      <c r="E59" s="180">
        <v>1.7</v>
      </c>
      <c r="F59" s="180"/>
      <c r="G59" s="180"/>
      <c r="H59" s="180"/>
      <c r="I59" s="181">
        <f t="shared" ref="I59:I105" si="23">IF($I$58+M59&gt;=540,$I$7+L8-540,IF($I$58+M59&gt;=180,$I$58+M59-180,$I$58+M59+180))</f>
        <v>249.35474999999997</v>
      </c>
      <c r="J59" s="185">
        <v>168</v>
      </c>
      <c r="K59" s="185">
        <v>55</v>
      </c>
      <c r="L59" s="185">
        <v>49</v>
      </c>
      <c r="M59" s="181">
        <f t="shared" si="20"/>
        <v>168.93027777777777</v>
      </c>
      <c r="N59" s="185">
        <v>89</v>
      </c>
      <c r="O59" s="185">
        <v>34</v>
      </c>
      <c r="P59" s="185">
        <v>46</v>
      </c>
      <c r="Q59" s="181">
        <f t="shared" si="21"/>
        <v>89.579444444444434</v>
      </c>
      <c r="R59" s="186">
        <v>16.888999999999999</v>
      </c>
      <c r="S59" s="186">
        <v>0.124</v>
      </c>
      <c r="T59" s="186">
        <v>16.888999999999999</v>
      </c>
      <c r="U59" s="181">
        <f t="shared" si="22"/>
        <v>-1.4857222222222222</v>
      </c>
      <c r="V59" s="182">
        <f t="shared" ref="V59:V105" si="24">$V$58+T59*SIN(RADIANS(I59))</f>
        <v>535294.7025883937</v>
      </c>
      <c r="W59" s="182">
        <f t="shared" ref="W59:W105" si="25">$W$58+T59*COS(RADIANS(I59))</f>
        <v>9407733.1502628289</v>
      </c>
      <c r="X59" s="181">
        <f t="shared" ref="X59:X105" si="26">$X$58+U59</f>
        <v>105.30027777777778</v>
      </c>
    </row>
    <row r="60" spans="3:24" ht="14.25" customHeight="1" x14ac:dyDescent="0.3">
      <c r="C60" s="192"/>
      <c r="D60" s="192" t="s">
        <v>377</v>
      </c>
      <c r="E60" s="180">
        <v>1.7</v>
      </c>
      <c r="F60" s="192"/>
      <c r="G60" s="180"/>
      <c r="H60" s="180"/>
      <c r="I60" s="181">
        <f t="shared" si="23"/>
        <v>269.68475000000001</v>
      </c>
      <c r="J60" s="185">
        <v>189</v>
      </c>
      <c r="K60" s="185">
        <v>15</v>
      </c>
      <c r="L60" s="185">
        <v>37</v>
      </c>
      <c r="M60" s="181">
        <f t="shared" si="20"/>
        <v>189.26027777777779</v>
      </c>
      <c r="N60" s="185">
        <v>89</v>
      </c>
      <c r="O60" s="185">
        <v>40</v>
      </c>
      <c r="P60" s="185">
        <v>21</v>
      </c>
      <c r="Q60" s="181">
        <f t="shared" si="21"/>
        <v>89.672499999999999</v>
      </c>
      <c r="R60" s="186">
        <v>17.227</v>
      </c>
      <c r="S60" s="186">
        <v>9.8000000000000004E-2</v>
      </c>
      <c r="T60" s="186">
        <v>17.227</v>
      </c>
      <c r="U60" s="181">
        <f t="shared" si="22"/>
        <v>-1.5117222222222222</v>
      </c>
      <c r="V60" s="182">
        <f t="shared" si="24"/>
        <v>535293.2802607615</v>
      </c>
      <c r="W60" s="182">
        <f t="shared" si="25"/>
        <v>9407739.0102149323</v>
      </c>
      <c r="X60" s="181">
        <f t="shared" si="26"/>
        <v>105.27427777777778</v>
      </c>
    </row>
    <row r="61" spans="3:24" ht="14.25" customHeight="1" x14ac:dyDescent="0.3">
      <c r="C61" s="192"/>
      <c r="D61" s="192" t="s">
        <v>402</v>
      </c>
      <c r="E61" s="180">
        <v>1.7</v>
      </c>
      <c r="F61" s="192"/>
      <c r="G61" s="180"/>
      <c r="H61" s="180"/>
      <c r="I61" s="181">
        <f t="shared" si="23"/>
        <v>238.20447222222219</v>
      </c>
      <c r="J61" s="185">
        <v>157</v>
      </c>
      <c r="K61" s="185">
        <v>46</v>
      </c>
      <c r="L61" s="185">
        <v>48</v>
      </c>
      <c r="M61" s="181">
        <f t="shared" si="20"/>
        <v>157.78</v>
      </c>
      <c r="N61" s="185">
        <v>90</v>
      </c>
      <c r="O61" s="185">
        <v>5</v>
      </c>
      <c r="P61" s="185">
        <v>44</v>
      </c>
      <c r="Q61" s="181">
        <f t="shared" si="21"/>
        <v>90.095555555555549</v>
      </c>
      <c r="R61" s="186">
        <v>6.35</v>
      </c>
      <c r="S61" s="186">
        <v>-1.0999999999999999E-2</v>
      </c>
      <c r="T61" s="186">
        <v>6.35</v>
      </c>
      <c r="U61" s="181">
        <f t="shared" si="22"/>
        <v>-1.6207222222222222</v>
      </c>
      <c r="V61" s="182">
        <f t="shared" si="24"/>
        <v>535305.10992023069</v>
      </c>
      <c r="W61" s="182">
        <f t="shared" si="25"/>
        <v>9407735.7592519578</v>
      </c>
      <c r="X61" s="181">
        <f t="shared" si="26"/>
        <v>105.16527777777777</v>
      </c>
    </row>
    <row r="62" spans="3:24" ht="14.25" customHeight="1" x14ac:dyDescent="0.3">
      <c r="C62" s="192"/>
      <c r="D62" s="192" t="s">
        <v>378</v>
      </c>
      <c r="E62" s="180">
        <v>1.7</v>
      </c>
      <c r="F62" s="192"/>
      <c r="G62" s="180"/>
      <c r="H62" s="180"/>
      <c r="I62" s="181">
        <f t="shared" si="23"/>
        <v>248.69530555555559</v>
      </c>
      <c r="J62" s="185">
        <v>168</v>
      </c>
      <c r="K62" s="185">
        <v>16</v>
      </c>
      <c r="L62" s="185">
        <v>15</v>
      </c>
      <c r="M62" s="181">
        <f t="shared" si="20"/>
        <v>168.27083333333334</v>
      </c>
      <c r="N62" s="185">
        <v>90</v>
      </c>
      <c r="O62" s="185">
        <v>15</v>
      </c>
      <c r="P62" s="185">
        <v>44</v>
      </c>
      <c r="Q62" s="181">
        <f t="shared" si="21"/>
        <v>90.262222222222221</v>
      </c>
      <c r="R62" s="186">
        <v>16.983000000000001</v>
      </c>
      <c r="S62" s="186">
        <v>-7.8E-2</v>
      </c>
      <c r="T62" s="186">
        <v>16.983000000000001</v>
      </c>
      <c r="U62" s="181">
        <f t="shared" si="22"/>
        <v>-1.6877222222222221</v>
      </c>
      <c r="V62" s="182">
        <f t="shared" si="24"/>
        <v>535294.68459339067</v>
      </c>
      <c r="W62" s="182">
        <f t="shared" si="25"/>
        <v>9407732.9346079472</v>
      </c>
      <c r="X62" s="181">
        <f t="shared" si="26"/>
        <v>105.09827777777778</v>
      </c>
    </row>
    <row r="63" spans="3:24" ht="14.25" customHeight="1" x14ac:dyDescent="0.3">
      <c r="C63" s="192"/>
      <c r="D63" s="192" t="s">
        <v>403</v>
      </c>
      <c r="E63" s="180">
        <v>1.7</v>
      </c>
      <c r="F63" s="180"/>
      <c r="G63" s="180"/>
      <c r="H63" s="180"/>
      <c r="I63" s="181">
        <f t="shared" si="23"/>
        <v>261.93558333333334</v>
      </c>
      <c r="J63" s="185">
        <v>181</v>
      </c>
      <c r="K63" s="185">
        <v>30</v>
      </c>
      <c r="L63" s="185">
        <v>40</v>
      </c>
      <c r="M63" s="181">
        <f t="shared" si="20"/>
        <v>181.51111111111112</v>
      </c>
      <c r="N63" s="185">
        <v>89</v>
      </c>
      <c r="O63" s="185">
        <v>30</v>
      </c>
      <c r="P63" s="185">
        <v>8</v>
      </c>
      <c r="Q63" s="181">
        <f t="shared" si="21"/>
        <v>89.502222222222215</v>
      </c>
      <c r="R63" s="186">
        <v>17.045000000000002</v>
      </c>
      <c r="S63" s="186">
        <v>0.14799999999999999</v>
      </c>
      <c r="T63" s="186">
        <v>17.044</v>
      </c>
      <c r="U63" s="181">
        <f t="shared" si="22"/>
        <v>-1.4617222222222221</v>
      </c>
      <c r="V63" s="182">
        <f t="shared" si="24"/>
        <v>535293.63154857652</v>
      </c>
      <c r="W63" s="182">
        <f t="shared" si="25"/>
        <v>9407736.7139593791</v>
      </c>
      <c r="X63" s="181">
        <f t="shared" si="26"/>
        <v>105.32427777777778</v>
      </c>
    </row>
    <row r="64" spans="3:24" ht="14.25" customHeight="1" x14ac:dyDescent="0.3">
      <c r="C64" s="192"/>
      <c r="D64" s="192" t="s">
        <v>404</v>
      </c>
      <c r="E64" s="180">
        <v>1.7</v>
      </c>
      <c r="F64" s="192"/>
      <c r="G64" s="180"/>
      <c r="H64" s="180"/>
      <c r="I64" s="181">
        <f t="shared" si="23"/>
        <v>261.93891666666667</v>
      </c>
      <c r="J64" s="185">
        <v>181</v>
      </c>
      <c r="K64" s="185">
        <v>30</v>
      </c>
      <c r="L64" s="185">
        <v>52</v>
      </c>
      <c r="M64" s="181">
        <f t="shared" si="20"/>
        <v>181.51444444444445</v>
      </c>
      <c r="N64" s="185">
        <v>89</v>
      </c>
      <c r="O64" s="185">
        <v>40</v>
      </c>
      <c r="P64" s="185">
        <v>22</v>
      </c>
      <c r="Q64" s="181">
        <f t="shared" si="21"/>
        <v>89.672777777777782</v>
      </c>
      <c r="R64" s="186">
        <v>16.312000000000001</v>
      </c>
      <c r="S64" s="186">
        <v>9.2999999999999999E-2</v>
      </c>
      <c r="T64" s="186">
        <v>16.312000000000001</v>
      </c>
      <c r="U64" s="181">
        <f t="shared" si="22"/>
        <v>-1.5167222222222221</v>
      </c>
      <c r="V64" s="182">
        <f t="shared" si="24"/>
        <v>535294.35617670522</v>
      </c>
      <c r="W64" s="182">
        <f t="shared" si="25"/>
        <v>9407736.8175886031</v>
      </c>
      <c r="X64" s="181">
        <f t="shared" si="26"/>
        <v>105.26927777777777</v>
      </c>
    </row>
    <row r="65" spans="3:24" ht="14.25" customHeight="1" x14ac:dyDescent="0.3">
      <c r="C65" s="192"/>
      <c r="D65" s="192" t="s">
        <v>405</v>
      </c>
      <c r="E65" s="180">
        <v>1.7</v>
      </c>
      <c r="F65" s="192"/>
      <c r="G65" s="180"/>
      <c r="H65" s="180"/>
      <c r="I65" s="181">
        <f t="shared" si="23"/>
        <v>256.84086111111111</v>
      </c>
      <c r="J65" s="185">
        <v>176</v>
      </c>
      <c r="K65" s="185">
        <v>24</v>
      </c>
      <c r="L65" s="185">
        <v>59</v>
      </c>
      <c r="M65" s="181">
        <f t="shared" si="20"/>
        <v>176.41638888888889</v>
      </c>
      <c r="N65" s="185">
        <v>89</v>
      </c>
      <c r="O65" s="185">
        <v>34</v>
      </c>
      <c r="P65" s="185">
        <v>22</v>
      </c>
      <c r="Q65" s="181">
        <f t="shared" si="21"/>
        <v>89.572777777777773</v>
      </c>
      <c r="R65" s="186">
        <v>17.041</v>
      </c>
      <c r="S65" s="186">
        <v>0.127</v>
      </c>
      <c r="T65" s="186">
        <v>17.041</v>
      </c>
      <c r="U65" s="181">
        <f t="shared" si="22"/>
        <v>-1.4827222222222223</v>
      </c>
      <c r="V65" s="182">
        <f t="shared" si="24"/>
        <v>535293.91347099293</v>
      </c>
      <c r="W65" s="182">
        <f t="shared" si="25"/>
        <v>9407735.225505691</v>
      </c>
      <c r="X65" s="181">
        <f t="shared" si="26"/>
        <v>105.30327777777778</v>
      </c>
    </row>
    <row r="66" spans="3:24" ht="14.25" customHeight="1" x14ac:dyDescent="0.3">
      <c r="C66" s="192"/>
      <c r="D66" s="192" t="s">
        <v>406</v>
      </c>
      <c r="E66" s="180">
        <v>1.7</v>
      </c>
      <c r="F66" s="192"/>
      <c r="G66" s="180"/>
      <c r="H66" s="180"/>
      <c r="I66" s="181">
        <f t="shared" si="23"/>
        <v>256.96586111111111</v>
      </c>
      <c r="J66" s="185">
        <v>176</v>
      </c>
      <c r="K66" s="185">
        <v>31</v>
      </c>
      <c r="L66" s="185">
        <v>89</v>
      </c>
      <c r="M66" s="181">
        <f t="shared" si="20"/>
        <v>176.54138888888889</v>
      </c>
      <c r="N66" s="185">
        <v>89</v>
      </c>
      <c r="O66" s="185">
        <v>38</v>
      </c>
      <c r="P66" s="185">
        <v>17</v>
      </c>
      <c r="Q66" s="181">
        <f t="shared" si="21"/>
        <v>89.638055555555567</v>
      </c>
      <c r="R66" s="186">
        <v>16.294</v>
      </c>
      <c r="S66" s="186">
        <v>0.10299999999999999</v>
      </c>
      <c r="T66" s="186">
        <v>16.393999999999998</v>
      </c>
      <c r="U66" s="181">
        <f t="shared" si="22"/>
        <v>-1.5067222222222223</v>
      </c>
      <c r="V66" s="182">
        <f t="shared" si="24"/>
        <v>535294.53537734563</v>
      </c>
      <c r="W66" s="182">
        <f t="shared" si="25"/>
        <v>9407735.407635292</v>
      </c>
      <c r="X66" s="181">
        <f t="shared" si="26"/>
        <v>105.27927777777778</v>
      </c>
    </row>
    <row r="67" spans="3:24" ht="14.25" customHeight="1" x14ac:dyDescent="0.3">
      <c r="C67" s="192"/>
      <c r="D67" s="192" t="s">
        <v>407</v>
      </c>
      <c r="E67" s="180">
        <v>1.7</v>
      </c>
      <c r="F67" s="180"/>
      <c r="G67" s="180"/>
      <c r="H67" s="180"/>
      <c r="I67" s="181">
        <f t="shared" si="23"/>
        <v>276.83308333333332</v>
      </c>
      <c r="J67" s="185">
        <v>196</v>
      </c>
      <c r="K67" s="185">
        <v>24</v>
      </c>
      <c r="L67" s="185">
        <v>31</v>
      </c>
      <c r="M67" s="181">
        <f t="shared" si="20"/>
        <v>196.40861111111113</v>
      </c>
      <c r="N67" s="185">
        <v>89</v>
      </c>
      <c r="O67" s="185">
        <v>38</v>
      </c>
      <c r="P67" s="185">
        <v>24</v>
      </c>
      <c r="Q67" s="181">
        <f t="shared" si="21"/>
        <v>89.64</v>
      </c>
      <c r="R67" s="186">
        <v>17.814</v>
      </c>
      <c r="S67" s="186">
        <v>0.112</v>
      </c>
      <c r="T67" s="186">
        <v>17.814</v>
      </c>
      <c r="U67" s="181">
        <f t="shared" si="22"/>
        <v>-1.4977222222222222</v>
      </c>
      <c r="V67" s="182">
        <f t="shared" si="24"/>
        <v>535292.81953329488</v>
      </c>
      <c r="W67" s="182">
        <f t="shared" si="25"/>
        <v>9407741.2244616188</v>
      </c>
      <c r="X67" s="181">
        <f t="shared" si="26"/>
        <v>105.28827777777778</v>
      </c>
    </row>
    <row r="68" spans="3:24" ht="14.25" customHeight="1" x14ac:dyDescent="0.3">
      <c r="C68" s="192"/>
      <c r="D68" s="192" t="s">
        <v>408</v>
      </c>
      <c r="E68" s="180">
        <v>1.7</v>
      </c>
      <c r="F68" s="192"/>
      <c r="G68" s="180"/>
      <c r="H68" s="180"/>
      <c r="I68" s="181">
        <f t="shared" si="23"/>
        <v>277.03169444444444</v>
      </c>
      <c r="J68" s="185">
        <v>196</v>
      </c>
      <c r="K68" s="185">
        <v>36</v>
      </c>
      <c r="L68" s="185">
        <v>26</v>
      </c>
      <c r="M68" s="181">
        <f t="shared" si="20"/>
        <v>196.60722222222222</v>
      </c>
      <c r="N68" s="185">
        <v>89</v>
      </c>
      <c r="O68" s="185">
        <v>57</v>
      </c>
      <c r="P68" s="185">
        <v>51</v>
      </c>
      <c r="Q68" s="181">
        <f t="shared" si="21"/>
        <v>89.964166666666671</v>
      </c>
      <c r="R68" s="186">
        <v>18.021000000000001</v>
      </c>
      <c r="S68" s="186">
        <v>1.0999999999999999E-2</v>
      </c>
      <c r="T68" s="186">
        <v>18.021000000000001</v>
      </c>
      <c r="U68" s="181">
        <f t="shared" si="22"/>
        <v>-1.5987222222222222</v>
      </c>
      <c r="V68" s="182">
        <f t="shared" si="24"/>
        <v>535292.6215434192</v>
      </c>
      <c r="W68" s="182">
        <f t="shared" si="25"/>
        <v>9407741.3111015167</v>
      </c>
      <c r="X68" s="181">
        <f t="shared" si="26"/>
        <v>105.18727777777778</v>
      </c>
    </row>
    <row r="69" spans="3:24" ht="14.25" customHeight="1" x14ac:dyDescent="0.3">
      <c r="C69" s="192"/>
      <c r="D69" s="192" t="s">
        <v>409</v>
      </c>
      <c r="E69" s="180">
        <v>1.7</v>
      </c>
      <c r="F69" s="192"/>
      <c r="G69" s="180"/>
      <c r="H69" s="180"/>
      <c r="I69" s="181">
        <f t="shared" si="23"/>
        <v>267.47225000000003</v>
      </c>
      <c r="J69" s="185">
        <v>187</v>
      </c>
      <c r="K69" s="185">
        <v>2</v>
      </c>
      <c r="L69" s="185">
        <v>52</v>
      </c>
      <c r="M69" s="181">
        <f t="shared" si="20"/>
        <v>187.04777777777778</v>
      </c>
      <c r="N69" s="185">
        <v>90</v>
      </c>
      <c r="O69" s="185">
        <v>2</v>
      </c>
      <c r="P69" s="185">
        <v>15</v>
      </c>
      <c r="Q69" s="181">
        <f t="shared" si="21"/>
        <v>90.037499999999994</v>
      </c>
      <c r="R69" s="186">
        <v>18.347999999999999</v>
      </c>
      <c r="S69" s="186">
        <v>-1.2E-2</v>
      </c>
      <c r="T69" s="186">
        <v>18.347999999999999</v>
      </c>
      <c r="U69" s="181">
        <f t="shared" si="22"/>
        <v>-1.6217222222222221</v>
      </c>
      <c r="V69" s="182">
        <f t="shared" si="24"/>
        <v>535292.17685300251</v>
      </c>
      <c r="W69" s="182">
        <f t="shared" si="25"/>
        <v>9407738.2957935669</v>
      </c>
      <c r="X69" s="181">
        <f t="shared" si="26"/>
        <v>105.16427777777778</v>
      </c>
    </row>
    <row r="70" spans="3:24" ht="14.25" customHeight="1" x14ac:dyDescent="0.3">
      <c r="C70" s="192"/>
      <c r="D70" s="192" t="s">
        <v>410</v>
      </c>
      <c r="E70" s="180">
        <v>1.7</v>
      </c>
      <c r="F70" s="192"/>
      <c r="G70" s="180"/>
      <c r="H70" s="180"/>
      <c r="I70" s="181">
        <f t="shared" si="23"/>
        <v>278.4425277777778</v>
      </c>
      <c r="J70" s="185">
        <v>198</v>
      </c>
      <c r="K70" s="185">
        <v>1</v>
      </c>
      <c r="L70" s="185">
        <v>5</v>
      </c>
      <c r="M70" s="181">
        <f t="shared" si="20"/>
        <v>198.01805555555558</v>
      </c>
      <c r="N70" s="185">
        <v>89</v>
      </c>
      <c r="O70" s="185">
        <v>36</v>
      </c>
      <c r="P70" s="185">
        <v>11</v>
      </c>
      <c r="Q70" s="181">
        <f t="shared" si="21"/>
        <v>89.603055555555557</v>
      </c>
      <c r="R70" s="186">
        <v>18.001999999999999</v>
      </c>
      <c r="S70" s="186">
        <v>0.125</v>
      </c>
      <c r="T70" s="186">
        <v>18.001999999999999</v>
      </c>
      <c r="U70" s="181">
        <f t="shared" si="22"/>
        <v>-1.4847222222222221</v>
      </c>
      <c r="V70" s="182">
        <f t="shared" si="24"/>
        <v>535292.70007632603</v>
      </c>
      <c r="W70" s="182">
        <f t="shared" si="25"/>
        <v>9407741.748004593</v>
      </c>
      <c r="X70" s="181">
        <f t="shared" si="26"/>
        <v>105.30127777777778</v>
      </c>
    </row>
    <row r="71" spans="3:24" ht="14.25" customHeight="1" x14ac:dyDescent="0.3">
      <c r="C71" s="192"/>
      <c r="D71" s="192" t="s">
        <v>411</v>
      </c>
      <c r="E71" s="180">
        <v>1.7</v>
      </c>
      <c r="F71" s="180"/>
      <c r="G71" s="180"/>
      <c r="H71" s="180"/>
      <c r="I71" s="181">
        <f t="shared" si="23"/>
        <v>278.64502777777778</v>
      </c>
      <c r="J71" s="185">
        <v>198</v>
      </c>
      <c r="K71" s="185">
        <v>13</v>
      </c>
      <c r="L71" s="185">
        <v>14</v>
      </c>
      <c r="M71" s="181">
        <f t="shared" si="20"/>
        <v>198.22055555555556</v>
      </c>
      <c r="N71" s="185">
        <v>90</v>
      </c>
      <c r="O71" s="185">
        <v>3</v>
      </c>
      <c r="P71" s="185">
        <v>12</v>
      </c>
      <c r="Q71" s="181">
        <f t="shared" si="21"/>
        <v>90.053333333333327</v>
      </c>
      <c r="R71" s="186">
        <v>18.213000000000001</v>
      </c>
      <c r="S71" s="186">
        <v>-1.7000000000000001E-2</v>
      </c>
      <c r="T71" s="186">
        <v>18.213000000000001</v>
      </c>
      <c r="U71" s="181">
        <f t="shared" si="22"/>
        <v>-1.6267222222222222</v>
      </c>
      <c r="V71" s="182">
        <f t="shared" si="24"/>
        <v>535292.50092593499</v>
      </c>
      <c r="W71" s="182">
        <f t="shared" si="25"/>
        <v>9407741.8426387217</v>
      </c>
      <c r="X71" s="181">
        <f t="shared" si="26"/>
        <v>105.15927777777777</v>
      </c>
    </row>
    <row r="72" spans="3:24" ht="14.25" customHeight="1" x14ac:dyDescent="0.3">
      <c r="C72" s="192"/>
      <c r="D72" s="192" t="s">
        <v>412</v>
      </c>
      <c r="E72" s="180">
        <v>1.7</v>
      </c>
      <c r="F72" s="192"/>
      <c r="G72" s="180"/>
      <c r="H72" s="180"/>
      <c r="I72" s="181">
        <f t="shared" si="23"/>
        <v>279.08391666666671</v>
      </c>
      <c r="J72" s="185">
        <v>198</v>
      </c>
      <c r="K72" s="185">
        <v>39</v>
      </c>
      <c r="L72" s="185">
        <v>34</v>
      </c>
      <c r="M72" s="181">
        <f t="shared" si="20"/>
        <v>198.65944444444446</v>
      </c>
      <c r="N72" s="185">
        <v>90</v>
      </c>
      <c r="O72" s="185">
        <v>3</v>
      </c>
      <c r="P72" s="185">
        <v>21</v>
      </c>
      <c r="Q72" s="181">
        <f t="shared" si="21"/>
        <v>90.055833333333325</v>
      </c>
      <c r="R72" s="186">
        <v>18.521000000000001</v>
      </c>
      <c r="S72" s="186">
        <v>-1.7999999999999999E-2</v>
      </c>
      <c r="T72" s="186">
        <v>18.521000000000001</v>
      </c>
      <c r="U72" s="181">
        <f t="shared" si="22"/>
        <v>-1.6277222222222223</v>
      </c>
      <c r="V72" s="182">
        <f t="shared" si="24"/>
        <v>535292.2182873456</v>
      </c>
      <c r="W72" s="182">
        <f t="shared" si="25"/>
        <v>9407742.0291119069</v>
      </c>
      <c r="X72" s="181">
        <f t="shared" si="26"/>
        <v>105.15827777777778</v>
      </c>
    </row>
    <row r="73" spans="3:24" ht="14.25" customHeight="1" x14ac:dyDescent="0.3">
      <c r="C73" s="192"/>
      <c r="D73" s="192" t="s">
        <v>413</v>
      </c>
      <c r="E73" s="180">
        <v>1.7</v>
      </c>
      <c r="F73" s="192"/>
      <c r="G73" s="192"/>
      <c r="H73" s="180"/>
      <c r="I73" s="181">
        <f t="shared" si="23"/>
        <v>280.79725000000002</v>
      </c>
      <c r="J73" s="185">
        <v>200</v>
      </c>
      <c r="K73" s="185">
        <v>22</v>
      </c>
      <c r="L73" s="185">
        <v>22</v>
      </c>
      <c r="M73" s="181">
        <f t="shared" si="20"/>
        <v>200.3727777777778</v>
      </c>
      <c r="N73" s="185">
        <v>90</v>
      </c>
      <c r="O73" s="185">
        <v>8</v>
      </c>
      <c r="P73" s="185">
        <v>1</v>
      </c>
      <c r="Q73" s="181">
        <f t="shared" si="21"/>
        <v>90.133611111111122</v>
      </c>
      <c r="R73" s="186">
        <v>17.268999999999998</v>
      </c>
      <c r="S73" s="186">
        <v>-0.04</v>
      </c>
      <c r="T73" s="186">
        <v>17.268999999999998</v>
      </c>
      <c r="U73" s="181">
        <f t="shared" si="22"/>
        <v>-1.6497222222222221</v>
      </c>
      <c r="V73" s="182">
        <f t="shared" si="24"/>
        <v>535293.54372617521</v>
      </c>
      <c r="W73" s="182">
        <f t="shared" si="25"/>
        <v>9407742.3400737476</v>
      </c>
      <c r="X73" s="181">
        <f t="shared" si="26"/>
        <v>105.13627777777778</v>
      </c>
    </row>
    <row r="74" spans="3:24" ht="14.25" customHeight="1" x14ac:dyDescent="0.3">
      <c r="C74" s="192"/>
      <c r="D74" s="192" t="s">
        <v>414</v>
      </c>
      <c r="E74" s="180">
        <v>1.7</v>
      </c>
      <c r="F74" s="192"/>
      <c r="G74" s="192"/>
      <c r="H74" s="180"/>
      <c r="I74" s="181">
        <f t="shared" si="23"/>
        <v>280.43058333333335</v>
      </c>
      <c r="J74" s="185">
        <v>200</v>
      </c>
      <c r="K74" s="185">
        <v>0</v>
      </c>
      <c r="L74" s="185">
        <v>22</v>
      </c>
      <c r="M74" s="181">
        <f t="shared" si="20"/>
        <v>200.00611111111112</v>
      </c>
      <c r="N74" s="185">
        <v>90</v>
      </c>
      <c r="O74" s="185">
        <v>4</v>
      </c>
      <c r="P74" s="185">
        <v>10</v>
      </c>
      <c r="Q74" s="181">
        <f t="shared" si="21"/>
        <v>90.069444444444443</v>
      </c>
      <c r="R74" s="186">
        <v>16.934000000000001</v>
      </c>
      <c r="S74" s="186">
        <v>-2.1000000000000001E-2</v>
      </c>
      <c r="T74" s="186">
        <v>16.934000000000001</v>
      </c>
      <c r="U74" s="181">
        <f t="shared" si="22"/>
        <v>-1.6307222222222222</v>
      </c>
      <c r="V74" s="182">
        <f t="shared" si="24"/>
        <v>535293.85283480363</v>
      </c>
      <c r="W74" s="182">
        <f t="shared" si="25"/>
        <v>9407742.1708013006</v>
      </c>
      <c r="X74" s="181">
        <f t="shared" si="26"/>
        <v>105.15527777777778</v>
      </c>
    </row>
    <row r="75" spans="3:24" ht="14.25" customHeight="1" x14ac:dyDescent="0.3">
      <c r="C75" s="192"/>
      <c r="D75" s="192" t="s">
        <v>415</v>
      </c>
      <c r="E75" s="180">
        <v>1.7</v>
      </c>
      <c r="F75" s="180"/>
      <c r="G75" s="180"/>
      <c r="H75" s="180"/>
      <c r="I75" s="181">
        <f t="shared" si="23"/>
        <v>280.15113888888891</v>
      </c>
      <c r="J75" s="185">
        <v>199</v>
      </c>
      <c r="K75" s="185">
        <v>43</v>
      </c>
      <c r="L75" s="185">
        <v>36</v>
      </c>
      <c r="M75" s="181">
        <f t="shared" si="20"/>
        <v>199.72666666666666</v>
      </c>
      <c r="N75" s="185">
        <v>89</v>
      </c>
      <c r="O75" s="185">
        <v>28</v>
      </c>
      <c r="P75" s="185">
        <v>25</v>
      </c>
      <c r="Q75" s="181">
        <f t="shared" si="21"/>
        <v>89.473611111111111</v>
      </c>
      <c r="R75" s="186">
        <v>16.713999999999999</v>
      </c>
      <c r="S75" s="186">
        <v>0.153</v>
      </c>
      <c r="T75" s="186">
        <v>16.713000000000001</v>
      </c>
      <c r="U75" s="181">
        <f t="shared" si="22"/>
        <v>-1.4567222222222223</v>
      </c>
      <c r="V75" s="182">
        <f t="shared" si="24"/>
        <v>535294.05562086159</v>
      </c>
      <c r="W75" s="182">
        <f t="shared" si="25"/>
        <v>9407742.0505888108</v>
      </c>
      <c r="X75" s="181">
        <f t="shared" si="26"/>
        <v>105.32927777777778</v>
      </c>
    </row>
    <row r="76" spans="3:24" ht="14.25" customHeight="1" x14ac:dyDescent="0.3">
      <c r="C76" s="192"/>
      <c r="D76" s="192" t="s">
        <v>286</v>
      </c>
      <c r="E76" s="180">
        <v>1.7</v>
      </c>
      <c r="F76" s="192"/>
      <c r="G76" s="192"/>
      <c r="H76" s="180"/>
      <c r="I76" s="181">
        <f t="shared" si="23"/>
        <v>326.44974999999999</v>
      </c>
      <c r="J76" s="185">
        <v>246</v>
      </c>
      <c r="K76" s="185">
        <v>1</v>
      </c>
      <c r="L76" s="185">
        <v>31</v>
      </c>
      <c r="M76" s="181">
        <f t="shared" si="20"/>
        <v>246.0252777777778</v>
      </c>
      <c r="N76" s="185">
        <v>89</v>
      </c>
      <c r="O76" s="185">
        <v>17</v>
      </c>
      <c r="P76" s="185">
        <v>26</v>
      </c>
      <c r="Q76" s="181">
        <f t="shared" si="21"/>
        <v>89.290555555555557</v>
      </c>
      <c r="R76" s="186">
        <v>41.143000000000001</v>
      </c>
      <c r="S76" s="186">
        <v>0.50900000000000001</v>
      </c>
      <c r="T76" s="186">
        <v>41.14</v>
      </c>
      <c r="U76" s="181">
        <f t="shared" si="22"/>
        <v>-1.1007222222222222</v>
      </c>
      <c r="V76" s="182">
        <f t="shared" si="24"/>
        <v>535287.77023378504</v>
      </c>
      <c r="W76" s="182">
        <f t="shared" si="25"/>
        <v>9407773.3911351301</v>
      </c>
      <c r="X76" s="181">
        <f t="shared" si="26"/>
        <v>105.68527777777778</v>
      </c>
    </row>
    <row r="77" spans="3:24" ht="14.25" customHeight="1" x14ac:dyDescent="0.3">
      <c r="C77" s="192"/>
      <c r="D77" s="192" t="s">
        <v>369</v>
      </c>
      <c r="E77" s="180">
        <v>1.7</v>
      </c>
      <c r="F77" s="180"/>
      <c r="G77" s="192"/>
      <c r="H77" s="180"/>
      <c r="I77" s="181">
        <f t="shared" si="23"/>
        <v>323.6394722222222</v>
      </c>
      <c r="J77" s="185">
        <v>243</v>
      </c>
      <c r="K77" s="185">
        <v>12</v>
      </c>
      <c r="L77" s="185">
        <v>54</v>
      </c>
      <c r="M77" s="181">
        <f t="shared" si="20"/>
        <v>243.21499999999997</v>
      </c>
      <c r="N77" s="185">
        <v>89</v>
      </c>
      <c r="O77" s="185">
        <v>17</v>
      </c>
      <c r="P77" s="185">
        <v>47</v>
      </c>
      <c r="Q77" s="181">
        <f t="shared" si="21"/>
        <v>89.296388888888885</v>
      </c>
      <c r="R77" s="186">
        <v>42</v>
      </c>
      <c r="S77" s="186">
        <v>0.51600000000000001</v>
      </c>
      <c r="T77" s="186">
        <v>41.997</v>
      </c>
      <c r="U77" s="181">
        <f t="shared" si="22"/>
        <v>-1.093722222222222</v>
      </c>
      <c r="V77" s="182">
        <f t="shared" si="24"/>
        <v>535285.60848058842</v>
      </c>
      <c r="W77" s="182">
        <f t="shared" si="25"/>
        <v>9407772.9252859261</v>
      </c>
      <c r="X77" s="181">
        <f t="shared" si="26"/>
        <v>105.69227777777778</v>
      </c>
    </row>
    <row r="78" spans="3:24" ht="14.25" customHeight="1" x14ac:dyDescent="0.3">
      <c r="C78" s="192"/>
      <c r="D78" s="192" t="s">
        <v>416</v>
      </c>
      <c r="E78" s="180">
        <v>1.7</v>
      </c>
      <c r="F78" s="192"/>
      <c r="G78" s="192"/>
      <c r="H78" s="180"/>
      <c r="I78" s="181">
        <f t="shared" si="23"/>
        <v>324.80280555555555</v>
      </c>
      <c r="J78" s="185">
        <v>244</v>
      </c>
      <c r="K78" s="185">
        <v>22</v>
      </c>
      <c r="L78" s="185">
        <v>42</v>
      </c>
      <c r="M78" s="181">
        <f t="shared" si="20"/>
        <v>244.37833333333333</v>
      </c>
      <c r="N78" s="185">
        <v>90</v>
      </c>
      <c r="O78" s="185">
        <v>15</v>
      </c>
      <c r="P78" s="185">
        <v>56</v>
      </c>
      <c r="Q78" s="181">
        <f t="shared" si="21"/>
        <v>90.265555555555551</v>
      </c>
      <c r="R78" s="186">
        <v>40.284999999999997</v>
      </c>
      <c r="S78" s="186">
        <v>-0.186</v>
      </c>
      <c r="T78" s="186">
        <v>40.284999999999997</v>
      </c>
      <c r="U78" s="181">
        <f t="shared" si="22"/>
        <v>-1.7957222222222222</v>
      </c>
      <c r="V78" s="182">
        <f t="shared" si="24"/>
        <v>535287.28703607304</v>
      </c>
      <c r="W78" s="182">
        <f t="shared" si="25"/>
        <v>9407772.0248192623</v>
      </c>
      <c r="X78" s="181">
        <f t="shared" si="26"/>
        <v>104.99027777777778</v>
      </c>
    </row>
    <row r="79" spans="3:24" ht="14.25" customHeight="1" x14ac:dyDescent="0.3">
      <c r="C79" s="192"/>
      <c r="D79" s="192" t="s">
        <v>415</v>
      </c>
      <c r="E79" s="180">
        <v>1.8</v>
      </c>
      <c r="F79" s="192"/>
      <c r="G79" s="192"/>
      <c r="H79" s="180"/>
      <c r="I79" s="181">
        <f t="shared" si="23"/>
        <v>327.64780555555558</v>
      </c>
      <c r="J79" s="185">
        <v>247</v>
      </c>
      <c r="K79" s="185">
        <v>13</v>
      </c>
      <c r="L79" s="185">
        <v>24</v>
      </c>
      <c r="M79" s="181">
        <f t="shared" si="20"/>
        <v>247.22333333333333</v>
      </c>
      <c r="N79" s="185">
        <v>90</v>
      </c>
      <c r="O79" s="185">
        <v>13</v>
      </c>
      <c r="P79" s="185">
        <v>52</v>
      </c>
      <c r="Q79" s="181">
        <f t="shared" si="21"/>
        <v>90.231111111111119</v>
      </c>
      <c r="R79" s="186">
        <v>39.555999999999997</v>
      </c>
      <c r="S79" s="186">
        <v>-0.159</v>
      </c>
      <c r="T79" s="186">
        <v>39.555999999999997</v>
      </c>
      <c r="U79" s="181">
        <f t="shared" si="22"/>
        <v>-1.8687222222222222</v>
      </c>
      <c r="V79" s="182">
        <f t="shared" si="24"/>
        <v>535289.339708969</v>
      </c>
      <c r="W79" s="182">
        <f t="shared" si="25"/>
        <v>9407772.5209082831</v>
      </c>
      <c r="X79" s="181">
        <f t="shared" si="26"/>
        <v>104.91727777777778</v>
      </c>
    </row>
    <row r="80" spans="3:24" ht="14.25" customHeight="1" x14ac:dyDescent="0.3">
      <c r="C80" s="180"/>
      <c r="D80" s="180" t="s">
        <v>417</v>
      </c>
      <c r="E80" s="180">
        <v>1.8</v>
      </c>
      <c r="F80" s="180"/>
      <c r="G80" s="192"/>
      <c r="H80" s="180"/>
      <c r="I80" s="181">
        <f t="shared" si="23"/>
        <v>337.90586111111111</v>
      </c>
      <c r="J80" s="185">
        <v>257</v>
      </c>
      <c r="K80" s="185">
        <v>28</v>
      </c>
      <c r="L80" s="185">
        <v>53</v>
      </c>
      <c r="M80" s="181">
        <f t="shared" si="20"/>
        <v>257.48138888888889</v>
      </c>
      <c r="N80" s="185">
        <v>89</v>
      </c>
      <c r="O80" s="185">
        <v>14</v>
      </c>
      <c r="P80" s="185">
        <v>32</v>
      </c>
      <c r="Q80" s="181">
        <f t="shared" si="21"/>
        <v>89.242222222222225</v>
      </c>
      <c r="R80" s="186">
        <v>39.85</v>
      </c>
      <c r="S80" s="186">
        <v>0.52700000000000002</v>
      </c>
      <c r="T80" s="186">
        <v>39.847000000000001</v>
      </c>
      <c r="U80" s="181">
        <f t="shared" si="22"/>
        <v>-1.1827222222222222</v>
      </c>
      <c r="V80" s="182">
        <f t="shared" si="24"/>
        <v>535295.51936855912</v>
      </c>
      <c r="W80" s="182">
        <f t="shared" si="25"/>
        <v>9407776.0259197187</v>
      </c>
      <c r="X80" s="181">
        <f t="shared" si="26"/>
        <v>105.60327777777778</v>
      </c>
    </row>
    <row r="81" spans="3:24" ht="14.25" customHeight="1" x14ac:dyDescent="0.3">
      <c r="C81" s="192"/>
      <c r="D81" s="192" t="s">
        <v>418</v>
      </c>
      <c r="E81" s="180">
        <v>1.8</v>
      </c>
      <c r="F81" s="192"/>
      <c r="G81" s="192"/>
      <c r="H81" s="180"/>
      <c r="I81" s="181">
        <f t="shared" si="23"/>
        <v>349.50475000000006</v>
      </c>
      <c r="J81" s="185">
        <v>269</v>
      </c>
      <c r="K81" s="185">
        <v>4</v>
      </c>
      <c r="L81" s="185">
        <v>49</v>
      </c>
      <c r="M81" s="181">
        <f t="shared" si="20"/>
        <v>269.08027777777778</v>
      </c>
      <c r="N81" s="185">
        <v>89</v>
      </c>
      <c r="O81" s="185">
        <v>51</v>
      </c>
      <c r="P81" s="185">
        <v>49</v>
      </c>
      <c r="Q81" s="181">
        <f t="shared" si="21"/>
        <v>89.863611111111112</v>
      </c>
      <c r="R81" s="186">
        <v>39.753</v>
      </c>
      <c r="S81" s="186">
        <v>9.5000000000000001E-2</v>
      </c>
      <c r="T81" s="186">
        <v>39.753</v>
      </c>
      <c r="U81" s="181">
        <f t="shared" si="22"/>
        <v>-1.6147222222222224</v>
      </c>
      <c r="V81" s="182">
        <f t="shared" si="24"/>
        <v>535303.26583164255</v>
      </c>
      <c r="W81" s="182">
        <f t="shared" si="25"/>
        <v>9407778.1929327901</v>
      </c>
      <c r="X81" s="181">
        <f t="shared" si="26"/>
        <v>105.17127777777777</v>
      </c>
    </row>
    <row r="82" spans="3:24" ht="14.25" customHeight="1" x14ac:dyDescent="0.3">
      <c r="C82" s="192"/>
      <c r="D82" s="192" t="s">
        <v>419</v>
      </c>
      <c r="E82" s="180">
        <v>1.8</v>
      </c>
      <c r="F82" s="192"/>
      <c r="G82" s="192"/>
      <c r="H82" s="180"/>
      <c r="I82" s="181">
        <f t="shared" si="23"/>
        <v>355.56863888888893</v>
      </c>
      <c r="J82" s="185">
        <v>275</v>
      </c>
      <c r="K82" s="185">
        <v>8</v>
      </c>
      <c r="L82" s="185">
        <v>39</v>
      </c>
      <c r="M82" s="181">
        <f t="shared" si="20"/>
        <v>275.14416666666665</v>
      </c>
      <c r="N82" s="185">
        <v>89</v>
      </c>
      <c r="O82" s="185">
        <v>51</v>
      </c>
      <c r="P82" s="185">
        <v>25</v>
      </c>
      <c r="Q82" s="181">
        <f t="shared" si="21"/>
        <v>89.856944444444437</v>
      </c>
      <c r="R82" s="186">
        <v>40.369999999999997</v>
      </c>
      <c r="S82" s="186">
        <v>0.10199999999999999</v>
      </c>
      <c r="T82" s="186">
        <v>40.369999999999997</v>
      </c>
      <c r="U82" s="181">
        <f t="shared" si="22"/>
        <v>-1.6077222222222223</v>
      </c>
      <c r="V82" s="182">
        <f t="shared" si="24"/>
        <v>535307.38782171695</v>
      </c>
      <c r="W82" s="182">
        <f t="shared" si="25"/>
        <v>9407779.3543183412</v>
      </c>
      <c r="X82" s="181">
        <f t="shared" si="26"/>
        <v>105.17827777777778</v>
      </c>
    </row>
    <row r="83" spans="3:24" ht="14.25" customHeight="1" x14ac:dyDescent="0.3">
      <c r="C83" s="192"/>
      <c r="D83" s="192" t="s">
        <v>420</v>
      </c>
      <c r="E83" s="180">
        <v>1.8</v>
      </c>
      <c r="F83" s="192"/>
      <c r="G83" s="192"/>
      <c r="H83" s="180"/>
      <c r="I83" s="181">
        <f t="shared" si="23"/>
        <v>349.29530555555561</v>
      </c>
      <c r="J83" s="185">
        <v>268</v>
      </c>
      <c r="K83" s="185">
        <v>52</v>
      </c>
      <c r="L83" s="185">
        <v>15</v>
      </c>
      <c r="M83" s="181">
        <f t="shared" si="20"/>
        <v>268.87083333333334</v>
      </c>
      <c r="N83" s="185">
        <v>89</v>
      </c>
      <c r="O83" s="185">
        <v>53</v>
      </c>
      <c r="P83" s="185">
        <v>44</v>
      </c>
      <c r="Q83" s="181">
        <f t="shared" si="21"/>
        <v>89.895555555555561</v>
      </c>
      <c r="R83" s="186">
        <v>43.960999999999999</v>
      </c>
      <c r="S83" s="186">
        <v>8.2000000000000003E-2</v>
      </c>
      <c r="T83" s="186">
        <v>43.960999999999999</v>
      </c>
      <c r="U83" s="181">
        <f t="shared" si="22"/>
        <v>-1.6277222222222223</v>
      </c>
      <c r="V83" s="182">
        <f t="shared" si="24"/>
        <v>535302.34137069585</v>
      </c>
      <c r="W83" s="182">
        <f t="shared" si="25"/>
        <v>9407782.3009722549</v>
      </c>
      <c r="X83" s="181">
        <f t="shared" si="26"/>
        <v>105.15827777777778</v>
      </c>
    </row>
    <row r="84" spans="3:24" ht="14.25" customHeight="1" x14ac:dyDescent="0.3">
      <c r="C84" s="192"/>
      <c r="D84" s="192" t="s">
        <v>421</v>
      </c>
      <c r="E84" s="180">
        <v>1.8</v>
      </c>
      <c r="F84" s="192"/>
      <c r="G84" s="192"/>
      <c r="H84" s="180"/>
      <c r="I84" s="229" t="e">
        <f t="shared" si="23"/>
        <v>#VALUE!</v>
      </c>
      <c r="J84" s="185">
        <v>292</v>
      </c>
      <c r="K84" s="185">
        <v>51</v>
      </c>
      <c r="L84" s="185">
        <v>11</v>
      </c>
      <c r="M84" s="181">
        <f t="shared" si="20"/>
        <v>292.85305555555556</v>
      </c>
      <c r="N84" s="185">
        <v>89</v>
      </c>
      <c r="O84" s="185">
        <v>55</v>
      </c>
      <c r="P84" s="185">
        <v>41</v>
      </c>
      <c r="Q84" s="181">
        <f t="shared" si="21"/>
        <v>89.928055555555559</v>
      </c>
      <c r="R84" s="186">
        <v>50.031999999999996</v>
      </c>
      <c r="S84" s="186">
        <v>6.3E-2</v>
      </c>
      <c r="T84" s="186">
        <v>50.031999999999996</v>
      </c>
      <c r="U84" s="181">
        <f t="shared" si="22"/>
        <v>-1.6467222222222222</v>
      </c>
      <c r="V84" s="182" t="e">
        <f t="shared" si="24"/>
        <v>#VALUE!</v>
      </c>
      <c r="W84" s="182" t="e">
        <f t="shared" si="25"/>
        <v>#VALUE!</v>
      </c>
      <c r="X84" s="181">
        <f t="shared" si="26"/>
        <v>105.13927777777778</v>
      </c>
    </row>
    <row r="85" spans="3:24" ht="14.25" customHeight="1" x14ac:dyDescent="0.3">
      <c r="C85" s="192"/>
      <c r="D85" s="192" t="s">
        <v>422</v>
      </c>
      <c r="E85" s="180">
        <v>1.8</v>
      </c>
      <c r="F85" s="192"/>
      <c r="G85" s="192"/>
      <c r="H85" s="180"/>
      <c r="I85" s="229" t="e">
        <f t="shared" si="23"/>
        <v>#VALUE!</v>
      </c>
      <c r="J85" s="185">
        <v>308</v>
      </c>
      <c r="K85" s="185">
        <v>33</v>
      </c>
      <c r="L85" s="185">
        <v>3</v>
      </c>
      <c r="M85" s="181">
        <f t="shared" si="20"/>
        <v>308.55083333333334</v>
      </c>
      <c r="N85" s="185">
        <v>89</v>
      </c>
      <c r="O85" s="185">
        <v>45</v>
      </c>
      <c r="P85" s="185">
        <v>0</v>
      </c>
      <c r="Q85" s="181">
        <f t="shared" si="21"/>
        <v>89.75</v>
      </c>
      <c r="R85" s="186">
        <v>54.947000000000003</v>
      </c>
      <c r="S85" s="186">
        <v>0.24</v>
      </c>
      <c r="T85" s="186">
        <v>54.945999999999998</v>
      </c>
      <c r="U85" s="181">
        <f t="shared" si="22"/>
        <v>-1.4697222222222224</v>
      </c>
      <c r="V85" s="182" t="e">
        <f t="shared" si="24"/>
        <v>#VALUE!</v>
      </c>
      <c r="W85" s="182" t="e">
        <f t="shared" si="25"/>
        <v>#VALUE!</v>
      </c>
      <c r="X85" s="181">
        <f t="shared" si="26"/>
        <v>105.31627777777778</v>
      </c>
    </row>
    <row r="86" spans="3:24" ht="14.25" customHeight="1" x14ac:dyDescent="0.3">
      <c r="C86" s="192"/>
      <c r="D86" s="192" t="s">
        <v>423</v>
      </c>
      <c r="E86" s="180">
        <v>1.8</v>
      </c>
      <c r="F86" s="192"/>
      <c r="G86" s="192"/>
      <c r="H86" s="180"/>
      <c r="I86" s="229" t="e">
        <f t="shared" si="23"/>
        <v>#VALUE!</v>
      </c>
      <c r="J86" s="185">
        <v>339</v>
      </c>
      <c r="K86" s="185">
        <v>52</v>
      </c>
      <c r="L86" s="185">
        <v>59</v>
      </c>
      <c r="M86" s="181">
        <f t="shared" si="20"/>
        <v>339.88305555555559</v>
      </c>
      <c r="N86" s="185">
        <v>88</v>
      </c>
      <c r="O86" s="185">
        <v>37</v>
      </c>
      <c r="P86" s="185">
        <v>21</v>
      </c>
      <c r="Q86" s="181">
        <f t="shared" si="21"/>
        <v>88.622499999999988</v>
      </c>
      <c r="R86" s="186">
        <v>38.463999999999999</v>
      </c>
      <c r="S86" s="186">
        <v>0.92500000000000004</v>
      </c>
      <c r="T86" s="186">
        <v>38.453000000000003</v>
      </c>
      <c r="U86" s="181">
        <f t="shared" si="22"/>
        <v>-0.78472222222222232</v>
      </c>
      <c r="V86" s="182" t="e">
        <f t="shared" si="24"/>
        <v>#VALUE!</v>
      </c>
      <c r="W86" s="182" t="e">
        <f t="shared" si="25"/>
        <v>#VALUE!</v>
      </c>
      <c r="X86" s="181">
        <f t="shared" si="26"/>
        <v>106.00127777777777</v>
      </c>
    </row>
    <row r="87" spans="3:24" ht="14.25" customHeight="1" x14ac:dyDescent="0.3">
      <c r="C87" s="192"/>
      <c r="D87" s="192" t="s">
        <v>424</v>
      </c>
      <c r="E87" s="180">
        <v>1.8</v>
      </c>
      <c r="F87" s="192"/>
      <c r="G87" s="192"/>
      <c r="H87" s="180"/>
      <c r="I87" s="229" t="e">
        <f t="shared" si="23"/>
        <v>#VALUE!</v>
      </c>
      <c r="J87" s="185">
        <v>342</v>
      </c>
      <c r="K87" s="185">
        <v>18</v>
      </c>
      <c r="L87" s="185">
        <v>33</v>
      </c>
      <c r="M87" s="181">
        <f t="shared" si="20"/>
        <v>342.30916666666667</v>
      </c>
      <c r="N87" s="185">
        <v>88</v>
      </c>
      <c r="O87" s="185">
        <v>27</v>
      </c>
      <c r="P87" s="185">
        <v>5</v>
      </c>
      <c r="Q87" s="181">
        <f t="shared" si="21"/>
        <v>88.451388888888886</v>
      </c>
      <c r="R87" s="186">
        <v>45.460999999999999</v>
      </c>
      <c r="S87" s="186">
        <v>1.2290000000000001</v>
      </c>
      <c r="T87" s="186">
        <v>45.444000000000003</v>
      </c>
      <c r="U87" s="181">
        <f t="shared" si="22"/>
        <v>-0.48072222222222227</v>
      </c>
      <c r="V87" s="182" t="e">
        <f t="shared" si="24"/>
        <v>#VALUE!</v>
      </c>
      <c r="W87" s="182" t="e">
        <f t="shared" si="25"/>
        <v>#VALUE!</v>
      </c>
      <c r="X87" s="181">
        <f t="shared" si="26"/>
        <v>106.30527777777777</v>
      </c>
    </row>
    <row r="88" spans="3:24" ht="14.25" customHeight="1" x14ac:dyDescent="0.3">
      <c r="C88" s="192"/>
      <c r="D88" s="192" t="s">
        <v>416</v>
      </c>
      <c r="E88" s="180">
        <v>1.8</v>
      </c>
      <c r="F88" s="192"/>
      <c r="G88" s="192"/>
      <c r="H88" s="180"/>
      <c r="I88" s="229" t="e">
        <f t="shared" si="23"/>
        <v>#VALUE!</v>
      </c>
      <c r="J88" s="185">
        <v>342</v>
      </c>
      <c r="K88" s="185">
        <v>30</v>
      </c>
      <c r="L88" s="185">
        <v>47</v>
      </c>
      <c r="M88" s="181">
        <f t="shared" si="20"/>
        <v>342.51305555555558</v>
      </c>
      <c r="N88" s="185">
        <v>88</v>
      </c>
      <c r="O88" s="185">
        <v>29</v>
      </c>
      <c r="P88" s="185">
        <v>33</v>
      </c>
      <c r="Q88" s="181">
        <f t="shared" si="21"/>
        <v>88.492500000000007</v>
      </c>
      <c r="R88" s="186">
        <v>45.636000000000003</v>
      </c>
      <c r="S88" s="186">
        <v>1.2010000000000001</v>
      </c>
      <c r="T88" s="186">
        <v>45.62</v>
      </c>
      <c r="U88" s="181">
        <f t="shared" si="22"/>
        <v>-0.5087222222222223</v>
      </c>
      <c r="V88" s="182" t="e">
        <f t="shared" si="24"/>
        <v>#VALUE!</v>
      </c>
      <c r="W88" s="182" t="e">
        <f t="shared" si="25"/>
        <v>#VALUE!</v>
      </c>
      <c r="X88" s="181">
        <f t="shared" si="26"/>
        <v>106.27727777777778</v>
      </c>
    </row>
    <row r="89" spans="3:24" ht="14.25" customHeight="1" x14ac:dyDescent="0.3">
      <c r="C89" s="192"/>
      <c r="D89" s="192"/>
      <c r="E89" s="180">
        <v>1.8</v>
      </c>
      <c r="F89" s="192"/>
      <c r="G89" s="192"/>
      <c r="H89" s="180"/>
      <c r="I89" s="229" t="e">
        <f t="shared" si="23"/>
        <v>#VALUE!</v>
      </c>
      <c r="J89" s="185">
        <v>342</v>
      </c>
      <c r="K89" s="185">
        <v>29</v>
      </c>
      <c r="L89" s="185">
        <v>59</v>
      </c>
      <c r="M89" s="181">
        <f t="shared" si="20"/>
        <v>342.49972222222226</v>
      </c>
      <c r="N89" s="185">
        <v>88</v>
      </c>
      <c r="O89" s="185">
        <v>30</v>
      </c>
      <c r="P89" s="185">
        <v>27</v>
      </c>
      <c r="Q89" s="181">
        <f t="shared" si="21"/>
        <v>88.507499999999993</v>
      </c>
      <c r="R89" s="186">
        <v>45.91</v>
      </c>
      <c r="S89" s="186">
        <v>1.1970000000000001</v>
      </c>
      <c r="T89" s="186">
        <v>45.893999999999998</v>
      </c>
      <c r="U89" s="181">
        <f t="shared" si="22"/>
        <v>-0.5127222222222223</v>
      </c>
      <c r="V89" s="182" t="e">
        <f t="shared" si="24"/>
        <v>#VALUE!</v>
      </c>
      <c r="W89" s="182" t="e">
        <f t="shared" si="25"/>
        <v>#VALUE!</v>
      </c>
      <c r="X89" s="181">
        <f t="shared" si="26"/>
        <v>106.27327777777778</v>
      </c>
    </row>
    <row r="90" spans="3:24" ht="14.25" customHeight="1" x14ac:dyDescent="0.3">
      <c r="C90" s="192"/>
      <c r="D90" s="192"/>
      <c r="E90" s="180">
        <v>1.8</v>
      </c>
      <c r="F90" s="192"/>
      <c r="G90" s="192"/>
      <c r="H90" s="180"/>
      <c r="I90" s="229" t="e">
        <f t="shared" si="23"/>
        <v>#VALUE!</v>
      </c>
      <c r="J90" s="185">
        <v>342</v>
      </c>
      <c r="K90" s="185">
        <v>59</v>
      </c>
      <c r="L90" s="185">
        <v>18</v>
      </c>
      <c r="M90" s="181">
        <f t="shared" si="20"/>
        <v>342.98833333333334</v>
      </c>
      <c r="N90" s="185">
        <v>88</v>
      </c>
      <c r="O90" s="185">
        <v>20</v>
      </c>
      <c r="P90" s="185">
        <v>24</v>
      </c>
      <c r="Q90" s="181">
        <f t="shared" si="21"/>
        <v>88.339999999999989</v>
      </c>
      <c r="R90" s="186">
        <v>45.743000000000002</v>
      </c>
      <c r="S90" s="186">
        <v>1.325</v>
      </c>
      <c r="T90" s="186">
        <v>45.723999999999997</v>
      </c>
      <c r="U90" s="181">
        <f t="shared" si="22"/>
        <v>-0.38472222222222241</v>
      </c>
      <c r="V90" s="182" t="e">
        <f t="shared" si="24"/>
        <v>#VALUE!</v>
      </c>
      <c r="W90" s="182" t="e">
        <f t="shared" si="25"/>
        <v>#VALUE!</v>
      </c>
      <c r="X90" s="181">
        <f t="shared" si="26"/>
        <v>106.40127777777778</v>
      </c>
    </row>
    <row r="91" spans="3:24" ht="14.25" customHeight="1" x14ac:dyDescent="0.3">
      <c r="C91" s="192"/>
      <c r="D91" s="192"/>
      <c r="E91" s="180">
        <v>1.8</v>
      </c>
      <c r="F91" s="192"/>
      <c r="G91" s="192"/>
      <c r="H91" s="180"/>
      <c r="I91" s="229" t="e">
        <f t="shared" si="23"/>
        <v>#VALUE!</v>
      </c>
      <c r="J91" s="185">
        <v>341</v>
      </c>
      <c r="K91" s="185">
        <v>58</v>
      </c>
      <c r="L91" s="185">
        <v>40</v>
      </c>
      <c r="M91" s="181">
        <f t="shared" si="20"/>
        <v>341.97777777777776</v>
      </c>
      <c r="N91" s="185">
        <v>88</v>
      </c>
      <c r="O91" s="185">
        <v>36</v>
      </c>
      <c r="P91" s="185">
        <v>17</v>
      </c>
      <c r="Q91" s="181">
        <f t="shared" si="21"/>
        <v>88.604722222222222</v>
      </c>
      <c r="R91" s="186">
        <v>45.534999999999997</v>
      </c>
      <c r="S91" s="186">
        <v>1.109</v>
      </c>
      <c r="T91" s="186">
        <v>45.521000000000001</v>
      </c>
      <c r="U91" s="181">
        <f t="shared" si="22"/>
        <v>-0.60072222222222238</v>
      </c>
      <c r="V91" s="182" t="e">
        <f t="shared" si="24"/>
        <v>#VALUE!</v>
      </c>
      <c r="W91" s="182" t="e">
        <f t="shared" si="25"/>
        <v>#VALUE!</v>
      </c>
      <c r="X91" s="181">
        <f t="shared" si="26"/>
        <v>106.18527777777778</v>
      </c>
    </row>
    <row r="92" spans="3:24" ht="14.25" customHeight="1" x14ac:dyDescent="0.3">
      <c r="C92" s="192"/>
      <c r="D92" s="192"/>
      <c r="E92" s="180">
        <v>1.8</v>
      </c>
      <c r="F92" s="192"/>
      <c r="G92" s="192"/>
      <c r="H92" s="180"/>
      <c r="I92" s="229" t="e">
        <f t="shared" si="23"/>
        <v>#VALUE!</v>
      </c>
      <c r="J92" s="185">
        <v>342</v>
      </c>
      <c r="K92" s="185">
        <v>0</v>
      </c>
      <c r="L92" s="185">
        <v>22</v>
      </c>
      <c r="M92" s="181">
        <f t="shared" si="20"/>
        <v>342.00611111111112</v>
      </c>
      <c r="N92" s="185">
        <v>88</v>
      </c>
      <c r="O92" s="185">
        <v>27</v>
      </c>
      <c r="P92" s="185">
        <v>42</v>
      </c>
      <c r="Q92" s="181">
        <f t="shared" si="21"/>
        <v>88.461666666666673</v>
      </c>
      <c r="R92" s="186">
        <v>45.688000000000002</v>
      </c>
      <c r="S92" s="186">
        <v>1.226</v>
      </c>
      <c r="T92" s="186">
        <v>45.671999999999997</v>
      </c>
      <c r="U92" s="181">
        <f t="shared" si="22"/>
        <v>-0.48372222222222239</v>
      </c>
      <c r="V92" s="182" t="e">
        <f t="shared" si="24"/>
        <v>#VALUE!</v>
      </c>
      <c r="W92" s="182" t="e">
        <f t="shared" si="25"/>
        <v>#VALUE!</v>
      </c>
      <c r="X92" s="181">
        <f t="shared" si="26"/>
        <v>106.30227777777777</v>
      </c>
    </row>
    <row r="93" spans="3:24" ht="14.25" customHeight="1" x14ac:dyDescent="0.3">
      <c r="C93" s="192"/>
      <c r="D93" s="192"/>
      <c r="E93" s="180">
        <v>1.8</v>
      </c>
      <c r="F93" s="192"/>
      <c r="G93" s="192"/>
      <c r="H93" s="180"/>
      <c r="I93" s="229" t="e">
        <f t="shared" si="23"/>
        <v>#VALUE!</v>
      </c>
      <c r="J93" s="185">
        <v>342</v>
      </c>
      <c r="K93" s="185">
        <v>18</v>
      </c>
      <c r="L93" s="185">
        <v>36</v>
      </c>
      <c r="M93" s="181">
        <f t="shared" si="20"/>
        <v>342.31</v>
      </c>
      <c r="N93" s="185">
        <v>88</v>
      </c>
      <c r="O93" s="185">
        <v>28</v>
      </c>
      <c r="P93" s="185">
        <v>51</v>
      </c>
      <c r="Q93" s="181">
        <f t="shared" si="21"/>
        <v>88.480833333333337</v>
      </c>
      <c r="R93" s="186">
        <v>46.481999999999999</v>
      </c>
      <c r="S93" s="186">
        <v>1.232</v>
      </c>
      <c r="T93" s="186">
        <v>46.466000000000001</v>
      </c>
      <c r="U93" s="181">
        <f t="shared" si="22"/>
        <v>-0.47772222222222238</v>
      </c>
      <c r="V93" s="182" t="e">
        <f t="shared" si="24"/>
        <v>#VALUE!</v>
      </c>
      <c r="W93" s="182" t="e">
        <f t="shared" si="25"/>
        <v>#VALUE!</v>
      </c>
      <c r="X93" s="181">
        <f t="shared" si="26"/>
        <v>106.30827777777777</v>
      </c>
    </row>
    <row r="94" spans="3:24" ht="14.25" customHeight="1" x14ac:dyDescent="0.3">
      <c r="C94" s="192"/>
      <c r="D94" s="192"/>
      <c r="E94" s="180">
        <v>1.8</v>
      </c>
      <c r="F94" s="192"/>
      <c r="G94" s="192"/>
      <c r="H94" s="180"/>
      <c r="I94" s="229" t="e">
        <f t="shared" si="23"/>
        <v>#VALUE!</v>
      </c>
      <c r="J94" s="185">
        <v>342</v>
      </c>
      <c r="K94" s="185">
        <v>37</v>
      </c>
      <c r="L94" s="185">
        <v>59</v>
      </c>
      <c r="M94" s="181">
        <f t="shared" si="20"/>
        <v>342.63305555555559</v>
      </c>
      <c r="N94" s="185">
        <v>88</v>
      </c>
      <c r="O94" s="185">
        <v>27</v>
      </c>
      <c r="P94" s="185">
        <v>1</v>
      </c>
      <c r="Q94" s="181">
        <f t="shared" si="21"/>
        <v>88.450277777777785</v>
      </c>
      <c r="R94" s="186">
        <v>46.427</v>
      </c>
      <c r="S94" s="186">
        <v>1.256</v>
      </c>
      <c r="T94" s="186">
        <v>46.41</v>
      </c>
      <c r="U94" s="181">
        <f t="shared" si="22"/>
        <v>-0.45372222222222236</v>
      </c>
      <c r="V94" s="182" t="e">
        <f t="shared" si="24"/>
        <v>#VALUE!</v>
      </c>
      <c r="W94" s="182" t="e">
        <f t="shared" si="25"/>
        <v>#VALUE!</v>
      </c>
      <c r="X94" s="181">
        <f t="shared" si="26"/>
        <v>106.33227777777778</v>
      </c>
    </row>
    <row r="95" spans="3:24" ht="14.25" customHeight="1" x14ac:dyDescent="0.3">
      <c r="C95" s="192"/>
      <c r="D95" s="192"/>
      <c r="E95" s="180">
        <v>1.8</v>
      </c>
      <c r="F95" s="192"/>
      <c r="G95" s="192"/>
      <c r="H95" s="180"/>
      <c r="I95" s="229" t="e">
        <f t="shared" si="23"/>
        <v>#VALUE!</v>
      </c>
      <c r="J95" s="185">
        <v>342</v>
      </c>
      <c r="K95" s="185">
        <v>5</v>
      </c>
      <c r="L95" s="185">
        <v>43</v>
      </c>
      <c r="M95" s="181">
        <f t="shared" si="20"/>
        <v>342.09527777777777</v>
      </c>
      <c r="N95" s="185">
        <v>88</v>
      </c>
      <c r="O95" s="185">
        <v>2</v>
      </c>
      <c r="P95" s="185">
        <v>27</v>
      </c>
      <c r="Q95" s="181">
        <f t="shared" si="21"/>
        <v>88.040833333333325</v>
      </c>
      <c r="R95" s="186">
        <v>46.529000000000003</v>
      </c>
      <c r="S95" s="186">
        <v>1.591</v>
      </c>
      <c r="T95" s="186">
        <v>46.500999999999998</v>
      </c>
      <c r="U95" s="181">
        <f t="shared" si="22"/>
        <v>-0.1187222222222224</v>
      </c>
      <c r="V95" s="182" t="e">
        <f t="shared" si="24"/>
        <v>#VALUE!</v>
      </c>
      <c r="W95" s="182" t="e">
        <f t="shared" si="25"/>
        <v>#VALUE!</v>
      </c>
      <c r="X95" s="181">
        <f t="shared" si="26"/>
        <v>106.66727777777778</v>
      </c>
    </row>
    <row r="96" spans="3:24" ht="14.25" customHeight="1" x14ac:dyDescent="0.3">
      <c r="C96" s="192"/>
      <c r="D96" s="192"/>
      <c r="E96" s="180">
        <v>1.8</v>
      </c>
      <c r="F96" s="192"/>
      <c r="G96" s="192"/>
      <c r="H96" s="180"/>
      <c r="I96" s="229" t="e">
        <f t="shared" si="23"/>
        <v>#VALUE!</v>
      </c>
      <c r="J96" s="185">
        <v>342</v>
      </c>
      <c r="K96" s="185">
        <v>53</v>
      </c>
      <c r="L96" s="185">
        <v>34</v>
      </c>
      <c r="M96" s="181">
        <f t="shared" si="20"/>
        <v>342.89277777777778</v>
      </c>
      <c r="N96" s="185">
        <v>88</v>
      </c>
      <c r="O96" s="185">
        <v>21</v>
      </c>
      <c r="P96" s="185">
        <v>53</v>
      </c>
      <c r="Q96" s="181">
        <f t="shared" si="21"/>
        <v>88.364722222222213</v>
      </c>
      <c r="R96" s="186">
        <v>46.408999999999999</v>
      </c>
      <c r="S96" s="186">
        <v>1.3240000000000001</v>
      </c>
      <c r="T96" s="186">
        <v>46.39</v>
      </c>
      <c r="U96" s="181">
        <f t="shared" si="22"/>
        <v>-0.3857222222222223</v>
      </c>
      <c r="V96" s="182" t="e">
        <f t="shared" si="24"/>
        <v>#VALUE!</v>
      </c>
      <c r="W96" s="182" t="e">
        <f t="shared" si="25"/>
        <v>#VALUE!</v>
      </c>
      <c r="X96" s="181">
        <f t="shared" si="26"/>
        <v>106.40027777777777</v>
      </c>
    </row>
    <row r="97" spans="3:24" ht="14.25" customHeight="1" x14ac:dyDescent="0.3">
      <c r="C97" s="192"/>
      <c r="D97" s="192"/>
      <c r="E97" s="180">
        <v>1.8</v>
      </c>
      <c r="F97" s="192"/>
      <c r="G97" s="192"/>
      <c r="H97" s="180"/>
      <c r="I97" s="229" t="e">
        <f t="shared" si="23"/>
        <v>#VALUE!</v>
      </c>
      <c r="J97" s="185">
        <v>342</v>
      </c>
      <c r="K97" s="185">
        <v>40</v>
      </c>
      <c r="L97" s="185">
        <v>50</v>
      </c>
      <c r="M97" s="181">
        <f t="shared" si="20"/>
        <v>342.6805555555556</v>
      </c>
      <c r="N97" s="185">
        <v>88</v>
      </c>
      <c r="O97" s="185">
        <v>24</v>
      </c>
      <c r="P97" s="185">
        <v>10</v>
      </c>
      <c r="Q97" s="181">
        <f t="shared" si="21"/>
        <v>88.402777777777786</v>
      </c>
      <c r="R97" s="186">
        <v>46.746000000000002</v>
      </c>
      <c r="S97" s="186">
        <v>1.304</v>
      </c>
      <c r="T97" s="186">
        <v>46.728000000000002</v>
      </c>
      <c r="U97" s="181">
        <f t="shared" si="22"/>
        <v>-0.40572222222222232</v>
      </c>
      <c r="V97" s="182" t="e">
        <f t="shared" si="24"/>
        <v>#VALUE!</v>
      </c>
      <c r="W97" s="182" t="e">
        <f t="shared" si="25"/>
        <v>#VALUE!</v>
      </c>
      <c r="X97" s="181">
        <f t="shared" si="26"/>
        <v>106.38027777777778</v>
      </c>
    </row>
    <row r="98" spans="3:24" ht="14.25" customHeight="1" x14ac:dyDescent="0.3">
      <c r="C98" s="192"/>
      <c r="D98" s="192"/>
      <c r="E98" s="180">
        <v>1.8</v>
      </c>
      <c r="F98" s="192"/>
      <c r="G98" s="192"/>
      <c r="H98" s="180"/>
      <c r="I98" s="229" t="e">
        <f t="shared" si="23"/>
        <v>#VALUE!</v>
      </c>
      <c r="J98" s="185">
        <v>342</v>
      </c>
      <c r="K98" s="185">
        <v>23</v>
      </c>
      <c r="L98" s="185">
        <v>7</v>
      </c>
      <c r="M98" s="181">
        <f t="shared" si="20"/>
        <v>342.38527777777779</v>
      </c>
      <c r="N98" s="185">
        <v>88</v>
      </c>
      <c r="O98" s="185">
        <v>28</v>
      </c>
      <c r="P98" s="185">
        <v>23</v>
      </c>
      <c r="Q98" s="181">
        <f t="shared" si="21"/>
        <v>88.473055555555561</v>
      </c>
      <c r="R98" s="186">
        <v>46.808999999999997</v>
      </c>
      <c r="S98" s="186">
        <v>1.248</v>
      </c>
      <c r="T98" s="186">
        <v>46.792000000000002</v>
      </c>
      <c r="U98" s="181">
        <f t="shared" si="22"/>
        <v>-0.46172222222222237</v>
      </c>
      <c r="V98" s="182" t="e">
        <f t="shared" si="24"/>
        <v>#VALUE!</v>
      </c>
      <c r="W98" s="182" t="e">
        <f t="shared" si="25"/>
        <v>#VALUE!</v>
      </c>
      <c r="X98" s="181">
        <f t="shared" si="26"/>
        <v>106.32427777777778</v>
      </c>
    </row>
    <row r="99" spans="3:24" ht="14.25" customHeight="1" x14ac:dyDescent="0.3">
      <c r="C99" s="192"/>
      <c r="D99" s="192"/>
      <c r="E99" s="180">
        <v>1.8</v>
      </c>
      <c r="F99" s="192"/>
      <c r="G99" s="192"/>
      <c r="H99" s="180"/>
      <c r="I99" s="229" t="e">
        <f t="shared" si="23"/>
        <v>#VALUE!</v>
      </c>
      <c r="J99" s="185">
        <v>342</v>
      </c>
      <c r="K99" s="185">
        <v>24</v>
      </c>
      <c r="L99" s="185">
        <v>51</v>
      </c>
      <c r="M99" s="181">
        <f t="shared" si="20"/>
        <v>342.41416666666663</v>
      </c>
      <c r="N99" s="185">
        <v>88</v>
      </c>
      <c r="O99" s="185">
        <v>27</v>
      </c>
      <c r="P99" s="185">
        <v>40</v>
      </c>
      <c r="Q99" s="181">
        <f t="shared" si="21"/>
        <v>88.461111111111109</v>
      </c>
      <c r="R99" s="186">
        <v>47.051000000000002</v>
      </c>
      <c r="S99" s="186">
        <v>1.264</v>
      </c>
      <c r="T99" s="186">
        <v>47.033999999999999</v>
      </c>
      <c r="U99" s="181">
        <f t="shared" si="22"/>
        <v>-0.44572222222222235</v>
      </c>
      <c r="V99" s="182" t="e">
        <f t="shared" si="24"/>
        <v>#VALUE!</v>
      </c>
      <c r="W99" s="182" t="e">
        <f t="shared" si="25"/>
        <v>#VALUE!</v>
      </c>
      <c r="X99" s="181">
        <f t="shared" si="26"/>
        <v>106.34027777777779</v>
      </c>
    </row>
    <row r="100" spans="3:24" ht="14.25" customHeight="1" x14ac:dyDescent="0.3">
      <c r="C100" s="192"/>
      <c r="D100" s="192"/>
      <c r="E100" s="180">
        <v>1.8</v>
      </c>
      <c r="F100" s="192"/>
      <c r="G100" s="192"/>
      <c r="H100" s="180"/>
      <c r="I100" s="229" t="e">
        <f t="shared" si="23"/>
        <v>#VALUE!</v>
      </c>
      <c r="J100" s="185">
        <v>342</v>
      </c>
      <c r="K100" s="185">
        <v>33</v>
      </c>
      <c r="L100" s="185">
        <v>57</v>
      </c>
      <c r="M100" s="181">
        <f t="shared" si="20"/>
        <v>342.56583333333333</v>
      </c>
      <c r="N100" s="185">
        <v>88</v>
      </c>
      <c r="O100" s="185">
        <v>27</v>
      </c>
      <c r="P100" s="185">
        <v>22</v>
      </c>
      <c r="Q100" s="181">
        <f t="shared" si="21"/>
        <v>88.456111111111113</v>
      </c>
      <c r="R100" s="186">
        <v>47.332999999999998</v>
      </c>
      <c r="S100" s="186">
        <v>1.2749999999999999</v>
      </c>
      <c r="T100" s="186">
        <v>47.316000000000003</v>
      </c>
      <c r="U100" s="181">
        <f t="shared" si="22"/>
        <v>-0.43472222222222245</v>
      </c>
      <c r="V100" s="182" t="e">
        <f t="shared" si="24"/>
        <v>#VALUE!</v>
      </c>
      <c r="W100" s="182" t="e">
        <f t="shared" si="25"/>
        <v>#VALUE!</v>
      </c>
      <c r="X100" s="181">
        <f t="shared" si="26"/>
        <v>106.35127777777778</v>
      </c>
    </row>
    <row r="101" spans="3:24" ht="14.25" customHeight="1" x14ac:dyDescent="0.3">
      <c r="C101" s="192"/>
      <c r="D101" s="192"/>
      <c r="E101" s="180">
        <v>1.8</v>
      </c>
      <c r="F101" s="192"/>
      <c r="G101" s="192"/>
      <c r="H101" s="180"/>
      <c r="I101" s="229" t="e">
        <f t="shared" si="23"/>
        <v>#VALUE!</v>
      </c>
      <c r="J101" s="185">
        <v>340</v>
      </c>
      <c r="K101" s="185">
        <v>22</v>
      </c>
      <c r="L101" s="185">
        <v>45</v>
      </c>
      <c r="M101" s="181">
        <f t="shared" si="20"/>
        <v>340.37916666666666</v>
      </c>
      <c r="N101" s="185">
        <v>88</v>
      </c>
      <c r="O101" s="185">
        <v>34</v>
      </c>
      <c r="P101" s="185">
        <v>18</v>
      </c>
      <c r="Q101" s="181">
        <f t="shared" si="21"/>
        <v>88.571666666666658</v>
      </c>
      <c r="R101" s="186">
        <v>38.447000000000003</v>
      </c>
      <c r="S101" s="186">
        <v>0.95899999999999996</v>
      </c>
      <c r="T101" s="186">
        <v>38.435000000000002</v>
      </c>
      <c r="U101" s="181">
        <f t="shared" si="22"/>
        <v>-0.75072222222222229</v>
      </c>
      <c r="V101" s="182" t="e">
        <f t="shared" si="24"/>
        <v>#VALUE!</v>
      </c>
      <c r="W101" s="182" t="e">
        <f t="shared" si="25"/>
        <v>#VALUE!</v>
      </c>
      <c r="X101" s="181">
        <f t="shared" si="26"/>
        <v>106.03527777777778</v>
      </c>
    </row>
    <row r="102" spans="3:24" ht="14.25" customHeight="1" x14ac:dyDescent="0.3">
      <c r="C102" s="192"/>
      <c r="D102" s="192" t="s">
        <v>425</v>
      </c>
      <c r="E102" s="180">
        <v>1.8</v>
      </c>
      <c r="F102" s="192"/>
      <c r="G102" s="192"/>
      <c r="H102" s="180"/>
      <c r="I102" s="229" t="e">
        <f t="shared" si="23"/>
        <v>#VALUE!</v>
      </c>
      <c r="J102" s="185">
        <v>351</v>
      </c>
      <c r="K102" s="185">
        <v>11</v>
      </c>
      <c r="L102" s="185">
        <v>25</v>
      </c>
      <c r="M102" s="181">
        <f t="shared" si="20"/>
        <v>351.19027777777779</v>
      </c>
      <c r="N102" s="185">
        <v>88</v>
      </c>
      <c r="O102" s="185">
        <v>6</v>
      </c>
      <c r="P102" s="185">
        <v>20</v>
      </c>
      <c r="Q102" s="181">
        <f t="shared" si="21"/>
        <v>88.105555555555554</v>
      </c>
      <c r="R102" s="186">
        <v>49.51</v>
      </c>
      <c r="S102" s="186">
        <v>1.637</v>
      </c>
      <c r="T102" s="186">
        <v>49.482999999999997</v>
      </c>
      <c r="U102" s="181">
        <f t="shared" si="22"/>
        <v>-7.2722222222222355E-2</v>
      </c>
      <c r="V102" s="182" t="e">
        <f t="shared" si="24"/>
        <v>#VALUE!</v>
      </c>
      <c r="W102" s="182" t="e">
        <f t="shared" si="25"/>
        <v>#VALUE!</v>
      </c>
      <c r="X102" s="181">
        <f t="shared" si="26"/>
        <v>106.71327777777778</v>
      </c>
    </row>
    <row r="103" spans="3:24" ht="14.25" customHeight="1" x14ac:dyDescent="0.3">
      <c r="C103" s="192"/>
      <c r="D103" s="192" t="s">
        <v>426</v>
      </c>
      <c r="E103" s="180">
        <v>1.8</v>
      </c>
      <c r="F103" s="192"/>
      <c r="G103" s="192"/>
      <c r="H103" s="180"/>
      <c r="I103" s="229" t="e">
        <f t="shared" si="23"/>
        <v>#VALUE!</v>
      </c>
      <c r="J103" s="185">
        <v>357</v>
      </c>
      <c r="K103" s="185">
        <v>56</v>
      </c>
      <c r="L103" s="185">
        <v>30</v>
      </c>
      <c r="M103" s="181">
        <f t="shared" si="20"/>
        <v>357.94166666666666</v>
      </c>
      <c r="N103" s="185">
        <v>88</v>
      </c>
      <c r="O103" s="185">
        <v>10</v>
      </c>
      <c r="P103" s="185">
        <v>8</v>
      </c>
      <c r="Q103" s="181">
        <f t="shared" si="21"/>
        <v>88.168888888888887</v>
      </c>
      <c r="R103" s="186">
        <v>49.445</v>
      </c>
      <c r="S103" s="186">
        <v>1.581</v>
      </c>
      <c r="T103" s="186">
        <v>49.42</v>
      </c>
      <c r="U103" s="181">
        <f t="shared" si="22"/>
        <v>-0.1287222222222224</v>
      </c>
      <c r="V103" s="182" t="e">
        <f t="shared" si="24"/>
        <v>#VALUE!</v>
      </c>
      <c r="W103" s="182" t="e">
        <f t="shared" si="25"/>
        <v>#VALUE!</v>
      </c>
      <c r="X103" s="181">
        <f t="shared" si="26"/>
        <v>106.65727777777778</v>
      </c>
    </row>
    <row r="104" spans="3:24" ht="14.25" customHeight="1" x14ac:dyDescent="0.3">
      <c r="C104" s="192"/>
      <c r="D104" s="192" t="s">
        <v>427</v>
      </c>
      <c r="E104" s="180">
        <v>1.8</v>
      </c>
      <c r="F104" s="192"/>
      <c r="G104" s="192"/>
      <c r="H104" s="180"/>
      <c r="I104" s="181">
        <f t="shared" si="23"/>
        <v>88.524194444444447</v>
      </c>
      <c r="J104" s="185">
        <v>8</v>
      </c>
      <c r="K104" s="185">
        <v>5</v>
      </c>
      <c r="L104" s="185">
        <v>59</v>
      </c>
      <c r="M104" s="181">
        <f t="shared" si="20"/>
        <v>8.0997222222222227</v>
      </c>
      <c r="N104" s="185">
        <v>90</v>
      </c>
      <c r="O104" s="185">
        <v>0</v>
      </c>
      <c r="P104" s="185">
        <v>47</v>
      </c>
      <c r="Q104" s="181">
        <f t="shared" si="21"/>
        <v>90.013055555555553</v>
      </c>
      <c r="R104" s="186">
        <v>5.1509999999999998</v>
      </c>
      <c r="S104" s="186">
        <v>-1E-3</v>
      </c>
      <c r="T104" s="186">
        <v>5.1509999999999998</v>
      </c>
      <c r="U104" s="181">
        <f t="shared" si="22"/>
        <v>-1.7107222222222223</v>
      </c>
      <c r="V104" s="182">
        <f t="shared" si="24"/>
        <v>535315.65629136004</v>
      </c>
      <c r="W104" s="182">
        <f t="shared" si="25"/>
        <v>9407739.2376630679</v>
      </c>
      <c r="X104" s="181">
        <f t="shared" si="26"/>
        <v>105.07527777777779</v>
      </c>
    </row>
    <row r="105" spans="3:24" ht="14.25" customHeight="1" x14ac:dyDescent="0.3">
      <c r="C105" s="192"/>
      <c r="D105" s="192" t="s">
        <v>428</v>
      </c>
      <c r="E105" s="180">
        <v>1.8</v>
      </c>
      <c r="F105" s="192"/>
      <c r="G105" s="192"/>
      <c r="H105" s="180"/>
      <c r="I105" s="181">
        <f t="shared" si="23"/>
        <v>133.22919444444443</v>
      </c>
      <c r="J105" s="185">
        <v>52</v>
      </c>
      <c r="K105" s="185">
        <v>48</v>
      </c>
      <c r="L105" s="185">
        <v>17</v>
      </c>
      <c r="M105" s="181">
        <f t="shared" si="20"/>
        <v>52.804722222222217</v>
      </c>
      <c r="N105" s="185">
        <v>88</v>
      </c>
      <c r="O105" s="185">
        <v>2</v>
      </c>
      <c r="P105" s="185">
        <v>25</v>
      </c>
      <c r="Q105" s="181">
        <f t="shared" si="21"/>
        <v>88.040277777777774</v>
      </c>
      <c r="R105" s="186">
        <v>1.3979999999999999</v>
      </c>
      <c r="S105" s="186">
        <v>4.8000000000000001E-2</v>
      </c>
      <c r="T105" s="186">
        <v>1.397</v>
      </c>
      <c r="U105" s="181">
        <f t="shared" si="22"/>
        <v>-1.6617222222222223</v>
      </c>
      <c r="V105" s="182">
        <f t="shared" si="24"/>
        <v>535311.52488176175</v>
      </c>
      <c r="W105" s="182">
        <f t="shared" si="25"/>
        <v>9407738.1481689177</v>
      </c>
      <c r="X105" s="181">
        <f t="shared" si="26"/>
        <v>105.12427777777778</v>
      </c>
    </row>
    <row r="106" spans="3:24" ht="14.25" customHeight="1" x14ac:dyDescent="0.35">
      <c r="C106" s="180"/>
      <c r="D106" s="180"/>
      <c r="E106" s="180"/>
      <c r="F106" s="180"/>
      <c r="G106" s="180"/>
      <c r="H106" s="180"/>
      <c r="I106" s="181"/>
      <c r="J106" s="185"/>
      <c r="K106" s="185"/>
      <c r="L106" s="185"/>
      <c r="M106" s="181"/>
      <c r="N106" s="185"/>
      <c r="O106" s="185"/>
      <c r="P106" s="185"/>
      <c r="Q106" s="181"/>
      <c r="R106" s="186"/>
      <c r="S106" s="186"/>
      <c r="T106" s="186"/>
      <c r="U106" s="181"/>
      <c r="V106" s="182"/>
      <c r="W106" s="182"/>
      <c r="X106" s="183"/>
    </row>
    <row r="107" spans="3:24" ht="14.25" customHeight="1" x14ac:dyDescent="0.3">
      <c r="C107" s="192"/>
      <c r="D107" s="192"/>
      <c r="E107" s="180"/>
      <c r="F107" s="192"/>
      <c r="G107" s="180"/>
      <c r="H107" s="192"/>
      <c r="I107" s="181"/>
      <c r="J107" s="185"/>
      <c r="K107" s="185"/>
      <c r="L107" s="185"/>
      <c r="M107" s="181"/>
      <c r="N107" s="185"/>
      <c r="O107" s="185"/>
      <c r="P107" s="185"/>
      <c r="Q107" s="181"/>
      <c r="R107" s="186"/>
      <c r="S107" s="186"/>
      <c r="T107" s="186"/>
      <c r="U107" s="181"/>
      <c r="V107" s="182"/>
      <c r="W107" s="182"/>
      <c r="X107" s="181"/>
    </row>
    <row r="108" spans="3:24" ht="14.25" customHeight="1" x14ac:dyDescent="0.3">
      <c r="C108" s="192"/>
      <c r="D108" s="192"/>
      <c r="E108" s="180"/>
      <c r="F108" s="192"/>
      <c r="G108" s="180"/>
      <c r="H108" s="192"/>
      <c r="I108" s="181"/>
      <c r="J108" s="185"/>
      <c r="K108" s="185"/>
      <c r="L108" s="185"/>
      <c r="M108" s="181"/>
      <c r="N108" s="185"/>
      <c r="O108" s="185"/>
      <c r="P108" s="185"/>
      <c r="Q108" s="181"/>
      <c r="R108" s="186"/>
      <c r="S108" s="186"/>
      <c r="T108" s="186"/>
      <c r="U108" s="181"/>
      <c r="V108" s="182"/>
      <c r="W108" s="182"/>
      <c r="X108" s="181"/>
    </row>
    <row r="109" spans="3:24" ht="14.25" customHeight="1" x14ac:dyDescent="0.3">
      <c r="C109" s="192"/>
      <c r="D109" s="192"/>
      <c r="E109" s="180"/>
      <c r="F109" s="192"/>
      <c r="G109" s="180"/>
      <c r="H109" s="192"/>
      <c r="I109" s="181"/>
      <c r="J109" s="185"/>
      <c r="K109" s="185"/>
      <c r="L109" s="185"/>
      <c r="M109" s="181"/>
      <c r="N109" s="185"/>
      <c r="O109" s="185"/>
      <c r="P109" s="185"/>
      <c r="Q109" s="181"/>
      <c r="R109" s="186"/>
      <c r="S109" s="186"/>
      <c r="T109" s="186"/>
      <c r="U109" s="181"/>
      <c r="V109" s="182"/>
      <c r="W109" s="182"/>
      <c r="X109" s="181"/>
    </row>
    <row r="110" spans="3:24" ht="14.25" customHeight="1" x14ac:dyDescent="0.3">
      <c r="C110" s="192"/>
      <c r="D110" s="192"/>
      <c r="E110" s="180"/>
      <c r="F110" s="180"/>
      <c r="G110" s="180"/>
      <c r="H110" s="192"/>
      <c r="I110" s="181"/>
      <c r="J110" s="185"/>
      <c r="K110" s="185"/>
      <c r="L110" s="185"/>
      <c r="M110" s="181"/>
      <c r="N110" s="185"/>
      <c r="O110" s="185"/>
      <c r="P110" s="185"/>
      <c r="Q110" s="181"/>
      <c r="R110" s="186"/>
      <c r="S110" s="186"/>
      <c r="T110" s="186"/>
      <c r="U110" s="181"/>
      <c r="V110" s="182"/>
      <c r="W110" s="182"/>
      <c r="X110" s="181"/>
    </row>
    <row r="111" spans="3:24" ht="14.25" customHeight="1" x14ac:dyDescent="0.3">
      <c r="C111" s="192"/>
      <c r="D111" s="192"/>
      <c r="E111" s="180"/>
      <c r="F111" s="192"/>
      <c r="G111" s="180"/>
      <c r="H111" s="192"/>
      <c r="I111" s="181"/>
      <c r="J111" s="185"/>
      <c r="K111" s="185"/>
      <c r="L111" s="185"/>
      <c r="M111" s="181"/>
      <c r="N111" s="185"/>
      <c r="O111" s="185"/>
      <c r="P111" s="185"/>
      <c r="Q111" s="181"/>
      <c r="R111" s="186"/>
      <c r="S111" s="186"/>
      <c r="T111" s="186"/>
      <c r="U111" s="181"/>
      <c r="V111" s="182"/>
      <c r="W111" s="182"/>
      <c r="X111" s="181"/>
    </row>
  </sheetData>
  <mergeCells count="25">
    <mergeCell ref="AU6:AW6"/>
    <mergeCell ref="AB14:AW14"/>
    <mergeCell ref="AB6:AC6"/>
    <mergeCell ref="AD6:AG6"/>
    <mergeCell ref="AI6:AL6"/>
    <mergeCell ref="AM6:AP6"/>
    <mergeCell ref="AT6:AT7"/>
    <mergeCell ref="V6:X6"/>
    <mergeCell ref="R6:T6"/>
    <mergeCell ref="U6:U7"/>
    <mergeCell ref="AQ6:AS6"/>
    <mergeCell ref="C2:X5"/>
    <mergeCell ref="C53:X55"/>
    <mergeCell ref="V56:X56"/>
    <mergeCell ref="C14:X18"/>
    <mergeCell ref="C56:D56"/>
    <mergeCell ref="E56:H56"/>
    <mergeCell ref="J56:M56"/>
    <mergeCell ref="N56:Q56"/>
    <mergeCell ref="R56:T56"/>
    <mergeCell ref="U56:U57"/>
    <mergeCell ref="C6:D6"/>
    <mergeCell ref="E6:H6"/>
    <mergeCell ref="J6:M6"/>
    <mergeCell ref="N6:Q6"/>
  </mergeCells>
  <pageMargins left="0.7" right="0.7" top="0.75" bottom="0.75" header="0" footer="0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AB114"/>
  <sheetViews>
    <sheetView workbookViewId="0"/>
  </sheetViews>
  <sheetFormatPr defaultColWidth="14.33203125" defaultRowHeight="15" customHeight="1" x14ac:dyDescent="0.3"/>
  <cols>
    <col min="1" max="28" width="8.75" customWidth="1"/>
  </cols>
  <sheetData>
    <row r="1" spans="2:25" ht="14.25" customHeight="1" x14ac:dyDescent="0.3">
      <c r="B1" s="466" t="s">
        <v>429</v>
      </c>
      <c r="C1" s="348"/>
      <c r="D1" s="348"/>
      <c r="E1" s="348"/>
      <c r="F1" s="348"/>
      <c r="G1" s="348"/>
      <c r="H1" s="348"/>
      <c r="I1" s="348"/>
      <c r="J1" s="348"/>
      <c r="K1" s="348"/>
      <c r="L1" s="348"/>
      <c r="M1" s="348"/>
      <c r="N1" s="348"/>
      <c r="O1" s="348"/>
      <c r="P1" s="348"/>
      <c r="Q1" s="348"/>
      <c r="R1" s="348"/>
      <c r="S1" s="348"/>
      <c r="T1" s="348"/>
      <c r="U1" s="348"/>
      <c r="V1" s="348"/>
      <c r="W1" s="349"/>
    </row>
    <row r="2" spans="2:25" ht="14.25" customHeight="1" x14ac:dyDescent="0.3">
      <c r="B2" s="440"/>
      <c r="C2" s="332"/>
      <c r="D2" s="332"/>
      <c r="E2" s="332"/>
      <c r="F2" s="332"/>
      <c r="G2" s="332"/>
      <c r="H2" s="332"/>
      <c r="I2" s="332"/>
      <c r="J2" s="332"/>
      <c r="K2" s="332"/>
      <c r="L2" s="332"/>
      <c r="M2" s="332"/>
      <c r="N2" s="332"/>
      <c r="O2" s="332"/>
      <c r="P2" s="332"/>
      <c r="Q2" s="332"/>
      <c r="R2" s="332"/>
      <c r="S2" s="332"/>
      <c r="T2" s="332"/>
      <c r="U2" s="332"/>
      <c r="V2" s="332"/>
      <c r="W2" s="441"/>
    </row>
    <row r="3" spans="2:25" ht="14.25" customHeight="1" x14ac:dyDescent="0.3">
      <c r="B3" s="440"/>
      <c r="C3" s="332"/>
      <c r="D3" s="332"/>
      <c r="E3" s="332"/>
      <c r="F3" s="332"/>
      <c r="G3" s="332"/>
      <c r="H3" s="332"/>
      <c r="I3" s="332"/>
      <c r="J3" s="332"/>
      <c r="K3" s="332"/>
      <c r="L3" s="332"/>
      <c r="M3" s="332"/>
      <c r="N3" s="332"/>
      <c r="O3" s="332"/>
      <c r="P3" s="332"/>
      <c r="Q3" s="332"/>
      <c r="R3" s="332"/>
      <c r="S3" s="332"/>
      <c r="T3" s="332"/>
      <c r="U3" s="332"/>
      <c r="V3" s="332"/>
      <c r="W3" s="441"/>
    </row>
    <row r="4" spans="2:25" ht="14.25" customHeight="1" x14ac:dyDescent="0.3">
      <c r="B4" s="350"/>
      <c r="C4" s="333"/>
      <c r="D4" s="333"/>
      <c r="E4" s="333"/>
      <c r="F4" s="333"/>
      <c r="G4" s="333"/>
      <c r="H4" s="333"/>
      <c r="I4" s="333"/>
      <c r="J4" s="333"/>
      <c r="K4" s="333"/>
      <c r="L4" s="333"/>
      <c r="M4" s="333"/>
      <c r="N4" s="333"/>
      <c r="O4" s="333"/>
      <c r="P4" s="333"/>
      <c r="Q4" s="333"/>
      <c r="R4" s="333"/>
      <c r="S4" s="333"/>
      <c r="T4" s="333"/>
      <c r="U4" s="333"/>
      <c r="V4" s="333"/>
      <c r="W4" s="351"/>
    </row>
    <row r="5" spans="2:25" ht="14.25" customHeight="1" x14ac:dyDescent="0.3">
      <c r="B5" s="438" t="s">
        <v>263</v>
      </c>
      <c r="C5" s="330"/>
      <c r="D5" s="438" t="s">
        <v>247</v>
      </c>
      <c r="E5" s="329"/>
      <c r="F5" s="329"/>
      <c r="G5" s="330"/>
      <c r="H5" s="178" t="s">
        <v>248</v>
      </c>
      <c r="I5" s="438" t="s">
        <v>249</v>
      </c>
      <c r="J5" s="329"/>
      <c r="K5" s="329"/>
      <c r="L5" s="330"/>
      <c r="M5" s="438" t="s">
        <v>250</v>
      </c>
      <c r="N5" s="329"/>
      <c r="O5" s="329"/>
      <c r="P5" s="330"/>
      <c r="Q5" s="438" t="s">
        <v>251</v>
      </c>
      <c r="R5" s="329"/>
      <c r="S5" s="330"/>
      <c r="T5" s="437" t="s">
        <v>106</v>
      </c>
      <c r="U5" s="438" t="s">
        <v>252</v>
      </c>
      <c r="V5" s="329"/>
      <c r="W5" s="330"/>
    </row>
    <row r="6" spans="2:25" ht="14.25" customHeight="1" x14ac:dyDescent="0.3">
      <c r="B6" s="178" t="s">
        <v>253</v>
      </c>
      <c r="C6" s="178" t="s">
        <v>254</v>
      </c>
      <c r="D6" s="178" t="s">
        <v>255</v>
      </c>
      <c r="E6" s="178" t="s">
        <v>256</v>
      </c>
      <c r="F6" s="178" t="s">
        <v>257</v>
      </c>
      <c r="G6" s="178" t="s">
        <v>258</v>
      </c>
      <c r="H6" s="178" t="s">
        <v>259</v>
      </c>
      <c r="I6" s="178" t="s">
        <v>260</v>
      </c>
      <c r="J6" s="178" t="s">
        <v>261</v>
      </c>
      <c r="K6" s="178" t="s">
        <v>262</v>
      </c>
      <c r="L6" s="178" t="s">
        <v>259</v>
      </c>
      <c r="M6" s="178" t="s">
        <v>260</v>
      </c>
      <c r="N6" s="178" t="s">
        <v>261</v>
      </c>
      <c r="O6" s="178" t="s">
        <v>262</v>
      </c>
      <c r="P6" s="178" t="s">
        <v>259</v>
      </c>
      <c r="Q6" s="178" t="s">
        <v>114</v>
      </c>
      <c r="R6" s="178" t="s">
        <v>113</v>
      </c>
      <c r="S6" s="178" t="s">
        <v>112</v>
      </c>
      <c r="T6" s="339"/>
      <c r="U6" s="178" t="s">
        <v>79</v>
      </c>
      <c r="V6" s="178" t="s">
        <v>80</v>
      </c>
      <c r="W6" s="178" t="s">
        <v>81</v>
      </c>
    </row>
    <row r="7" spans="2:25" ht="14.25" customHeight="1" x14ac:dyDescent="0.35">
      <c r="B7" s="271">
        <v>1.49</v>
      </c>
      <c r="C7" s="271" t="s">
        <v>21</v>
      </c>
      <c r="D7" s="271">
        <v>1.46</v>
      </c>
      <c r="E7" s="271"/>
      <c r="F7" s="271" t="s">
        <v>20</v>
      </c>
      <c r="G7" s="271"/>
      <c r="H7" s="272">
        <f>KKH!G13</f>
        <v>81.627944444444438</v>
      </c>
      <c r="I7" s="296">
        <v>92</v>
      </c>
      <c r="J7" s="296">
        <v>57</v>
      </c>
      <c r="K7" s="296">
        <v>59</v>
      </c>
      <c r="L7" s="296">
        <f t="shared" ref="L7:L85" si="0">I7+(J7/60)+(K7/3600)</f>
        <v>92.966388888888886</v>
      </c>
      <c r="M7" s="296">
        <v>91</v>
      </c>
      <c r="N7" s="296">
        <v>41</v>
      </c>
      <c r="O7" s="296">
        <v>23</v>
      </c>
      <c r="P7" s="296">
        <f t="shared" ref="P7:P85" si="1">M7+(N7/60)+(O7/3600)</f>
        <v>91.68972222222223</v>
      </c>
      <c r="Q7" s="297">
        <v>98077</v>
      </c>
      <c r="R7" s="297">
        <v>-2.895</v>
      </c>
      <c r="S7" s="297">
        <v>98034</v>
      </c>
      <c r="T7" s="272">
        <f t="shared" ref="T7:T85" si="2">R7+$B$7-D7</f>
        <v>-2.8650000000000002</v>
      </c>
      <c r="U7" s="298">
        <v>535310.50699999998</v>
      </c>
      <c r="V7" s="298">
        <v>9407739.1050000004</v>
      </c>
      <c r="W7" s="299">
        <v>106.786</v>
      </c>
    </row>
    <row r="8" spans="2:25" ht="14.25" customHeight="1" x14ac:dyDescent="0.3">
      <c r="B8" s="180">
        <v>1.49</v>
      </c>
      <c r="C8" s="192"/>
      <c r="D8" s="180">
        <v>1.49</v>
      </c>
      <c r="E8" s="192"/>
      <c r="F8" s="180"/>
      <c r="G8" s="192" t="s">
        <v>381</v>
      </c>
      <c r="H8" s="181">
        <f t="shared" ref="H8:H85" si="3">IF($H$7+L8&gt;=540,$L$7+L8-540,IF($H$7+L8&gt;=180,$H$7+L8-180,$M$7+L8+180))</f>
        <v>357.42444444444448</v>
      </c>
      <c r="I8" s="235">
        <v>86</v>
      </c>
      <c r="J8" s="235">
        <v>25</v>
      </c>
      <c r="K8" s="235">
        <v>28</v>
      </c>
      <c r="L8" s="235">
        <f t="shared" si="0"/>
        <v>86.424444444444447</v>
      </c>
      <c r="M8" s="235">
        <v>95</v>
      </c>
      <c r="N8" s="235">
        <v>6</v>
      </c>
      <c r="O8" s="235">
        <v>49</v>
      </c>
      <c r="P8" s="235">
        <f t="shared" si="1"/>
        <v>95.113611111111112</v>
      </c>
      <c r="Q8" s="240">
        <v>5817</v>
      </c>
      <c r="R8" s="235">
        <v>-0.51900000000000002</v>
      </c>
      <c r="S8" s="240">
        <v>5794</v>
      </c>
      <c r="T8" s="181">
        <f t="shared" si="2"/>
        <v>-0.51900000000000002</v>
      </c>
      <c r="U8" s="182">
        <f t="shared" ref="U8:U85" si="4">$U$7+S8*SIN(RADIANS(H8))</f>
        <v>535050.14325515798</v>
      </c>
      <c r="V8" s="182">
        <f t="shared" ref="V8:V85" si="5">$V$7+S8*COS(RADIANS(H8))</f>
        <v>9413527.2520886958</v>
      </c>
      <c r="W8" s="181">
        <f t="shared" ref="W8:W85" si="6">$W$7+T8</f>
        <v>106.267</v>
      </c>
      <c r="Y8" t="str">
        <f t="shared" ref="Y8:Y85" si="7">CONCATENATE("PO"," ",U8,",",V8)</f>
        <v>PO 535050,143255158,9413527,2520887</v>
      </c>
    </row>
    <row r="9" spans="2:25" ht="14.25" customHeight="1" x14ac:dyDescent="0.3">
      <c r="B9" s="180">
        <v>1.49</v>
      </c>
      <c r="C9" s="192"/>
      <c r="D9" s="180">
        <v>1.49</v>
      </c>
      <c r="E9" s="192"/>
      <c r="F9" s="180"/>
      <c r="G9" s="192" t="s">
        <v>383</v>
      </c>
      <c r="H9" s="181">
        <f t="shared" si="3"/>
        <v>352.15305555555557</v>
      </c>
      <c r="I9" s="235">
        <v>81</v>
      </c>
      <c r="J9" s="235">
        <v>9</v>
      </c>
      <c r="K9" s="235">
        <v>11</v>
      </c>
      <c r="L9" s="235">
        <f t="shared" si="0"/>
        <v>81.153055555555568</v>
      </c>
      <c r="M9" s="235">
        <v>95</v>
      </c>
      <c r="N9" s="235">
        <v>6</v>
      </c>
      <c r="O9" s="235">
        <v>20</v>
      </c>
      <c r="P9" s="235">
        <f t="shared" si="1"/>
        <v>95.105555555555554</v>
      </c>
      <c r="Q9" s="240">
        <v>6022</v>
      </c>
      <c r="R9" s="235">
        <v>-0.53500000000000003</v>
      </c>
      <c r="S9" s="240">
        <v>5978</v>
      </c>
      <c r="T9" s="181">
        <f t="shared" si="2"/>
        <v>-0.53500000000000003</v>
      </c>
      <c r="U9" s="182">
        <f t="shared" si="4"/>
        <v>534494.34691243817</v>
      </c>
      <c r="V9" s="182">
        <f t="shared" si="5"/>
        <v>9413661.1288695466</v>
      </c>
      <c r="W9" s="181">
        <f t="shared" si="6"/>
        <v>106.251</v>
      </c>
      <c r="Y9" t="str">
        <f t="shared" si="7"/>
        <v>PO 534494,346912438,9413661,12886955</v>
      </c>
    </row>
    <row r="10" spans="2:25" ht="14.25" customHeight="1" x14ac:dyDescent="0.3">
      <c r="B10" s="180">
        <v>1.49</v>
      </c>
      <c r="C10" s="192"/>
      <c r="D10" s="180">
        <v>1.49</v>
      </c>
      <c r="E10" s="192"/>
      <c r="F10" s="180"/>
      <c r="G10" s="192" t="s">
        <v>292</v>
      </c>
      <c r="H10" s="181">
        <f t="shared" si="3"/>
        <v>346.94916666666666</v>
      </c>
      <c r="I10" s="235">
        <v>75</v>
      </c>
      <c r="J10" s="235">
        <v>56</v>
      </c>
      <c r="K10" s="235">
        <v>57</v>
      </c>
      <c r="L10" s="235">
        <f t="shared" si="0"/>
        <v>75.94916666666667</v>
      </c>
      <c r="M10" s="235">
        <v>95</v>
      </c>
      <c r="N10" s="235">
        <v>6</v>
      </c>
      <c r="O10" s="235">
        <v>11</v>
      </c>
      <c r="P10" s="235">
        <f t="shared" si="1"/>
        <v>95.103055555555557</v>
      </c>
      <c r="Q10" s="240">
        <v>6213</v>
      </c>
      <c r="R10" s="235">
        <v>-0.55300000000000005</v>
      </c>
      <c r="S10" s="240">
        <v>6188</v>
      </c>
      <c r="T10" s="181">
        <f t="shared" si="2"/>
        <v>-0.55300000000000005</v>
      </c>
      <c r="U10" s="182">
        <f t="shared" si="4"/>
        <v>533913.16108436615</v>
      </c>
      <c r="V10" s="182">
        <f t="shared" si="5"/>
        <v>9413767.2695956342</v>
      </c>
      <c r="W10" s="181">
        <f t="shared" si="6"/>
        <v>106.233</v>
      </c>
      <c r="Y10" t="str">
        <f t="shared" si="7"/>
        <v>PO 533913,161084366,9413767,26959563</v>
      </c>
    </row>
    <row r="11" spans="2:25" ht="14.25" customHeight="1" x14ac:dyDescent="0.3">
      <c r="B11" s="180">
        <v>1.49</v>
      </c>
      <c r="C11" s="192"/>
      <c r="D11" s="180">
        <v>1.49</v>
      </c>
      <c r="E11" s="180"/>
      <c r="F11" s="180"/>
      <c r="G11" s="192" t="s">
        <v>386</v>
      </c>
      <c r="H11" s="181">
        <f t="shared" si="3"/>
        <v>341.39555555555557</v>
      </c>
      <c r="I11" s="235">
        <v>70</v>
      </c>
      <c r="J11" s="235">
        <v>23</v>
      </c>
      <c r="K11" s="235">
        <v>44</v>
      </c>
      <c r="L11" s="235">
        <f t="shared" si="0"/>
        <v>70.395555555555561</v>
      </c>
      <c r="M11" s="235">
        <v>95</v>
      </c>
      <c r="N11" s="235">
        <v>6</v>
      </c>
      <c r="O11" s="235">
        <v>5</v>
      </c>
      <c r="P11" s="235">
        <f t="shared" si="1"/>
        <v>95.101388888888877</v>
      </c>
      <c r="Q11" s="240">
        <v>6411</v>
      </c>
      <c r="R11" s="235">
        <v>-0.56999999999999995</v>
      </c>
      <c r="S11" s="240">
        <v>6386</v>
      </c>
      <c r="T11" s="181">
        <f t="shared" si="2"/>
        <v>-0.56999999999999995</v>
      </c>
      <c r="U11" s="182">
        <f t="shared" si="4"/>
        <v>533273.16336733324</v>
      </c>
      <c r="V11" s="182">
        <f t="shared" si="5"/>
        <v>9413791.3960474003</v>
      </c>
      <c r="W11" s="181">
        <f t="shared" si="6"/>
        <v>106.21600000000001</v>
      </c>
      <c r="Y11" t="str">
        <f t="shared" si="7"/>
        <v>PO 533273,163367333,9413791,3960474</v>
      </c>
    </row>
    <row r="12" spans="2:25" ht="14.25" customHeight="1" x14ac:dyDescent="0.3">
      <c r="B12" s="180">
        <v>1.49</v>
      </c>
      <c r="C12" s="192"/>
      <c r="D12" s="180">
        <v>1.49</v>
      </c>
      <c r="E12" s="192"/>
      <c r="F12" s="180"/>
      <c r="G12" s="192" t="s">
        <v>388</v>
      </c>
      <c r="H12" s="181">
        <f t="shared" si="3"/>
        <v>336.27194444444444</v>
      </c>
      <c r="I12" s="235">
        <v>65</v>
      </c>
      <c r="J12" s="235">
        <v>16</v>
      </c>
      <c r="K12" s="235">
        <v>19</v>
      </c>
      <c r="L12" s="235">
        <f t="shared" si="0"/>
        <v>65.271944444444443</v>
      </c>
      <c r="M12" s="235">
        <v>95</v>
      </c>
      <c r="N12" s="235">
        <v>6</v>
      </c>
      <c r="O12" s="235">
        <v>2</v>
      </c>
      <c r="P12" s="235">
        <f t="shared" si="1"/>
        <v>95.100555555555545</v>
      </c>
      <c r="Q12" s="240">
        <v>6624</v>
      </c>
      <c r="R12" s="235">
        <v>-0.58899999999999997</v>
      </c>
      <c r="S12" s="240">
        <v>6598</v>
      </c>
      <c r="T12" s="181">
        <f t="shared" si="2"/>
        <v>-0.58899999999999997</v>
      </c>
      <c r="U12" s="182">
        <f t="shared" si="4"/>
        <v>532655.49757534522</v>
      </c>
      <c r="V12" s="182">
        <f t="shared" si="5"/>
        <v>9413779.3474582955</v>
      </c>
      <c r="W12" s="181">
        <f t="shared" si="6"/>
        <v>106.197</v>
      </c>
      <c r="Y12" t="str">
        <f t="shared" si="7"/>
        <v>PO 532655,497575345,9413779,3474583</v>
      </c>
    </row>
    <row r="13" spans="2:25" ht="14.25" customHeight="1" x14ac:dyDescent="0.3">
      <c r="B13" s="180">
        <v>1.49</v>
      </c>
      <c r="C13" s="233"/>
      <c r="D13" s="180">
        <v>1.49</v>
      </c>
      <c r="E13" s="233"/>
      <c r="F13" s="233"/>
      <c r="G13" s="233"/>
      <c r="H13" s="181">
        <f t="shared" si="3"/>
        <v>331.23750000000001</v>
      </c>
      <c r="I13" s="235">
        <v>60</v>
      </c>
      <c r="J13" s="235">
        <v>14</v>
      </c>
      <c r="K13" s="235">
        <v>15</v>
      </c>
      <c r="L13" s="235">
        <f t="shared" si="0"/>
        <v>60.237500000000004</v>
      </c>
      <c r="M13" s="235">
        <v>95</v>
      </c>
      <c r="N13" s="235">
        <v>6</v>
      </c>
      <c r="O13" s="235">
        <v>21</v>
      </c>
      <c r="P13" s="235">
        <f t="shared" si="1"/>
        <v>95.105833333333322</v>
      </c>
      <c r="Q13" s="240">
        <v>6897</v>
      </c>
      <c r="R13" s="235">
        <f>--0.613</f>
        <v>0.61299999999999999</v>
      </c>
      <c r="S13" s="240">
        <v>6870</v>
      </c>
      <c r="T13" s="181">
        <f t="shared" si="2"/>
        <v>0.61299999999999977</v>
      </c>
      <c r="U13" s="182">
        <f t="shared" si="4"/>
        <v>532004.80019680061</v>
      </c>
      <c r="V13" s="182">
        <f t="shared" si="5"/>
        <v>9413761.4967616908</v>
      </c>
      <c r="W13" s="181">
        <f t="shared" si="6"/>
        <v>107.399</v>
      </c>
      <c r="Y13" t="str">
        <f t="shared" si="7"/>
        <v>PO 532004,800196801,9413761,49676169</v>
      </c>
    </row>
    <row r="14" spans="2:25" ht="14.25" customHeight="1" x14ac:dyDescent="0.3">
      <c r="B14" s="180">
        <v>1.49</v>
      </c>
      <c r="C14" s="233"/>
      <c r="D14" s="180">
        <v>1.49</v>
      </c>
      <c r="E14" s="233"/>
      <c r="F14" s="233"/>
      <c r="G14" s="233"/>
      <c r="H14" s="181">
        <f t="shared" si="3"/>
        <v>326.01749999999998</v>
      </c>
      <c r="I14" s="235">
        <v>55</v>
      </c>
      <c r="J14" s="235">
        <v>1</v>
      </c>
      <c r="K14" s="235">
        <v>3</v>
      </c>
      <c r="L14" s="235">
        <f t="shared" si="0"/>
        <v>55.017499999999998</v>
      </c>
      <c r="M14" s="235">
        <v>95</v>
      </c>
      <c r="N14" s="235">
        <v>6</v>
      </c>
      <c r="O14" s="235">
        <v>22</v>
      </c>
      <c r="P14" s="235">
        <f t="shared" si="1"/>
        <v>95.106111111111105</v>
      </c>
      <c r="Q14" s="240">
        <v>7180</v>
      </c>
      <c r="R14" s="235">
        <v>-0.46</v>
      </c>
      <c r="S14" s="240">
        <v>7161</v>
      </c>
      <c r="T14" s="181">
        <f t="shared" si="2"/>
        <v>-0.45999999999999996</v>
      </c>
      <c r="U14" s="182">
        <f t="shared" si="4"/>
        <v>531307.94007845398</v>
      </c>
      <c r="V14" s="182">
        <f t="shared" si="5"/>
        <v>9413677.06584852</v>
      </c>
      <c r="W14" s="181">
        <f t="shared" si="6"/>
        <v>106.32600000000001</v>
      </c>
      <c r="Y14" t="str">
        <f t="shared" si="7"/>
        <v>PO 531307,940078454,9413677,06584852</v>
      </c>
    </row>
    <row r="15" spans="2:25" ht="14.25" customHeight="1" x14ac:dyDescent="0.3">
      <c r="B15" s="180">
        <v>1.49</v>
      </c>
      <c r="C15" s="233"/>
      <c r="D15" s="180">
        <v>1.49</v>
      </c>
      <c r="E15" s="233"/>
      <c r="F15" s="233"/>
      <c r="G15" s="233"/>
      <c r="H15" s="181">
        <f t="shared" si="3"/>
        <v>320.86444444444442</v>
      </c>
      <c r="I15" s="235">
        <v>49</v>
      </c>
      <c r="J15" s="235">
        <v>51</v>
      </c>
      <c r="K15" s="235">
        <v>52</v>
      </c>
      <c r="L15" s="235">
        <f t="shared" si="0"/>
        <v>49.864444444444445</v>
      </c>
      <c r="M15" s="235">
        <v>95</v>
      </c>
      <c r="N15" s="235">
        <v>6</v>
      </c>
      <c r="O15" s="235">
        <v>30</v>
      </c>
      <c r="P15" s="235">
        <f t="shared" si="1"/>
        <v>95.108333333333334</v>
      </c>
      <c r="Q15" s="240">
        <v>7459</v>
      </c>
      <c r="R15" s="235">
        <v>-6.4000000000000001E-2</v>
      </c>
      <c r="S15" s="240">
        <v>7429</v>
      </c>
      <c r="T15" s="181">
        <f t="shared" si="2"/>
        <v>-6.4000000000000057E-2</v>
      </c>
      <c r="U15" s="182">
        <f t="shared" si="4"/>
        <v>530621.63963748189</v>
      </c>
      <c r="V15" s="182">
        <f t="shared" si="5"/>
        <v>9413501.4451371934</v>
      </c>
      <c r="W15" s="181">
        <f t="shared" si="6"/>
        <v>106.72200000000001</v>
      </c>
      <c r="Y15" t="str">
        <f t="shared" si="7"/>
        <v>PO 530621,639637482,9413501,44513719</v>
      </c>
    </row>
    <row r="16" spans="2:25" ht="14.25" customHeight="1" x14ac:dyDescent="0.3">
      <c r="B16" s="180">
        <v>1.49</v>
      </c>
      <c r="C16" s="233"/>
      <c r="D16" s="180">
        <v>1.49</v>
      </c>
      <c r="E16" s="233"/>
      <c r="F16" s="233"/>
      <c r="G16" s="233"/>
      <c r="H16" s="181">
        <f t="shared" si="3"/>
        <v>313.23777777777775</v>
      </c>
      <c r="I16" s="235">
        <v>42</v>
      </c>
      <c r="J16" s="235">
        <v>14</v>
      </c>
      <c r="K16" s="235">
        <v>16</v>
      </c>
      <c r="L16" s="235">
        <f t="shared" si="0"/>
        <v>42.237777777777779</v>
      </c>
      <c r="M16" s="235">
        <v>95</v>
      </c>
      <c r="N16" s="235">
        <v>6</v>
      </c>
      <c r="O16" s="235">
        <v>29</v>
      </c>
      <c r="P16" s="235">
        <f t="shared" si="1"/>
        <v>95.108055555555552</v>
      </c>
      <c r="Q16" s="240">
        <v>7873</v>
      </c>
      <c r="R16" s="235">
        <v>-0.70099999999999996</v>
      </c>
      <c r="S16" s="240">
        <v>7892</v>
      </c>
      <c r="T16" s="181">
        <f t="shared" si="2"/>
        <v>-0.70099999999999996</v>
      </c>
      <c r="U16" s="182">
        <f t="shared" si="4"/>
        <v>529561.04992693779</v>
      </c>
      <c r="V16" s="182">
        <f t="shared" si="5"/>
        <v>9413145.3428198732</v>
      </c>
      <c r="W16" s="181">
        <f t="shared" si="6"/>
        <v>106.08500000000001</v>
      </c>
      <c r="Y16" t="str">
        <f t="shared" si="7"/>
        <v>PO 529561,049926938,9413145,34281987</v>
      </c>
    </row>
    <row r="17" spans="2:28" ht="14.25" customHeight="1" x14ac:dyDescent="0.3">
      <c r="B17" s="180">
        <v>1.49</v>
      </c>
      <c r="C17" s="233"/>
      <c r="D17" s="180">
        <v>1.49</v>
      </c>
      <c r="E17" s="233"/>
      <c r="F17" s="233"/>
      <c r="G17" s="233"/>
      <c r="H17" s="181">
        <f t="shared" si="3"/>
        <v>307.03416666666669</v>
      </c>
      <c r="I17" s="235">
        <v>36</v>
      </c>
      <c r="J17" s="235">
        <v>2</v>
      </c>
      <c r="K17" s="235">
        <v>3</v>
      </c>
      <c r="L17" s="235">
        <f t="shared" si="0"/>
        <v>36.034166666666664</v>
      </c>
      <c r="M17" s="235">
        <v>95</v>
      </c>
      <c r="N17" s="235">
        <v>6</v>
      </c>
      <c r="O17" s="235">
        <v>40</v>
      </c>
      <c r="P17" s="235">
        <f t="shared" si="1"/>
        <v>95.1111111111111</v>
      </c>
      <c r="Q17" s="240">
        <v>8824</v>
      </c>
      <c r="R17" s="235">
        <v>-0.73799999999999999</v>
      </c>
      <c r="S17" s="240">
        <v>8251</v>
      </c>
      <c r="T17" s="181">
        <f t="shared" si="2"/>
        <v>-0.73799999999999999</v>
      </c>
      <c r="U17" s="182">
        <f t="shared" si="4"/>
        <v>528723.9276542851</v>
      </c>
      <c r="V17" s="182">
        <f t="shared" si="5"/>
        <v>9412708.6093538161</v>
      </c>
      <c r="W17" s="181">
        <f t="shared" si="6"/>
        <v>106.048</v>
      </c>
      <c r="Y17" t="str">
        <f t="shared" si="7"/>
        <v>PO 528723,927654285,9412708,60935382</v>
      </c>
    </row>
    <row r="18" spans="2:28" ht="14.25" customHeight="1" x14ac:dyDescent="0.3">
      <c r="B18" s="180">
        <v>1.49</v>
      </c>
      <c r="C18" s="233"/>
      <c r="D18" s="180">
        <v>1.49</v>
      </c>
      <c r="E18" s="233"/>
      <c r="F18" s="233"/>
      <c r="G18" s="233"/>
      <c r="H18" s="181">
        <f t="shared" si="3"/>
        <v>301.42388888888888</v>
      </c>
      <c r="I18" s="235">
        <v>30</v>
      </c>
      <c r="J18" s="235">
        <v>25</v>
      </c>
      <c r="K18" s="235">
        <v>26</v>
      </c>
      <c r="L18" s="235">
        <f t="shared" si="0"/>
        <v>30.423888888888889</v>
      </c>
      <c r="M18" s="235">
        <v>95</v>
      </c>
      <c r="N18" s="235">
        <v>6</v>
      </c>
      <c r="O18" s="235">
        <v>40</v>
      </c>
      <c r="P18" s="235">
        <f t="shared" si="1"/>
        <v>95.1111111111111</v>
      </c>
      <c r="Q18" s="240">
        <v>8717</v>
      </c>
      <c r="R18" s="235">
        <v>-0.77700000000000002</v>
      </c>
      <c r="S18" s="240">
        <v>8602</v>
      </c>
      <c r="T18" s="181">
        <f t="shared" si="2"/>
        <v>-0.77700000000000002</v>
      </c>
      <c r="U18" s="182">
        <f t="shared" si="4"/>
        <v>527970.13228927716</v>
      </c>
      <c r="V18" s="182">
        <f t="shared" si="5"/>
        <v>9412223.8907369319</v>
      </c>
      <c r="W18" s="181">
        <f t="shared" si="6"/>
        <v>106.009</v>
      </c>
      <c r="Y18" t="str">
        <f t="shared" si="7"/>
        <v>PO 527970,132289277,9412223,89073693</v>
      </c>
    </row>
    <row r="19" spans="2:28" ht="14.25" customHeight="1" x14ac:dyDescent="0.3">
      <c r="B19" s="180">
        <v>1.49</v>
      </c>
      <c r="C19" s="233"/>
      <c r="D19" s="180">
        <v>1.49</v>
      </c>
      <c r="E19" s="233"/>
      <c r="F19" s="233"/>
      <c r="G19" s="233"/>
      <c r="H19" s="181">
        <f t="shared" si="3"/>
        <v>295.39027777777778</v>
      </c>
      <c r="I19" s="235">
        <v>24</v>
      </c>
      <c r="J19" s="235">
        <v>23</v>
      </c>
      <c r="K19" s="235">
        <v>25</v>
      </c>
      <c r="L19" s="235">
        <f t="shared" si="0"/>
        <v>24.390277777777776</v>
      </c>
      <c r="M19" s="235">
        <v>95</v>
      </c>
      <c r="N19" s="235">
        <v>6</v>
      </c>
      <c r="O19" s="235">
        <v>41</v>
      </c>
      <c r="P19" s="235">
        <f t="shared" si="1"/>
        <v>95.111388888888882</v>
      </c>
      <c r="Q19" s="240">
        <v>9164</v>
      </c>
      <c r="R19" s="235">
        <v>-0.81599999999999995</v>
      </c>
      <c r="S19" s="240">
        <v>9118</v>
      </c>
      <c r="T19" s="181">
        <f t="shared" si="2"/>
        <v>-0.81599999999999995</v>
      </c>
      <c r="U19" s="182">
        <f t="shared" si="4"/>
        <v>527073.23227586306</v>
      </c>
      <c r="V19" s="182">
        <f t="shared" si="5"/>
        <v>9411648.7378624436</v>
      </c>
      <c r="W19" s="181">
        <f t="shared" si="6"/>
        <v>105.97</v>
      </c>
      <c r="Y19" t="str">
        <f t="shared" si="7"/>
        <v>PO 527073,232275863,9411648,73786244</v>
      </c>
    </row>
    <row r="20" spans="2:28" ht="14.25" customHeight="1" x14ac:dyDescent="0.3">
      <c r="B20" s="180">
        <v>1.49</v>
      </c>
      <c r="C20" s="233"/>
      <c r="D20" s="180">
        <v>1.49</v>
      </c>
      <c r="E20" s="233"/>
      <c r="F20" s="233"/>
      <c r="G20" s="233"/>
      <c r="H20" s="181">
        <f t="shared" si="3"/>
        <v>290.45777777777778</v>
      </c>
      <c r="I20" s="235">
        <v>19</v>
      </c>
      <c r="J20" s="235">
        <v>27</v>
      </c>
      <c r="K20" s="235">
        <v>28</v>
      </c>
      <c r="L20" s="235">
        <f t="shared" si="0"/>
        <v>19.457777777777778</v>
      </c>
      <c r="M20" s="235">
        <v>95</v>
      </c>
      <c r="N20" s="235">
        <v>6</v>
      </c>
      <c r="O20" s="235">
        <v>44</v>
      </c>
      <c r="P20" s="235">
        <f t="shared" si="1"/>
        <v>95.112222222222215</v>
      </c>
      <c r="Q20" s="240">
        <v>9406</v>
      </c>
      <c r="R20" s="235">
        <v>-0.83799999999999997</v>
      </c>
      <c r="S20" s="240">
        <v>9369</v>
      </c>
      <c r="T20" s="181">
        <f t="shared" si="2"/>
        <v>-0.83799999999999997</v>
      </c>
      <c r="U20" s="182">
        <f t="shared" si="4"/>
        <v>526532.40974944609</v>
      </c>
      <c r="V20" s="182">
        <f t="shared" si="5"/>
        <v>9411013.7301174477</v>
      </c>
      <c r="W20" s="181">
        <f t="shared" si="6"/>
        <v>105.94800000000001</v>
      </c>
      <c r="Y20" t="str">
        <f t="shared" si="7"/>
        <v>PO 526532,409749446,9411013,73011745</v>
      </c>
    </row>
    <row r="21" spans="2:28" ht="14.25" customHeight="1" x14ac:dyDescent="0.3">
      <c r="B21" s="180">
        <v>1.49</v>
      </c>
      <c r="C21" s="233"/>
      <c r="D21" s="180">
        <v>1.49</v>
      </c>
      <c r="E21" s="233"/>
      <c r="F21" s="233"/>
      <c r="G21" s="233"/>
      <c r="H21" s="181">
        <f t="shared" si="3"/>
        <v>285.5936111111111</v>
      </c>
      <c r="I21" s="235">
        <v>14</v>
      </c>
      <c r="J21" s="235">
        <v>35</v>
      </c>
      <c r="K21" s="235">
        <v>37</v>
      </c>
      <c r="L21" s="235">
        <f t="shared" si="0"/>
        <v>14.593611111111112</v>
      </c>
      <c r="M21" s="235">
        <v>95</v>
      </c>
      <c r="N21" s="235">
        <v>6</v>
      </c>
      <c r="O21" s="235">
        <v>42</v>
      </c>
      <c r="P21" s="235">
        <f t="shared" si="1"/>
        <v>95.111666666666665</v>
      </c>
      <c r="Q21" s="240">
        <v>9163</v>
      </c>
      <c r="R21" s="235">
        <v>-0.85599999999999998</v>
      </c>
      <c r="S21" s="240">
        <v>9575</v>
      </c>
      <c r="T21" s="181">
        <f t="shared" si="2"/>
        <v>-0.85599999999999998</v>
      </c>
      <c r="U21" s="182">
        <f t="shared" si="4"/>
        <v>526087.93835968326</v>
      </c>
      <c r="V21" s="182">
        <f t="shared" si="5"/>
        <v>9410312.9839160815</v>
      </c>
      <c r="W21" s="181">
        <f t="shared" si="6"/>
        <v>105.93</v>
      </c>
      <c r="Y21" t="str">
        <f t="shared" si="7"/>
        <v>PO 526087,938359683,9410312,98391608</v>
      </c>
    </row>
    <row r="22" spans="2:28" ht="14.25" customHeight="1" x14ac:dyDescent="0.35">
      <c r="B22" s="180">
        <v>1.49</v>
      </c>
      <c r="C22" s="233"/>
      <c r="D22" s="180">
        <v>1.49</v>
      </c>
      <c r="E22" s="233"/>
      <c r="F22" s="233"/>
      <c r="G22" s="233"/>
      <c r="H22" s="181">
        <f t="shared" si="3"/>
        <v>280.69472222222225</v>
      </c>
      <c r="I22" s="235">
        <v>9</v>
      </c>
      <c r="J22" s="235">
        <v>41</v>
      </c>
      <c r="K22" s="235">
        <v>41</v>
      </c>
      <c r="L22" s="235">
        <f t="shared" si="0"/>
        <v>9.6947222222222216</v>
      </c>
      <c r="M22" s="235">
        <v>95</v>
      </c>
      <c r="N22" s="235">
        <v>6</v>
      </c>
      <c r="O22" s="235">
        <v>43</v>
      </c>
      <c r="P22" s="235">
        <f t="shared" si="1"/>
        <v>95.111944444444433</v>
      </c>
      <c r="Q22" s="240">
        <v>9790</v>
      </c>
      <c r="R22" s="235">
        <v>-0.872</v>
      </c>
      <c r="S22" s="240">
        <v>9571</v>
      </c>
      <c r="T22" s="181">
        <f t="shared" si="2"/>
        <v>-0.872</v>
      </c>
      <c r="U22" s="182">
        <f t="shared" si="4"/>
        <v>525905.75627513963</v>
      </c>
      <c r="V22" s="182">
        <f t="shared" si="5"/>
        <v>9409515.2538685463</v>
      </c>
      <c r="W22" s="181">
        <f t="shared" si="6"/>
        <v>105.914</v>
      </c>
      <c r="Y22" t="str">
        <f t="shared" si="7"/>
        <v>PO 525905,75627514,9409515,25386855</v>
      </c>
      <c r="Z22" s="212"/>
      <c r="AA22" s="212"/>
      <c r="AB22" s="212"/>
    </row>
    <row r="23" spans="2:28" ht="14.25" customHeight="1" x14ac:dyDescent="0.35">
      <c r="B23" s="180">
        <v>1.49</v>
      </c>
      <c r="C23" s="233"/>
      <c r="D23" s="180">
        <v>1.49</v>
      </c>
      <c r="E23" s="233"/>
      <c r="F23" s="233"/>
      <c r="G23" s="233"/>
      <c r="H23" s="181">
        <f t="shared" si="3"/>
        <v>277.13611111111112</v>
      </c>
      <c r="I23" s="235">
        <v>6</v>
      </c>
      <c r="J23" s="235">
        <v>8</v>
      </c>
      <c r="K23" s="235">
        <v>10</v>
      </c>
      <c r="L23" s="235">
        <f t="shared" si="0"/>
        <v>6.136111111111112</v>
      </c>
      <c r="M23" s="235">
        <v>95</v>
      </c>
      <c r="N23" s="235">
        <v>6</v>
      </c>
      <c r="O23" s="235">
        <v>43</v>
      </c>
      <c r="P23" s="235">
        <f t="shared" si="1"/>
        <v>95.111944444444433</v>
      </c>
      <c r="Q23" s="240">
        <v>9956</v>
      </c>
      <c r="R23" s="235">
        <v>-0.88700000000000001</v>
      </c>
      <c r="S23" s="240">
        <v>9916</v>
      </c>
      <c r="T23" s="181">
        <f t="shared" si="2"/>
        <v>-0.88700000000000001</v>
      </c>
      <c r="U23" s="182">
        <f t="shared" si="4"/>
        <v>525471.31792247889</v>
      </c>
      <c r="V23" s="182">
        <f t="shared" si="5"/>
        <v>9408970.938713124</v>
      </c>
      <c r="W23" s="181">
        <f t="shared" si="6"/>
        <v>105.899</v>
      </c>
      <c r="Y23" t="str">
        <f t="shared" si="7"/>
        <v>PO 525471,317922479,9408970,93871312</v>
      </c>
      <c r="Z23" s="212"/>
      <c r="AA23" s="212"/>
      <c r="AB23" s="212"/>
    </row>
    <row r="24" spans="2:28" ht="14.25" customHeight="1" x14ac:dyDescent="0.3">
      <c r="B24" s="180">
        <v>1.49</v>
      </c>
      <c r="C24" s="233"/>
      <c r="D24" s="180">
        <v>1.49</v>
      </c>
      <c r="E24" s="233"/>
      <c r="F24" s="233"/>
      <c r="G24" s="233"/>
      <c r="H24" s="181">
        <f t="shared" si="3"/>
        <v>271.83111111111111</v>
      </c>
      <c r="I24" s="235">
        <v>0</v>
      </c>
      <c r="J24" s="235">
        <v>49</v>
      </c>
      <c r="K24" s="235">
        <v>52</v>
      </c>
      <c r="L24" s="235">
        <f t="shared" si="0"/>
        <v>0.83111111111111113</v>
      </c>
      <c r="M24" s="235">
        <v>94</v>
      </c>
      <c r="N24" s="235">
        <v>31</v>
      </c>
      <c r="O24" s="235">
        <v>22</v>
      </c>
      <c r="P24" s="235">
        <f t="shared" si="1"/>
        <v>94.522777777777776</v>
      </c>
      <c r="Q24" s="240">
        <v>10207</v>
      </c>
      <c r="R24" s="235">
        <v>-0.80500000000000005</v>
      </c>
      <c r="S24" s="240">
        <v>10175</v>
      </c>
      <c r="T24" s="181">
        <f t="shared" si="2"/>
        <v>-0.80500000000000005</v>
      </c>
      <c r="U24" s="182">
        <f t="shared" si="4"/>
        <v>525140.7027899822</v>
      </c>
      <c r="V24" s="182">
        <f t="shared" si="5"/>
        <v>9408064.2316367198</v>
      </c>
      <c r="W24" s="181">
        <f t="shared" si="6"/>
        <v>105.98099999999999</v>
      </c>
      <c r="Y24" t="str">
        <f t="shared" si="7"/>
        <v>PO 525140,702789982,9408064,23163672</v>
      </c>
    </row>
    <row r="25" spans="2:28" ht="14.25" customHeight="1" x14ac:dyDescent="0.3">
      <c r="B25" s="180">
        <v>1.49</v>
      </c>
      <c r="C25" s="233"/>
      <c r="D25" s="180">
        <v>1.49</v>
      </c>
      <c r="E25" s="233"/>
      <c r="F25" s="233"/>
      <c r="G25" s="233"/>
      <c r="H25" s="181">
        <f t="shared" si="3"/>
        <v>258.47627777777774</v>
      </c>
      <c r="I25" s="235">
        <v>356</v>
      </c>
      <c r="J25" s="235">
        <v>50</v>
      </c>
      <c r="K25" s="235">
        <v>54</v>
      </c>
      <c r="L25" s="235">
        <f t="shared" si="0"/>
        <v>356.8483333333333</v>
      </c>
      <c r="M25" s="235">
        <v>90</v>
      </c>
      <c r="N25" s="235">
        <v>26</v>
      </c>
      <c r="O25" s="235">
        <v>27</v>
      </c>
      <c r="P25" s="235">
        <f t="shared" si="1"/>
        <v>90.44083333333333</v>
      </c>
      <c r="Q25" s="240">
        <v>10377</v>
      </c>
      <c r="R25" s="235">
        <v>-0.08</v>
      </c>
      <c r="S25" s="240">
        <v>10377</v>
      </c>
      <c r="T25" s="181">
        <f t="shared" si="2"/>
        <v>-8.0000000000000071E-2</v>
      </c>
      <c r="U25" s="182">
        <f t="shared" si="4"/>
        <v>525142.68577578093</v>
      </c>
      <c r="V25" s="182">
        <f t="shared" si="5"/>
        <v>9405666.0539749842</v>
      </c>
      <c r="W25" s="181">
        <f t="shared" si="6"/>
        <v>106.706</v>
      </c>
      <c r="Y25" t="str">
        <f t="shared" si="7"/>
        <v>PO 525142,685775781,9405666,05397498</v>
      </c>
    </row>
    <row r="26" spans="2:28" ht="14.25" customHeight="1" x14ac:dyDescent="0.3">
      <c r="B26" s="180">
        <v>1.49</v>
      </c>
      <c r="C26" s="233"/>
      <c r="D26" s="180">
        <v>1.49</v>
      </c>
      <c r="E26" s="233"/>
      <c r="F26" s="233"/>
      <c r="G26" s="233"/>
      <c r="H26" s="181">
        <f t="shared" si="3"/>
        <v>252.42516666666671</v>
      </c>
      <c r="I26" s="235">
        <v>350</v>
      </c>
      <c r="J26" s="235">
        <v>47</v>
      </c>
      <c r="K26" s="235">
        <v>50</v>
      </c>
      <c r="L26" s="235">
        <f t="shared" si="0"/>
        <v>350.79722222222227</v>
      </c>
      <c r="M26" s="235">
        <v>90</v>
      </c>
      <c r="N26" s="235">
        <v>26</v>
      </c>
      <c r="O26" s="235">
        <v>26</v>
      </c>
      <c r="P26" s="235">
        <f t="shared" si="1"/>
        <v>90.440555555555562</v>
      </c>
      <c r="Q26" s="240">
        <v>10523</v>
      </c>
      <c r="R26" s="235">
        <v>-8.1000000000000003E-2</v>
      </c>
      <c r="S26" s="240">
        <v>10523</v>
      </c>
      <c r="T26" s="181">
        <f t="shared" si="2"/>
        <v>-8.0999999999999961E-2</v>
      </c>
      <c r="U26" s="182">
        <f t="shared" si="4"/>
        <v>525278.68497597496</v>
      </c>
      <c r="V26" s="182">
        <f t="shared" si="5"/>
        <v>9404561.6727224719</v>
      </c>
      <c r="W26" s="181">
        <f t="shared" si="6"/>
        <v>106.705</v>
      </c>
      <c r="Y26" t="str">
        <f t="shared" si="7"/>
        <v>PO 525278,684975975,9404561,67272247</v>
      </c>
    </row>
    <row r="27" spans="2:28" ht="14.25" customHeight="1" x14ac:dyDescent="0.3">
      <c r="B27" s="180">
        <v>1.49</v>
      </c>
      <c r="C27" s="233"/>
      <c r="D27" s="180">
        <v>1.49</v>
      </c>
      <c r="E27" s="233"/>
      <c r="F27" s="233"/>
      <c r="G27" s="233"/>
      <c r="H27" s="181">
        <f t="shared" si="3"/>
        <v>248.81461111111111</v>
      </c>
      <c r="I27" s="235">
        <v>347</v>
      </c>
      <c r="J27" s="235">
        <v>11</v>
      </c>
      <c r="K27" s="235">
        <v>12</v>
      </c>
      <c r="L27" s="235">
        <f t="shared" si="0"/>
        <v>347.18666666666667</v>
      </c>
      <c r="M27" s="235">
        <v>90</v>
      </c>
      <c r="N27" s="235">
        <v>26</v>
      </c>
      <c r="O27" s="235">
        <v>26</v>
      </c>
      <c r="P27" s="235">
        <f t="shared" si="1"/>
        <v>90.440555555555562</v>
      </c>
      <c r="Q27" s="240">
        <v>10587</v>
      </c>
      <c r="R27" s="235">
        <v>-8.1000000000000003E-2</v>
      </c>
      <c r="S27" s="240">
        <v>10587</v>
      </c>
      <c r="T27" s="181">
        <f t="shared" si="2"/>
        <v>-8.0999999999999961E-2</v>
      </c>
      <c r="U27" s="182">
        <f t="shared" si="4"/>
        <v>525439.01891913172</v>
      </c>
      <c r="V27" s="182">
        <f t="shared" si="5"/>
        <v>9403913.102899991</v>
      </c>
      <c r="W27" s="181">
        <f t="shared" si="6"/>
        <v>106.705</v>
      </c>
      <c r="Y27" t="str">
        <f t="shared" si="7"/>
        <v>PO 525439,018919132,9403913,10289999</v>
      </c>
    </row>
    <row r="28" spans="2:28" ht="14.25" customHeight="1" x14ac:dyDescent="0.35">
      <c r="B28" s="180">
        <v>1.49</v>
      </c>
      <c r="C28" s="233"/>
      <c r="D28" s="180">
        <v>1.49</v>
      </c>
      <c r="E28" s="233"/>
      <c r="F28" s="233"/>
      <c r="G28" s="233"/>
      <c r="H28" s="181">
        <f t="shared" si="3"/>
        <v>243.20405555555556</v>
      </c>
      <c r="I28" s="235">
        <v>341</v>
      </c>
      <c r="J28" s="235">
        <v>34</v>
      </c>
      <c r="K28" s="235">
        <v>34</v>
      </c>
      <c r="L28" s="235">
        <f t="shared" si="0"/>
        <v>341.57611111111112</v>
      </c>
      <c r="M28" s="235">
        <v>90</v>
      </c>
      <c r="N28" s="235">
        <v>26</v>
      </c>
      <c r="O28" s="235">
        <v>27</v>
      </c>
      <c r="P28" s="235">
        <f t="shared" si="1"/>
        <v>90.44083333333333</v>
      </c>
      <c r="Q28" s="240">
        <v>10647</v>
      </c>
      <c r="R28" s="235">
        <v>-8.2000000000000003E-2</v>
      </c>
      <c r="S28" s="240">
        <v>10647</v>
      </c>
      <c r="T28" s="181">
        <f t="shared" si="2"/>
        <v>-8.2000000000000073E-2</v>
      </c>
      <c r="U28" s="182">
        <f t="shared" si="4"/>
        <v>525806.80602241133</v>
      </c>
      <c r="V28" s="182">
        <f t="shared" si="5"/>
        <v>9402939.2845107969</v>
      </c>
      <c r="W28" s="181">
        <f t="shared" si="6"/>
        <v>106.70400000000001</v>
      </c>
      <c r="Y28" t="str">
        <f t="shared" si="7"/>
        <v>PO 525806,806022411,9402939,2845108</v>
      </c>
      <c r="Z28" s="212"/>
      <c r="AA28" s="212"/>
      <c r="AB28" s="212"/>
    </row>
    <row r="29" spans="2:28" ht="14.25" customHeight="1" x14ac:dyDescent="0.3">
      <c r="B29" s="180">
        <v>1.49</v>
      </c>
      <c r="C29" s="233"/>
      <c r="D29" s="180">
        <v>1.49</v>
      </c>
      <c r="E29" s="233"/>
      <c r="F29" s="233"/>
      <c r="G29" s="233"/>
      <c r="H29" s="181">
        <f t="shared" si="3"/>
        <v>238.8823888888889</v>
      </c>
      <c r="I29" s="180">
        <v>337</v>
      </c>
      <c r="J29" s="180">
        <v>15</v>
      </c>
      <c r="K29" s="180">
        <v>16</v>
      </c>
      <c r="L29" s="235">
        <f t="shared" si="0"/>
        <v>337.25444444444446</v>
      </c>
      <c r="M29" s="180">
        <v>90</v>
      </c>
      <c r="N29" s="180">
        <v>26</v>
      </c>
      <c r="O29" s="180">
        <v>27</v>
      </c>
      <c r="P29" s="235">
        <f t="shared" si="1"/>
        <v>90.44083333333333</v>
      </c>
      <c r="Q29" s="181">
        <v>10.728</v>
      </c>
      <c r="R29" s="181">
        <v>-8.3000000000000004E-2</v>
      </c>
      <c r="S29" s="181">
        <v>10.728</v>
      </c>
      <c r="T29" s="181">
        <f t="shared" si="2"/>
        <v>-8.2999999999999963E-2</v>
      </c>
      <c r="U29" s="182">
        <f t="shared" si="4"/>
        <v>535301.32267041143</v>
      </c>
      <c r="V29" s="182">
        <f t="shared" si="5"/>
        <v>9407733.5608071815</v>
      </c>
      <c r="W29" s="181">
        <f t="shared" si="6"/>
        <v>106.703</v>
      </c>
      <c r="Y29" t="str">
        <f t="shared" si="7"/>
        <v>PO 535301,322670411,9407733,56080718</v>
      </c>
    </row>
    <row r="30" spans="2:28" ht="14.25" customHeight="1" x14ac:dyDescent="0.3">
      <c r="B30" s="180">
        <v>1.49</v>
      </c>
      <c r="C30" s="233"/>
      <c r="D30" s="180">
        <v>1.49</v>
      </c>
      <c r="E30" s="233"/>
      <c r="F30" s="233"/>
      <c r="G30" s="233"/>
      <c r="H30" s="181">
        <f t="shared" si="3"/>
        <v>234.1029444444444</v>
      </c>
      <c r="I30" s="185">
        <v>332</v>
      </c>
      <c r="J30" s="185">
        <v>28</v>
      </c>
      <c r="K30" s="185">
        <v>30</v>
      </c>
      <c r="L30" s="235">
        <f t="shared" si="0"/>
        <v>332.47499999999997</v>
      </c>
      <c r="M30" s="185">
        <v>90</v>
      </c>
      <c r="N30" s="185">
        <v>26</v>
      </c>
      <c r="O30" s="185">
        <v>27</v>
      </c>
      <c r="P30" s="235">
        <f t="shared" si="1"/>
        <v>90.44083333333333</v>
      </c>
      <c r="Q30" s="186">
        <v>10.73</v>
      </c>
      <c r="R30" s="186">
        <v>-8.3000000000000004E-2</v>
      </c>
      <c r="S30" s="186">
        <v>10.75</v>
      </c>
      <c r="T30" s="181">
        <f t="shared" si="2"/>
        <v>-8.2999999999999963E-2</v>
      </c>
      <c r="U30" s="182">
        <f t="shared" si="4"/>
        <v>535301.79872843809</v>
      </c>
      <c r="V30" s="182">
        <f t="shared" si="5"/>
        <v>9407732.8019446768</v>
      </c>
      <c r="W30" s="181">
        <f t="shared" si="6"/>
        <v>106.703</v>
      </c>
      <c r="Y30" t="str">
        <f t="shared" si="7"/>
        <v>PO 535301,798728438,9407732,80194468</v>
      </c>
    </row>
    <row r="31" spans="2:28" ht="14.25" customHeight="1" x14ac:dyDescent="0.3">
      <c r="B31" s="180">
        <v>1.49</v>
      </c>
      <c r="C31" s="233"/>
      <c r="D31" s="180">
        <v>1.49</v>
      </c>
      <c r="E31" s="233"/>
      <c r="F31" s="233"/>
      <c r="G31" s="233"/>
      <c r="H31" s="181">
        <f t="shared" si="3"/>
        <v>290.49211111111111</v>
      </c>
      <c r="I31" s="185">
        <v>388</v>
      </c>
      <c r="J31" s="185">
        <v>51</v>
      </c>
      <c r="K31" s="185">
        <v>51</v>
      </c>
      <c r="L31" s="235">
        <f t="shared" si="0"/>
        <v>388.86416666666668</v>
      </c>
      <c r="M31" s="185">
        <v>89</v>
      </c>
      <c r="N31" s="185">
        <v>49</v>
      </c>
      <c r="O31" s="184">
        <v>7</v>
      </c>
      <c r="P31" s="235">
        <f t="shared" si="1"/>
        <v>89.81861111111111</v>
      </c>
      <c r="Q31" s="186">
        <v>10.694000000000001</v>
      </c>
      <c r="R31" s="186">
        <v>-3.4000000000000002E-2</v>
      </c>
      <c r="S31" s="186">
        <v>10.694000000000001</v>
      </c>
      <c r="T31" s="181">
        <f t="shared" si="2"/>
        <v>-3.400000000000003E-2</v>
      </c>
      <c r="U31" s="182">
        <f t="shared" si="4"/>
        <v>535300.48971204879</v>
      </c>
      <c r="V31" s="182">
        <f t="shared" si="5"/>
        <v>9407742.8487385195</v>
      </c>
      <c r="W31" s="181">
        <f t="shared" si="6"/>
        <v>106.752</v>
      </c>
      <c r="Y31" t="str">
        <f t="shared" si="7"/>
        <v>PO 535300,489712049,9407742,84873852</v>
      </c>
    </row>
    <row r="32" spans="2:28" ht="14.25" customHeight="1" x14ac:dyDescent="0.3">
      <c r="B32" s="180">
        <v>1.49</v>
      </c>
      <c r="C32" s="233"/>
      <c r="D32" s="180">
        <v>1.49</v>
      </c>
      <c r="E32" s="233"/>
      <c r="F32" s="233"/>
      <c r="G32" s="233"/>
      <c r="H32" s="181">
        <f t="shared" si="3"/>
        <v>225.98433333333332</v>
      </c>
      <c r="I32" s="185">
        <v>324</v>
      </c>
      <c r="J32" s="185">
        <v>21</v>
      </c>
      <c r="K32" s="185">
        <v>23</v>
      </c>
      <c r="L32" s="300">
        <f t="shared" si="0"/>
        <v>324.35638888888889</v>
      </c>
      <c r="M32" s="185">
        <v>89</v>
      </c>
      <c r="N32" s="185">
        <v>33</v>
      </c>
      <c r="O32" s="185">
        <v>32</v>
      </c>
      <c r="P32" s="300">
        <f t="shared" si="1"/>
        <v>89.558888888888887</v>
      </c>
      <c r="Q32" s="186">
        <v>10.76</v>
      </c>
      <c r="R32" s="186">
        <v>8.3000000000000004E-2</v>
      </c>
      <c r="S32" s="186">
        <v>10.76</v>
      </c>
      <c r="T32" s="181">
        <f t="shared" si="2"/>
        <v>8.2999999999999963E-2</v>
      </c>
      <c r="U32" s="182">
        <f t="shared" si="4"/>
        <v>535302.76894783357</v>
      </c>
      <c r="V32" s="182">
        <f t="shared" si="5"/>
        <v>9407731.6283598021</v>
      </c>
      <c r="W32" s="181">
        <f t="shared" si="6"/>
        <v>106.869</v>
      </c>
      <c r="Y32" t="str">
        <f t="shared" si="7"/>
        <v>PO 535302,768947834,9407731,6283598</v>
      </c>
    </row>
    <row r="33" spans="2:25" ht="14.25" customHeight="1" x14ac:dyDescent="0.3">
      <c r="B33" s="180">
        <v>1.49</v>
      </c>
      <c r="C33" s="233"/>
      <c r="D33" s="180">
        <v>1.49</v>
      </c>
      <c r="E33" s="233"/>
      <c r="F33" s="233"/>
      <c r="G33" s="233"/>
      <c r="H33" s="181">
        <f t="shared" si="3"/>
        <v>222.05183333333332</v>
      </c>
      <c r="I33" s="185">
        <v>320</v>
      </c>
      <c r="J33" s="185">
        <v>25</v>
      </c>
      <c r="K33" s="185">
        <v>26</v>
      </c>
      <c r="L33" s="300">
        <f t="shared" si="0"/>
        <v>320.42388888888888</v>
      </c>
      <c r="M33" s="185">
        <v>89</v>
      </c>
      <c r="N33" s="185">
        <v>56</v>
      </c>
      <c r="O33" s="185">
        <v>15</v>
      </c>
      <c r="P33" s="300">
        <f t="shared" si="1"/>
        <v>89.9375</v>
      </c>
      <c r="Q33" s="186">
        <v>10.625999999999999</v>
      </c>
      <c r="R33" s="186">
        <v>1.0999999999999999E-2</v>
      </c>
      <c r="S33" s="186">
        <v>10.625999999999999</v>
      </c>
      <c r="T33" s="181">
        <f t="shared" si="2"/>
        <v>1.0999999999999899E-2</v>
      </c>
      <c r="U33" s="182">
        <f t="shared" si="4"/>
        <v>535303.38967727928</v>
      </c>
      <c r="V33" s="182">
        <f t="shared" si="5"/>
        <v>9407731.2147786282</v>
      </c>
      <c r="W33" s="181">
        <f t="shared" si="6"/>
        <v>106.797</v>
      </c>
      <c r="Y33" t="str">
        <f t="shared" si="7"/>
        <v>PO 535303,389677279,9407731,21477863</v>
      </c>
    </row>
    <row r="34" spans="2:25" ht="14.25" customHeight="1" x14ac:dyDescent="0.3">
      <c r="B34" s="180">
        <v>1.49</v>
      </c>
      <c r="C34" s="233"/>
      <c r="D34" s="180">
        <v>1.49</v>
      </c>
      <c r="E34" s="233"/>
      <c r="F34" s="233"/>
      <c r="G34" s="233"/>
      <c r="H34" s="181">
        <f t="shared" si="3"/>
        <v>217.22183333333334</v>
      </c>
      <c r="I34" s="185">
        <v>315</v>
      </c>
      <c r="J34" s="185">
        <v>35</v>
      </c>
      <c r="K34" s="185">
        <v>38</v>
      </c>
      <c r="L34" s="300">
        <f t="shared" si="0"/>
        <v>315.5938888888889</v>
      </c>
      <c r="M34" s="185">
        <v>89</v>
      </c>
      <c r="N34" s="185">
        <v>56</v>
      </c>
      <c r="O34" s="185">
        <v>19</v>
      </c>
      <c r="P34" s="300">
        <f t="shared" si="1"/>
        <v>89.938611111111115</v>
      </c>
      <c r="Q34" s="186">
        <v>10.547000000000001</v>
      </c>
      <c r="R34" s="186">
        <v>1.0999999999999999E-2</v>
      </c>
      <c r="S34" s="186">
        <v>10.547000000000001</v>
      </c>
      <c r="T34" s="181">
        <f t="shared" si="2"/>
        <v>1.0999999999999899E-2</v>
      </c>
      <c r="U34" s="182">
        <f t="shared" si="4"/>
        <v>535304.12709228322</v>
      </c>
      <c r="V34" s="182">
        <f t="shared" si="5"/>
        <v>9407730.7064294964</v>
      </c>
      <c r="W34" s="181">
        <f t="shared" si="6"/>
        <v>106.797</v>
      </c>
      <c r="Y34" t="str">
        <f t="shared" si="7"/>
        <v>PO 535304,127092283,9407730,7064295</v>
      </c>
    </row>
    <row r="35" spans="2:25" ht="14.25" customHeight="1" x14ac:dyDescent="0.3">
      <c r="B35" s="180">
        <v>1.49</v>
      </c>
      <c r="C35" s="233"/>
      <c r="D35" s="180">
        <v>1.49</v>
      </c>
      <c r="E35" s="233"/>
      <c r="F35" s="233"/>
      <c r="G35" s="233"/>
      <c r="H35" s="181">
        <f t="shared" si="3"/>
        <v>213.00072222222224</v>
      </c>
      <c r="I35" s="185">
        <v>311</v>
      </c>
      <c r="J35" s="185">
        <v>22</v>
      </c>
      <c r="K35" s="185">
        <v>22</v>
      </c>
      <c r="L35" s="300">
        <f t="shared" si="0"/>
        <v>311.3727777777778</v>
      </c>
      <c r="M35" s="185">
        <v>90</v>
      </c>
      <c r="N35" s="185">
        <v>20</v>
      </c>
      <c r="O35" s="185">
        <v>18</v>
      </c>
      <c r="P35" s="300">
        <f t="shared" si="1"/>
        <v>90.338333333333324</v>
      </c>
      <c r="Q35" s="186">
        <v>10.489000000000001</v>
      </c>
      <c r="R35" s="186">
        <v>-6.2E-2</v>
      </c>
      <c r="S35" s="186">
        <v>10.489000000000001</v>
      </c>
      <c r="T35" s="181">
        <f t="shared" si="2"/>
        <v>-6.2000000000000055E-2</v>
      </c>
      <c r="U35" s="182">
        <f t="shared" si="4"/>
        <v>535304.79417027696</v>
      </c>
      <c r="V35" s="182">
        <f t="shared" si="5"/>
        <v>9407730.3082564231</v>
      </c>
      <c r="W35" s="181">
        <f t="shared" si="6"/>
        <v>106.724</v>
      </c>
      <c r="Y35" t="str">
        <f t="shared" si="7"/>
        <v>PO 535304,794170277,9407730,30825642</v>
      </c>
    </row>
    <row r="36" spans="2:25" ht="14.25" customHeight="1" x14ac:dyDescent="0.3">
      <c r="B36" s="180">
        <v>1.49</v>
      </c>
      <c r="C36" s="233"/>
      <c r="D36" s="180">
        <v>1.49</v>
      </c>
      <c r="E36" s="233"/>
      <c r="F36" s="233"/>
      <c r="G36" s="233"/>
      <c r="H36" s="181">
        <f t="shared" si="3"/>
        <v>209.03488888888887</v>
      </c>
      <c r="I36" s="185">
        <v>307</v>
      </c>
      <c r="J36" s="185">
        <v>24</v>
      </c>
      <c r="K36" s="185">
        <v>25</v>
      </c>
      <c r="L36" s="300">
        <f t="shared" si="0"/>
        <v>307.40694444444443</v>
      </c>
      <c r="M36" s="185">
        <v>90</v>
      </c>
      <c r="N36" s="185">
        <v>20</v>
      </c>
      <c r="O36" s="185">
        <v>16</v>
      </c>
      <c r="P36" s="300">
        <f t="shared" si="1"/>
        <v>90.337777777777774</v>
      </c>
      <c r="Q36" s="186">
        <v>10.395</v>
      </c>
      <c r="R36" s="186">
        <v>-6.0999999999999999E-2</v>
      </c>
      <c r="S36" s="186">
        <v>10.395</v>
      </c>
      <c r="T36" s="181">
        <f t="shared" si="2"/>
        <v>-6.0999999999999943E-2</v>
      </c>
      <c r="U36" s="182">
        <f t="shared" si="4"/>
        <v>535305.46186877694</v>
      </c>
      <c r="V36" s="182">
        <f t="shared" si="5"/>
        <v>9407730.0163985714</v>
      </c>
      <c r="W36" s="181">
        <f t="shared" si="6"/>
        <v>106.72499999999999</v>
      </c>
      <c r="Y36" t="str">
        <f t="shared" si="7"/>
        <v>PO 535305,461868777,9407730,01639857</v>
      </c>
    </row>
    <row r="37" spans="2:25" ht="14.25" customHeight="1" x14ac:dyDescent="0.3">
      <c r="B37" s="180">
        <v>1.49</v>
      </c>
      <c r="C37" s="233"/>
      <c r="D37" s="180">
        <v>1.49</v>
      </c>
      <c r="E37" s="233"/>
      <c r="F37" s="233"/>
      <c r="G37" s="233"/>
      <c r="H37" s="181">
        <f t="shared" si="3"/>
        <v>205.03461111111108</v>
      </c>
      <c r="I37" s="185">
        <v>303</v>
      </c>
      <c r="J37" s="185">
        <v>24</v>
      </c>
      <c r="K37" s="185">
        <v>24</v>
      </c>
      <c r="L37" s="300">
        <f t="shared" si="0"/>
        <v>303.40666666666664</v>
      </c>
      <c r="M37" s="185">
        <v>90</v>
      </c>
      <c r="N37" s="185">
        <v>20</v>
      </c>
      <c r="O37" s="185">
        <v>15</v>
      </c>
      <c r="P37" s="300">
        <f t="shared" si="1"/>
        <v>90.337499999999991</v>
      </c>
      <c r="Q37" s="186">
        <v>10.313000000000001</v>
      </c>
      <c r="R37" s="186">
        <v>-6.0999999999999999E-2</v>
      </c>
      <c r="S37" s="186">
        <v>10.313000000000001</v>
      </c>
      <c r="T37" s="181">
        <f t="shared" si="2"/>
        <v>-6.0999999999999943E-2</v>
      </c>
      <c r="U37" s="182">
        <f t="shared" si="4"/>
        <v>535306.14289249631</v>
      </c>
      <c r="V37" s="182">
        <f t="shared" si="5"/>
        <v>9407729.7608823478</v>
      </c>
      <c r="W37" s="181">
        <f t="shared" si="6"/>
        <v>106.72499999999999</v>
      </c>
      <c r="Y37" t="str">
        <f t="shared" si="7"/>
        <v>PO 535306,142892496,9407729,76088235</v>
      </c>
    </row>
    <row r="38" spans="2:25" ht="14.25" customHeight="1" x14ac:dyDescent="0.3">
      <c r="B38" s="180">
        <v>1.49</v>
      </c>
      <c r="C38" s="233"/>
      <c r="D38" s="180">
        <v>1.49</v>
      </c>
      <c r="E38" s="233"/>
      <c r="F38" s="233"/>
      <c r="G38" s="233"/>
      <c r="H38" s="181">
        <f t="shared" si="3"/>
        <v>200.95099999999996</v>
      </c>
      <c r="I38" s="185">
        <v>299</v>
      </c>
      <c r="J38" s="185">
        <v>19</v>
      </c>
      <c r="K38" s="185">
        <v>23</v>
      </c>
      <c r="L38" s="300">
        <f t="shared" si="0"/>
        <v>299.32305555555553</v>
      </c>
      <c r="M38" s="185">
        <v>90</v>
      </c>
      <c r="N38" s="185">
        <v>20</v>
      </c>
      <c r="O38" s="185">
        <v>19</v>
      </c>
      <c r="P38" s="300">
        <f t="shared" si="1"/>
        <v>90.338611111111106</v>
      </c>
      <c r="Q38" s="186">
        <v>10.125</v>
      </c>
      <c r="R38" s="186">
        <v>-0.06</v>
      </c>
      <c r="S38" s="186">
        <v>10.125</v>
      </c>
      <c r="T38" s="181">
        <f t="shared" si="2"/>
        <v>-6.0000000000000053E-2</v>
      </c>
      <c r="U38" s="182">
        <f t="shared" si="4"/>
        <v>535306.88660972344</v>
      </c>
      <c r="V38" s="182">
        <f t="shared" si="5"/>
        <v>9407729.6493985262</v>
      </c>
      <c r="W38" s="181">
        <f t="shared" si="6"/>
        <v>106.726</v>
      </c>
      <c r="Y38" t="str">
        <f t="shared" si="7"/>
        <v>PO 535306,886609723,9407729,64939853</v>
      </c>
    </row>
    <row r="39" spans="2:25" ht="14.25" customHeight="1" x14ac:dyDescent="0.3">
      <c r="B39" s="180">
        <v>1.49</v>
      </c>
      <c r="C39" s="233"/>
      <c r="D39" s="180">
        <v>1.49</v>
      </c>
      <c r="E39" s="233"/>
      <c r="F39" s="233"/>
      <c r="G39" s="233"/>
      <c r="H39" s="181">
        <f t="shared" si="3"/>
        <v>195.71294444444442</v>
      </c>
      <c r="I39" s="185">
        <v>294</v>
      </c>
      <c r="J39" s="185">
        <v>5</v>
      </c>
      <c r="K39" s="185">
        <v>6</v>
      </c>
      <c r="L39" s="300">
        <f t="shared" si="0"/>
        <v>294.08499999999998</v>
      </c>
      <c r="M39" s="185">
        <v>90</v>
      </c>
      <c r="N39" s="185">
        <v>20</v>
      </c>
      <c r="O39" s="185">
        <v>24</v>
      </c>
      <c r="P39" s="301">
        <f t="shared" si="1"/>
        <v>90.339999999999989</v>
      </c>
      <c r="Q39" s="186">
        <v>9.9350000000000005</v>
      </c>
      <c r="R39" s="186">
        <v>-5.8999999999999997E-2</v>
      </c>
      <c r="S39" s="186">
        <v>9.9350000000000005</v>
      </c>
      <c r="T39" s="181">
        <f t="shared" si="2"/>
        <v>-5.8999999999999941E-2</v>
      </c>
      <c r="U39" s="182">
        <f t="shared" si="4"/>
        <v>535307.81642383116</v>
      </c>
      <c r="V39" s="182">
        <f t="shared" si="5"/>
        <v>9407729.5412651189</v>
      </c>
      <c r="W39" s="181">
        <f t="shared" si="6"/>
        <v>106.727</v>
      </c>
      <c r="Y39" t="str">
        <f t="shared" si="7"/>
        <v>PO 535307,816423831,9407729,54126512</v>
      </c>
    </row>
    <row r="40" spans="2:25" ht="14.25" customHeight="1" x14ac:dyDescent="0.3">
      <c r="B40" s="180">
        <v>1.49</v>
      </c>
      <c r="C40" s="233"/>
      <c r="D40" s="180">
        <v>1.49</v>
      </c>
      <c r="E40" s="233"/>
      <c r="F40" s="233"/>
      <c r="G40" s="233"/>
      <c r="H40" s="181">
        <f t="shared" si="3"/>
        <v>191.18766666666664</v>
      </c>
      <c r="I40" s="185">
        <v>289</v>
      </c>
      <c r="J40" s="185">
        <v>33</v>
      </c>
      <c r="K40" s="185">
        <v>35</v>
      </c>
      <c r="L40" s="300">
        <f t="shared" si="0"/>
        <v>289.55972222222221</v>
      </c>
      <c r="M40" s="185">
        <v>90</v>
      </c>
      <c r="N40" s="185">
        <v>20</v>
      </c>
      <c r="O40" s="185">
        <v>25</v>
      </c>
      <c r="P40" s="300">
        <f t="shared" si="1"/>
        <v>90.340277777777771</v>
      </c>
      <c r="Q40" s="186">
        <v>9.7029999999999994</v>
      </c>
      <c r="R40" s="186">
        <v>-5.8000000000000003E-2</v>
      </c>
      <c r="S40" s="186">
        <v>9.7029999999999994</v>
      </c>
      <c r="T40" s="181">
        <f t="shared" si="2"/>
        <v>-5.8000000000000052E-2</v>
      </c>
      <c r="U40" s="182">
        <f t="shared" si="4"/>
        <v>535308.62439299724</v>
      </c>
      <c r="V40" s="182">
        <f t="shared" si="5"/>
        <v>9407729.586386662</v>
      </c>
      <c r="W40" s="181">
        <f t="shared" si="6"/>
        <v>106.72799999999999</v>
      </c>
      <c r="Y40" t="str">
        <f t="shared" si="7"/>
        <v>PO 535308,624392997,9407729,58638666</v>
      </c>
    </row>
    <row r="41" spans="2:25" ht="14.25" customHeight="1" x14ac:dyDescent="0.3">
      <c r="B41" s="180">
        <v>1.49</v>
      </c>
      <c r="C41" s="233"/>
      <c r="D41" s="180">
        <v>1.49</v>
      </c>
      <c r="E41" s="233"/>
      <c r="F41" s="233"/>
      <c r="G41" s="233"/>
      <c r="H41" s="181">
        <f t="shared" si="3"/>
        <v>187.10266666666661</v>
      </c>
      <c r="I41" s="185">
        <v>285</v>
      </c>
      <c r="J41" s="185">
        <v>28</v>
      </c>
      <c r="K41" s="185">
        <v>29</v>
      </c>
      <c r="L41" s="300">
        <f t="shared" si="0"/>
        <v>285.47472222222217</v>
      </c>
      <c r="M41" s="185">
        <v>90</v>
      </c>
      <c r="N41" s="185">
        <v>20</v>
      </c>
      <c r="O41" s="185">
        <v>26</v>
      </c>
      <c r="P41" s="300">
        <f t="shared" si="1"/>
        <v>90.340555555555554</v>
      </c>
      <c r="Q41" s="186">
        <v>9.6359999999999992</v>
      </c>
      <c r="R41" s="186">
        <v>-5.7000000000000002E-2</v>
      </c>
      <c r="S41" s="186">
        <v>9.6359999999999992</v>
      </c>
      <c r="T41" s="181">
        <f t="shared" si="2"/>
        <v>-5.699999999999994E-2</v>
      </c>
      <c r="U41" s="182">
        <f t="shared" si="4"/>
        <v>535309.31553113053</v>
      </c>
      <c r="V41" s="182">
        <f t="shared" si="5"/>
        <v>9407729.5429448895</v>
      </c>
      <c r="W41" s="181">
        <f t="shared" si="6"/>
        <v>106.729</v>
      </c>
      <c r="Y41" t="str">
        <f t="shared" si="7"/>
        <v>PO 535309,315531131,9407729,54294489</v>
      </c>
    </row>
    <row r="42" spans="2:25" ht="14.25" customHeight="1" x14ac:dyDescent="0.3">
      <c r="B42" s="180">
        <v>1.49</v>
      </c>
      <c r="C42" s="233"/>
      <c r="D42" s="180">
        <v>1.49</v>
      </c>
      <c r="E42" s="233"/>
      <c r="F42" s="233"/>
      <c r="G42" s="233"/>
      <c r="H42" s="181">
        <f t="shared" si="3"/>
        <v>183.45905555555555</v>
      </c>
      <c r="I42" s="185">
        <v>281</v>
      </c>
      <c r="J42" s="185">
        <v>49</v>
      </c>
      <c r="K42" s="185">
        <v>52</v>
      </c>
      <c r="L42" s="300">
        <f t="shared" si="0"/>
        <v>281.83111111111111</v>
      </c>
      <c r="M42" s="185">
        <v>90</v>
      </c>
      <c r="N42" s="185">
        <v>20</v>
      </c>
      <c r="O42" s="185">
        <v>31</v>
      </c>
      <c r="P42" s="300">
        <f t="shared" si="1"/>
        <v>90.341944444444437</v>
      </c>
      <c r="Q42" s="186">
        <v>9.4749999999999996</v>
      </c>
      <c r="R42" s="186">
        <v>-5.7000000000000002E-2</v>
      </c>
      <c r="S42" s="186">
        <v>9.4749999999999996</v>
      </c>
      <c r="T42" s="181">
        <f t="shared" si="2"/>
        <v>-5.699999999999994E-2</v>
      </c>
      <c r="U42" s="182">
        <f t="shared" si="4"/>
        <v>535309.93532358634</v>
      </c>
      <c r="V42" s="182">
        <f t="shared" si="5"/>
        <v>9407729.6472618412</v>
      </c>
      <c r="W42" s="181">
        <f t="shared" si="6"/>
        <v>106.729</v>
      </c>
      <c r="Y42" t="str">
        <f t="shared" si="7"/>
        <v>PO 535309,935323586,9407729,64726184</v>
      </c>
    </row>
    <row r="43" spans="2:25" ht="14.25" customHeight="1" x14ac:dyDescent="0.3">
      <c r="B43" s="180">
        <v>1.49</v>
      </c>
      <c r="C43" s="233"/>
      <c r="D43" s="180">
        <v>1.49</v>
      </c>
      <c r="E43" s="233"/>
      <c r="F43" s="233"/>
      <c r="G43" s="233"/>
      <c r="H43" s="181">
        <f t="shared" si="3"/>
        <v>177.28905555555554</v>
      </c>
      <c r="I43" s="185">
        <v>275</v>
      </c>
      <c r="J43" s="185">
        <v>39</v>
      </c>
      <c r="K43" s="185">
        <v>40</v>
      </c>
      <c r="L43" s="300">
        <f t="shared" si="0"/>
        <v>275.6611111111111</v>
      </c>
      <c r="M43" s="185">
        <v>90</v>
      </c>
      <c r="N43" s="185">
        <v>20</v>
      </c>
      <c r="O43" s="185">
        <v>25</v>
      </c>
      <c r="P43" s="300">
        <f t="shared" si="1"/>
        <v>90.340277777777771</v>
      </c>
      <c r="Q43" s="186">
        <v>9.1340000000000003</v>
      </c>
      <c r="R43" s="186">
        <v>-5.5E-2</v>
      </c>
      <c r="S43" s="186">
        <v>9.1389999999999993</v>
      </c>
      <c r="T43" s="181">
        <f t="shared" si="2"/>
        <v>-5.4999999999999938E-2</v>
      </c>
      <c r="U43" s="182">
        <f t="shared" si="4"/>
        <v>535310.93924960785</v>
      </c>
      <c r="V43" s="182">
        <f t="shared" si="5"/>
        <v>9407729.976227833</v>
      </c>
      <c r="W43" s="181">
        <f t="shared" si="6"/>
        <v>106.73099999999999</v>
      </c>
      <c r="Y43" t="str">
        <f t="shared" si="7"/>
        <v>PO 535310,939249608,9407729,97622783</v>
      </c>
    </row>
    <row r="44" spans="2:25" ht="14.25" customHeight="1" x14ac:dyDescent="0.3">
      <c r="B44" s="180">
        <v>1.49</v>
      </c>
      <c r="C44" s="233"/>
      <c r="D44" s="180">
        <v>1.49</v>
      </c>
      <c r="E44" s="233"/>
      <c r="F44" s="233"/>
      <c r="G44" s="233"/>
      <c r="H44" s="181">
        <f t="shared" si="3"/>
        <v>172.40794444444441</v>
      </c>
      <c r="I44" s="185">
        <v>270</v>
      </c>
      <c r="J44" s="185">
        <v>46</v>
      </c>
      <c r="K44" s="185">
        <v>48</v>
      </c>
      <c r="L44" s="300">
        <f t="shared" si="0"/>
        <v>270.77999999999997</v>
      </c>
      <c r="M44" s="185">
        <v>90</v>
      </c>
      <c r="N44" s="185">
        <v>20</v>
      </c>
      <c r="O44" s="185">
        <v>37</v>
      </c>
      <c r="P44" s="300">
        <f t="shared" si="1"/>
        <v>90.343611111111102</v>
      </c>
      <c r="Q44" s="186">
        <v>8.8160000000000007</v>
      </c>
      <c r="R44" s="186">
        <v>-5.2999999999999999E-2</v>
      </c>
      <c r="S44" s="186">
        <v>8.8160000000000007</v>
      </c>
      <c r="T44" s="181">
        <f t="shared" si="2"/>
        <v>-5.2999999999999936E-2</v>
      </c>
      <c r="U44" s="182">
        <f t="shared" si="4"/>
        <v>535311.67176066583</v>
      </c>
      <c r="V44" s="182">
        <f t="shared" si="5"/>
        <v>9407730.3662822116</v>
      </c>
      <c r="W44" s="181">
        <f t="shared" si="6"/>
        <v>106.733</v>
      </c>
      <c r="Y44" t="str">
        <f t="shared" si="7"/>
        <v>PO 535311,671760666,9407730,36628221</v>
      </c>
    </row>
    <row r="45" spans="2:25" ht="14.25" customHeight="1" x14ac:dyDescent="0.3">
      <c r="B45" s="180">
        <v>1.49</v>
      </c>
      <c r="C45" s="233"/>
      <c r="D45" s="180">
        <v>1.49</v>
      </c>
      <c r="E45" s="233"/>
      <c r="F45" s="233"/>
      <c r="G45" s="233"/>
      <c r="H45" s="181">
        <f t="shared" si="3"/>
        <v>167.33988888888888</v>
      </c>
      <c r="I45" s="185">
        <v>265</v>
      </c>
      <c r="J45" s="185">
        <v>42</v>
      </c>
      <c r="K45" s="185">
        <v>43</v>
      </c>
      <c r="L45" s="300">
        <f t="shared" si="0"/>
        <v>265.71194444444444</v>
      </c>
      <c r="M45" s="185">
        <v>90</v>
      </c>
      <c r="N45" s="185">
        <v>20</v>
      </c>
      <c r="O45" s="185">
        <v>41</v>
      </c>
      <c r="P45" s="300">
        <f t="shared" si="1"/>
        <v>90.344722222222217</v>
      </c>
      <c r="Q45" s="186">
        <v>8.5779999999999994</v>
      </c>
      <c r="R45" s="186">
        <v>-5.1999999999999998E-2</v>
      </c>
      <c r="S45" s="186">
        <v>8.5779999999999994</v>
      </c>
      <c r="T45" s="181">
        <f t="shared" si="2"/>
        <v>-5.2000000000000046E-2</v>
      </c>
      <c r="U45" s="182">
        <f t="shared" si="4"/>
        <v>535312.38701445179</v>
      </c>
      <c r="V45" s="182">
        <f t="shared" si="5"/>
        <v>9407730.7355538029</v>
      </c>
      <c r="W45" s="181">
        <f t="shared" si="6"/>
        <v>106.73399999999999</v>
      </c>
      <c r="Y45" t="str">
        <f t="shared" si="7"/>
        <v>PO 535312,387014452,9407730,7355538</v>
      </c>
    </row>
    <row r="46" spans="2:25" ht="14.25" customHeight="1" x14ac:dyDescent="0.3">
      <c r="B46" s="180">
        <v>1.49</v>
      </c>
      <c r="C46" s="233"/>
      <c r="D46" s="180">
        <v>1.49</v>
      </c>
      <c r="E46" s="233"/>
      <c r="F46" s="233"/>
      <c r="G46" s="233"/>
      <c r="H46" s="181">
        <f t="shared" si="3"/>
        <v>161.86488888888891</v>
      </c>
      <c r="I46" s="185">
        <v>260</v>
      </c>
      <c r="J46" s="185">
        <v>14</v>
      </c>
      <c r="K46" s="185">
        <v>13</v>
      </c>
      <c r="L46" s="300">
        <f t="shared" si="0"/>
        <v>260.23694444444448</v>
      </c>
      <c r="M46" s="185">
        <v>90</v>
      </c>
      <c r="N46" s="185">
        <v>20</v>
      </c>
      <c r="O46" s="185">
        <v>44</v>
      </c>
      <c r="P46" s="300">
        <f t="shared" si="1"/>
        <v>90.345555555555549</v>
      </c>
      <c r="Q46" s="186">
        <v>8.3049999999999997</v>
      </c>
      <c r="R46" s="186">
        <v>-0.05</v>
      </c>
      <c r="S46" s="186">
        <v>8.3049999999999997</v>
      </c>
      <c r="T46" s="181">
        <f t="shared" si="2"/>
        <v>-5.0000000000000044E-2</v>
      </c>
      <c r="U46" s="182">
        <f t="shared" si="4"/>
        <v>535313.09200476226</v>
      </c>
      <c r="V46" s="182">
        <f t="shared" si="5"/>
        <v>9407731.2125494704</v>
      </c>
      <c r="W46" s="181">
        <f t="shared" si="6"/>
        <v>106.736</v>
      </c>
      <c r="Y46" t="str">
        <f t="shared" si="7"/>
        <v>PO 535313,092004762,9407731,21254947</v>
      </c>
    </row>
    <row r="47" spans="2:25" ht="14.25" customHeight="1" x14ac:dyDescent="0.3">
      <c r="B47" s="180">
        <v>1.49</v>
      </c>
      <c r="C47" s="233"/>
      <c r="D47" s="180">
        <v>1.49</v>
      </c>
      <c r="E47" s="233"/>
      <c r="F47" s="233"/>
      <c r="G47" s="233"/>
      <c r="H47" s="181">
        <f t="shared" si="3"/>
        <v>156.05183333333332</v>
      </c>
      <c r="I47" s="185">
        <v>254</v>
      </c>
      <c r="J47" s="185">
        <v>25</v>
      </c>
      <c r="K47" s="185">
        <v>26</v>
      </c>
      <c r="L47" s="300">
        <f t="shared" si="0"/>
        <v>254.42388888888888</v>
      </c>
      <c r="M47" s="185">
        <v>90</v>
      </c>
      <c r="N47" s="185">
        <v>20</v>
      </c>
      <c r="O47" s="185">
        <v>46</v>
      </c>
      <c r="P47" s="300">
        <f t="shared" si="1"/>
        <v>90.346111111111099</v>
      </c>
      <c r="Q47" s="186">
        <v>7.9939999999999998</v>
      </c>
      <c r="R47" s="186">
        <v>-4.8000000000000001E-2</v>
      </c>
      <c r="S47" s="186">
        <v>7.944</v>
      </c>
      <c r="T47" s="181">
        <f t="shared" si="2"/>
        <v>-4.8000000000000043E-2</v>
      </c>
      <c r="U47" s="182">
        <f t="shared" si="4"/>
        <v>535313.73154925124</v>
      </c>
      <c r="V47" s="182">
        <f t="shared" si="5"/>
        <v>9407731.8448747862</v>
      </c>
      <c r="W47" s="181">
        <f t="shared" si="6"/>
        <v>106.738</v>
      </c>
      <c r="Y47" t="str">
        <f t="shared" si="7"/>
        <v>PO 535313,731549251,9407731,84487479</v>
      </c>
    </row>
    <row r="48" spans="2:25" ht="14.25" customHeight="1" x14ac:dyDescent="0.3">
      <c r="B48" s="180">
        <v>1.49</v>
      </c>
      <c r="C48" s="233"/>
      <c r="D48" s="180">
        <v>1.49</v>
      </c>
      <c r="E48" s="233"/>
      <c r="F48" s="233"/>
      <c r="G48" s="233"/>
      <c r="H48" s="181">
        <f t="shared" si="3"/>
        <v>150.30683333333332</v>
      </c>
      <c r="I48" s="185">
        <v>248</v>
      </c>
      <c r="J48" s="185">
        <v>40</v>
      </c>
      <c r="K48" s="185">
        <v>44</v>
      </c>
      <c r="L48" s="300">
        <f t="shared" si="0"/>
        <v>248.67888888888888</v>
      </c>
      <c r="M48" s="185">
        <v>90</v>
      </c>
      <c r="N48" s="185">
        <v>20</v>
      </c>
      <c r="O48" s="185">
        <v>47</v>
      </c>
      <c r="P48" s="300">
        <f t="shared" si="1"/>
        <v>90.346388888888882</v>
      </c>
      <c r="Q48" s="186">
        <v>7.5229999999999997</v>
      </c>
      <c r="R48" s="186">
        <v>-4.4999999999999998E-2</v>
      </c>
      <c r="S48" s="186">
        <v>7.5229999999999997</v>
      </c>
      <c r="T48" s="181">
        <f t="shared" si="2"/>
        <v>-4.4999999999999929E-2</v>
      </c>
      <c r="U48" s="182">
        <f t="shared" si="4"/>
        <v>535314.23355617875</v>
      </c>
      <c r="V48" s="182">
        <f t="shared" si="5"/>
        <v>9407732.5698406268</v>
      </c>
      <c r="W48" s="181">
        <f t="shared" si="6"/>
        <v>106.741</v>
      </c>
      <c r="Y48" t="str">
        <f t="shared" si="7"/>
        <v>PO 535314,233556179,9407732,56984063</v>
      </c>
    </row>
    <row r="49" spans="2:25" ht="14.25" customHeight="1" x14ac:dyDescent="0.3">
      <c r="B49" s="180">
        <v>1.49</v>
      </c>
      <c r="C49" s="233"/>
      <c r="D49" s="180">
        <v>1.49</v>
      </c>
      <c r="E49" s="233"/>
      <c r="F49" s="233"/>
      <c r="G49" s="233"/>
      <c r="H49" s="181">
        <f t="shared" si="3"/>
        <v>145.06905555555556</v>
      </c>
      <c r="I49" s="185">
        <v>243</v>
      </c>
      <c r="J49" s="185">
        <v>26</v>
      </c>
      <c r="K49" s="185">
        <v>28</v>
      </c>
      <c r="L49" s="300">
        <f t="shared" si="0"/>
        <v>243.44111111111113</v>
      </c>
      <c r="M49" s="185">
        <v>90</v>
      </c>
      <c r="N49" s="185">
        <v>20</v>
      </c>
      <c r="O49" s="185">
        <v>49</v>
      </c>
      <c r="P49" s="300">
        <f t="shared" si="1"/>
        <v>90.346944444444446</v>
      </c>
      <c r="Q49" s="186">
        <v>7.2560000000000002</v>
      </c>
      <c r="R49" s="186">
        <v>-4.3999999999999997E-2</v>
      </c>
      <c r="S49" s="186">
        <v>7.2560000000000002</v>
      </c>
      <c r="T49" s="181">
        <f t="shared" si="2"/>
        <v>-4.4000000000000039E-2</v>
      </c>
      <c r="U49" s="182">
        <f t="shared" si="4"/>
        <v>535314.66170389461</v>
      </c>
      <c r="V49" s="182">
        <f t="shared" si="5"/>
        <v>9407733.1562210042</v>
      </c>
      <c r="W49" s="181">
        <f t="shared" si="6"/>
        <v>106.742</v>
      </c>
      <c r="Y49" t="str">
        <f t="shared" si="7"/>
        <v>PO 535314,661703895,9407733,156221</v>
      </c>
    </row>
    <row r="50" spans="2:25" ht="14.25" customHeight="1" x14ac:dyDescent="0.3">
      <c r="B50" s="180">
        <v>1.49</v>
      </c>
      <c r="C50" s="233"/>
      <c r="D50" s="180">
        <v>1.49</v>
      </c>
      <c r="E50" s="233"/>
      <c r="F50" s="233"/>
      <c r="G50" s="233"/>
      <c r="H50" s="181">
        <f t="shared" si="3"/>
        <v>138.08655555555555</v>
      </c>
      <c r="I50" s="185">
        <v>236</v>
      </c>
      <c r="J50" s="185">
        <v>27</v>
      </c>
      <c r="K50" s="185">
        <v>31</v>
      </c>
      <c r="L50" s="300">
        <f t="shared" si="0"/>
        <v>236.45861111111111</v>
      </c>
      <c r="M50" s="185">
        <v>90</v>
      </c>
      <c r="N50" s="185">
        <v>20</v>
      </c>
      <c r="O50" s="185">
        <v>50</v>
      </c>
      <c r="P50" s="300">
        <f t="shared" si="1"/>
        <v>90.347222222222214</v>
      </c>
      <c r="Q50" s="186">
        <v>6.8570000000000002</v>
      </c>
      <c r="R50" s="186">
        <v>-4.1000000000000002E-2</v>
      </c>
      <c r="S50" s="186">
        <v>6.8570000000000002</v>
      </c>
      <c r="T50" s="181">
        <f t="shared" si="2"/>
        <v>-4.0999999999999925E-2</v>
      </c>
      <c r="U50" s="182">
        <f t="shared" si="4"/>
        <v>535315.0875252994</v>
      </c>
      <c r="V50" s="182">
        <f t="shared" si="5"/>
        <v>9407734.0023304075</v>
      </c>
      <c r="W50" s="181">
        <f t="shared" si="6"/>
        <v>106.745</v>
      </c>
      <c r="Y50" t="str">
        <f t="shared" si="7"/>
        <v>PO 535315,087525299,9407734,00233041</v>
      </c>
    </row>
    <row r="51" spans="2:25" ht="14.25" customHeight="1" x14ac:dyDescent="0.3">
      <c r="B51" s="180">
        <v>1.49</v>
      </c>
      <c r="C51" s="233"/>
      <c r="D51" s="180">
        <v>1.49</v>
      </c>
      <c r="E51" s="233"/>
      <c r="F51" s="233"/>
      <c r="G51" s="233"/>
      <c r="H51" s="181">
        <f t="shared" si="3"/>
        <v>130.49266666666665</v>
      </c>
      <c r="I51" s="185">
        <v>228</v>
      </c>
      <c r="J51" s="185">
        <v>51</v>
      </c>
      <c r="K51" s="185">
        <v>53</v>
      </c>
      <c r="L51" s="300">
        <f t="shared" si="0"/>
        <v>228.86472222222221</v>
      </c>
      <c r="M51" s="185">
        <v>90</v>
      </c>
      <c r="N51" s="185">
        <v>20</v>
      </c>
      <c r="O51" s="185">
        <v>46</v>
      </c>
      <c r="P51" s="300">
        <f t="shared" si="1"/>
        <v>90.346111111111099</v>
      </c>
      <c r="Q51" s="186">
        <v>6.6</v>
      </c>
      <c r="R51" s="186">
        <v>-0.04</v>
      </c>
      <c r="S51" s="186">
        <v>6.6</v>
      </c>
      <c r="T51" s="181">
        <f t="shared" si="2"/>
        <v>-4.0000000000000036E-2</v>
      </c>
      <c r="U51" s="182">
        <f t="shared" si="4"/>
        <v>535315.52622794616</v>
      </c>
      <c r="V51" s="182">
        <f t="shared" si="5"/>
        <v>9407734.8192852605</v>
      </c>
      <c r="W51" s="181">
        <f t="shared" si="6"/>
        <v>106.746</v>
      </c>
      <c r="Y51" t="str">
        <f t="shared" si="7"/>
        <v>PO 535315,526227946,9407734,81928526</v>
      </c>
    </row>
    <row r="52" spans="2:25" ht="14.25" customHeight="1" x14ac:dyDescent="0.3">
      <c r="B52" s="180">
        <v>1.49</v>
      </c>
      <c r="C52" s="233"/>
      <c r="D52" s="180">
        <v>1.49</v>
      </c>
      <c r="E52" s="233"/>
      <c r="F52" s="233"/>
      <c r="G52" s="233"/>
      <c r="H52" s="181">
        <f t="shared" si="3"/>
        <v>122.62850000000003</v>
      </c>
      <c r="I52" s="185">
        <v>221</v>
      </c>
      <c r="J52" s="185">
        <v>0</v>
      </c>
      <c r="K52" s="185">
        <v>2</v>
      </c>
      <c r="L52" s="300">
        <f t="shared" si="0"/>
        <v>221.00055555555556</v>
      </c>
      <c r="M52" s="185">
        <v>90</v>
      </c>
      <c r="N52" s="185">
        <v>20</v>
      </c>
      <c r="O52" s="185">
        <v>48</v>
      </c>
      <c r="P52" s="300">
        <f t="shared" si="1"/>
        <v>90.346666666666664</v>
      </c>
      <c r="Q52" s="186">
        <v>6.1379999999999999</v>
      </c>
      <c r="R52" s="186">
        <v>-3.6999999999999998E-2</v>
      </c>
      <c r="S52" s="186">
        <v>6.1379999999999999</v>
      </c>
      <c r="T52" s="181">
        <f t="shared" si="2"/>
        <v>-3.6999999999999922E-2</v>
      </c>
      <c r="U52" s="182">
        <f t="shared" si="4"/>
        <v>535315.67632722144</v>
      </c>
      <c r="V52" s="182">
        <f t="shared" si="5"/>
        <v>9407735.7954531927</v>
      </c>
      <c r="W52" s="181">
        <f t="shared" si="6"/>
        <v>106.749</v>
      </c>
      <c r="Y52" t="str">
        <f t="shared" si="7"/>
        <v>PO 535315,676327221,9407735,79545319</v>
      </c>
    </row>
    <row r="53" spans="2:25" ht="14.25" customHeight="1" x14ac:dyDescent="0.3">
      <c r="B53" s="180">
        <v>1.49</v>
      </c>
      <c r="C53" s="233"/>
      <c r="D53" s="180">
        <v>1.49</v>
      </c>
      <c r="E53" s="233"/>
      <c r="F53" s="233"/>
      <c r="G53" s="233"/>
      <c r="H53" s="181">
        <f t="shared" si="3"/>
        <v>103.98405555555553</v>
      </c>
      <c r="I53" s="185">
        <v>202</v>
      </c>
      <c r="J53" s="185">
        <v>21</v>
      </c>
      <c r="K53" s="185">
        <v>22</v>
      </c>
      <c r="L53" s="300">
        <f t="shared" si="0"/>
        <v>202.35611111111112</v>
      </c>
      <c r="M53" s="185">
        <v>94</v>
      </c>
      <c r="N53" s="185">
        <v>57</v>
      </c>
      <c r="O53" s="185">
        <v>56</v>
      </c>
      <c r="P53" s="300">
        <f t="shared" si="1"/>
        <v>94.965555555555554</v>
      </c>
      <c r="Q53" s="186">
        <v>5.7910000000000004</v>
      </c>
      <c r="R53" s="186">
        <v>-0.501</v>
      </c>
      <c r="S53" s="186">
        <v>5.7690000000000001</v>
      </c>
      <c r="T53" s="181">
        <f t="shared" si="2"/>
        <v>-0.501</v>
      </c>
      <c r="U53" s="182">
        <f t="shared" si="4"/>
        <v>535316.10502421309</v>
      </c>
      <c r="V53" s="182">
        <f t="shared" si="5"/>
        <v>9407737.7109103668</v>
      </c>
      <c r="W53" s="181">
        <f t="shared" si="6"/>
        <v>106.285</v>
      </c>
      <c r="Y53" t="str">
        <f t="shared" si="7"/>
        <v>PO 535316,105024213,9407737,71091037</v>
      </c>
    </row>
    <row r="54" spans="2:25" ht="14.25" customHeight="1" x14ac:dyDescent="0.3">
      <c r="B54" s="180">
        <v>1.49</v>
      </c>
      <c r="C54" s="233"/>
      <c r="D54" s="180">
        <v>1.49</v>
      </c>
      <c r="E54" s="233"/>
      <c r="F54" s="233"/>
      <c r="G54" s="233"/>
      <c r="H54" s="181">
        <f t="shared" si="3"/>
        <v>105.22461111111113</v>
      </c>
      <c r="I54" s="185">
        <v>203</v>
      </c>
      <c r="J54" s="185">
        <v>35</v>
      </c>
      <c r="K54" s="185">
        <v>48</v>
      </c>
      <c r="L54" s="300">
        <f t="shared" si="0"/>
        <v>203.59666666666666</v>
      </c>
      <c r="M54" s="185">
        <v>94</v>
      </c>
      <c r="N54" s="185">
        <v>57</v>
      </c>
      <c r="O54" s="185">
        <v>51</v>
      </c>
      <c r="P54" s="300">
        <f t="shared" si="1"/>
        <v>94.964166666666671</v>
      </c>
      <c r="Q54" s="186">
        <v>5.423</v>
      </c>
      <c r="R54" s="186">
        <v>-0.46899999999999997</v>
      </c>
      <c r="S54" s="186">
        <v>5.4029999999999996</v>
      </c>
      <c r="T54" s="181">
        <f t="shared" si="2"/>
        <v>-0.46900000000000008</v>
      </c>
      <c r="U54" s="182">
        <f t="shared" si="4"/>
        <v>535315.72037514183</v>
      </c>
      <c r="V54" s="182">
        <f t="shared" si="5"/>
        <v>9407737.6861523595</v>
      </c>
      <c r="W54" s="181">
        <f t="shared" si="6"/>
        <v>106.31700000000001</v>
      </c>
      <c r="X54" s="215"/>
      <c r="Y54" t="str">
        <f t="shared" si="7"/>
        <v>PO 535315,720375142,9407737,68615236</v>
      </c>
    </row>
    <row r="55" spans="2:25" ht="14.25" customHeight="1" x14ac:dyDescent="0.3">
      <c r="B55" s="180">
        <v>1.49</v>
      </c>
      <c r="C55" s="233"/>
      <c r="D55" s="180">
        <v>1.49</v>
      </c>
      <c r="E55" s="233"/>
      <c r="F55" s="233"/>
      <c r="G55" s="233"/>
      <c r="H55" s="181">
        <f t="shared" si="3"/>
        <v>95.696277777777766</v>
      </c>
      <c r="I55" s="185">
        <v>194</v>
      </c>
      <c r="J55" s="185">
        <v>4</v>
      </c>
      <c r="K55" s="185">
        <v>6</v>
      </c>
      <c r="L55" s="300">
        <f t="shared" si="0"/>
        <v>194.06833333333333</v>
      </c>
      <c r="M55" s="185">
        <v>94</v>
      </c>
      <c r="N55" s="185">
        <v>57</v>
      </c>
      <c r="O55" s="185">
        <v>50</v>
      </c>
      <c r="P55" s="300">
        <f t="shared" si="1"/>
        <v>94.963888888888889</v>
      </c>
      <c r="Q55" s="186">
        <v>5.085</v>
      </c>
      <c r="R55" s="186">
        <v>0.44</v>
      </c>
      <c r="S55" s="186">
        <v>5.0659999999999998</v>
      </c>
      <c r="T55" s="181">
        <f t="shared" si="2"/>
        <v>0.43999999999999995</v>
      </c>
      <c r="U55" s="182">
        <f t="shared" si="4"/>
        <v>535315.54798419413</v>
      </c>
      <c r="V55" s="182">
        <f t="shared" si="5"/>
        <v>9407738.6021736357</v>
      </c>
      <c r="W55" s="181">
        <f t="shared" si="6"/>
        <v>107.226</v>
      </c>
      <c r="X55" s="215"/>
      <c r="Y55" t="str">
        <f t="shared" si="7"/>
        <v>PO 535315,547984194,9407738,60217364</v>
      </c>
    </row>
    <row r="56" spans="2:25" ht="14.25" customHeight="1" x14ac:dyDescent="0.3">
      <c r="B56" s="180">
        <v>1.49</v>
      </c>
      <c r="C56" s="233"/>
      <c r="D56" s="180">
        <v>1.49</v>
      </c>
      <c r="E56" s="233"/>
      <c r="F56" s="233"/>
      <c r="G56" s="233"/>
      <c r="H56" s="181">
        <f t="shared" si="3"/>
        <v>87.543222222222198</v>
      </c>
      <c r="I56" s="185">
        <v>185</v>
      </c>
      <c r="J56" s="185">
        <v>54</v>
      </c>
      <c r="K56" s="185">
        <v>55</v>
      </c>
      <c r="L56" s="300">
        <f t="shared" si="0"/>
        <v>185.91527777777779</v>
      </c>
      <c r="M56" s="185">
        <v>94</v>
      </c>
      <c r="N56" s="185">
        <v>57</v>
      </c>
      <c r="O56" s="185">
        <v>49</v>
      </c>
      <c r="P56" s="300">
        <f t="shared" si="1"/>
        <v>94.963611111111121</v>
      </c>
      <c r="Q56" s="186">
        <v>4.8879999999999999</v>
      </c>
      <c r="R56" s="186">
        <v>-0.42299999999999999</v>
      </c>
      <c r="S56" s="186">
        <v>4.87</v>
      </c>
      <c r="T56" s="181">
        <f t="shared" si="2"/>
        <v>-0.42300000000000004</v>
      </c>
      <c r="U56" s="182">
        <f t="shared" si="4"/>
        <v>535315.3725237028</v>
      </c>
      <c r="V56" s="182">
        <f t="shared" si="5"/>
        <v>9407739.313756071</v>
      </c>
      <c r="W56" s="181">
        <f t="shared" si="6"/>
        <v>106.363</v>
      </c>
      <c r="X56" s="215"/>
      <c r="Y56" t="str">
        <f t="shared" si="7"/>
        <v>PO 535315,372523703,9407739,31375607</v>
      </c>
    </row>
    <row r="57" spans="2:25" ht="14.25" customHeight="1" x14ac:dyDescent="0.3">
      <c r="B57" s="180">
        <v>1.49</v>
      </c>
      <c r="C57" s="233"/>
      <c r="D57" s="180">
        <v>1.49</v>
      </c>
      <c r="E57" s="233"/>
      <c r="F57" s="233"/>
      <c r="G57" s="233"/>
      <c r="H57" s="181">
        <f t="shared" si="3"/>
        <v>76.354888888888922</v>
      </c>
      <c r="I57" s="185">
        <v>174</v>
      </c>
      <c r="J57" s="185">
        <v>43</v>
      </c>
      <c r="K57" s="185">
        <v>37</v>
      </c>
      <c r="L57" s="300">
        <f t="shared" si="0"/>
        <v>174.72694444444446</v>
      </c>
      <c r="M57" s="185">
        <v>94</v>
      </c>
      <c r="N57" s="185">
        <v>57</v>
      </c>
      <c r="O57" s="185">
        <v>39</v>
      </c>
      <c r="P57" s="300">
        <f t="shared" si="1"/>
        <v>94.960833333333341</v>
      </c>
      <c r="Q57" s="186">
        <v>4.7889999999999997</v>
      </c>
      <c r="R57" s="186">
        <v>-0.41399999999999998</v>
      </c>
      <c r="S57" s="186">
        <v>4.7709999999999999</v>
      </c>
      <c r="T57" s="181">
        <f t="shared" si="2"/>
        <v>-0.41399999999999992</v>
      </c>
      <c r="U57" s="182">
        <f t="shared" si="4"/>
        <v>535315.14334121183</v>
      </c>
      <c r="V57" s="182">
        <f t="shared" si="5"/>
        <v>9407740.2305137347</v>
      </c>
      <c r="W57" s="181">
        <f t="shared" si="6"/>
        <v>106.372</v>
      </c>
      <c r="X57" s="215"/>
      <c r="Y57" t="str">
        <f t="shared" si="7"/>
        <v>PO 535315,143341212,9407740,23051373</v>
      </c>
    </row>
    <row r="58" spans="2:25" ht="14.25" customHeight="1" x14ac:dyDescent="0.3">
      <c r="B58" s="180">
        <v>1.49</v>
      </c>
      <c r="C58" s="233"/>
      <c r="D58" s="180">
        <v>1.49</v>
      </c>
      <c r="E58" s="233"/>
      <c r="F58" s="233"/>
      <c r="G58" s="233"/>
      <c r="H58" s="181">
        <f t="shared" si="3"/>
        <v>67.205444444444424</v>
      </c>
      <c r="I58" s="185">
        <v>165</v>
      </c>
      <c r="J58" s="185">
        <v>34</v>
      </c>
      <c r="K58" s="185">
        <v>39</v>
      </c>
      <c r="L58" s="300">
        <f t="shared" si="0"/>
        <v>165.57749999999999</v>
      </c>
      <c r="M58" s="185">
        <v>94</v>
      </c>
      <c r="N58" s="185">
        <v>57</v>
      </c>
      <c r="O58" s="185">
        <v>53</v>
      </c>
      <c r="P58" s="300">
        <f t="shared" si="1"/>
        <v>94.964722222222221</v>
      </c>
      <c r="Q58" s="186">
        <v>4.6070000000000002</v>
      </c>
      <c r="R58" s="186">
        <v>-0.39900000000000002</v>
      </c>
      <c r="S58" s="186">
        <v>4.59</v>
      </c>
      <c r="T58" s="181">
        <f t="shared" si="2"/>
        <v>-0.39900000000000002</v>
      </c>
      <c r="U58" s="182">
        <f t="shared" si="4"/>
        <v>535314.73852086463</v>
      </c>
      <c r="V58" s="182">
        <f t="shared" si="5"/>
        <v>9407740.8832944557</v>
      </c>
      <c r="W58" s="181">
        <f t="shared" si="6"/>
        <v>106.387</v>
      </c>
      <c r="X58" s="215"/>
      <c r="Y58" t="str">
        <f t="shared" si="7"/>
        <v>PO 535314,738520865,9407740,88329446</v>
      </c>
    </row>
    <row r="59" spans="2:25" ht="14.25" customHeight="1" x14ac:dyDescent="0.3">
      <c r="B59" s="180">
        <v>1.49</v>
      </c>
      <c r="C59" s="233"/>
      <c r="D59" s="180">
        <v>1.49</v>
      </c>
      <c r="E59" s="233"/>
      <c r="F59" s="233"/>
      <c r="G59" s="233"/>
      <c r="H59" s="181">
        <f t="shared" si="3"/>
        <v>55.571833333333331</v>
      </c>
      <c r="I59" s="185">
        <v>153</v>
      </c>
      <c r="J59" s="185">
        <v>56</v>
      </c>
      <c r="K59" s="185">
        <v>38</v>
      </c>
      <c r="L59" s="300">
        <f t="shared" si="0"/>
        <v>153.94388888888889</v>
      </c>
      <c r="M59" s="185">
        <v>94</v>
      </c>
      <c r="N59" s="185">
        <v>57</v>
      </c>
      <c r="O59" s="185">
        <v>42</v>
      </c>
      <c r="P59" s="300">
        <f t="shared" si="1"/>
        <v>94.961666666666673</v>
      </c>
      <c r="Q59" s="186">
        <v>4.5190000000000001</v>
      </c>
      <c r="R59" s="186">
        <v>-0.39100000000000001</v>
      </c>
      <c r="S59" s="186">
        <v>4.5019999999999998</v>
      </c>
      <c r="T59" s="181">
        <f t="shared" si="2"/>
        <v>-0.39100000000000001</v>
      </c>
      <c r="U59" s="182">
        <f t="shared" si="4"/>
        <v>535314.22041014221</v>
      </c>
      <c r="V59" s="182">
        <f t="shared" si="5"/>
        <v>9407741.6503072735</v>
      </c>
      <c r="W59" s="181">
        <f t="shared" si="6"/>
        <v>106.395</v>
      </c>
      <c r="X59" s="215"/>
      <c r="Y59" t="str">
        <f t="shared" si="7"/>
        <v>PO 535314,220410142,9407741,65030727</v>
      </c>
    </row>
    <row r="60" spans="2:25" ht="14.25" customHeight="1" x14ac:dyDescent="0.3">
      <c r="B60" s="180">
        <v>1.49</v>
      </c>
      <c r="C60" s="233"/>
      <c r="D60" s="180">
        <v>1.49</v>
      </c>
      <c r="E60" s="233"/>
      <c r="F60" s="233"/>
      <c r="G60" s="233"/>
      <c r="H60" s="181">
        <f t="shared" si="3"/>
        <v>46.288222222222231</v>
      </c>
      <c r="I60" s="185">
        <v>144</v>
      </c>
      <c r="J60" s="185">
        <v>39</v>
      </c>
      <c r="K60" s="185">
        <v>37</v>
      </c>
      <c r="L60" s="300">
        <f t="shared" si="0"/>
        <v>144.66027777777779</v>
      </c>
      <c r="M60" s="185">
        <v>94</v>
      </c>
      <c r="N60" s="185">
        <v>57</v>
      </c>
      <c r="O60" s="185">
        <v>33</v>
      </c>
      <c r="P60" s="300">
        <f t="shared" si="1"/>
        <v>94.959166666666675</v>
      </c>
      <c r="Q60" s="186">
        <v>4.5060000000000002</v>
      </c>
      <c r="R60" s="186">
        <v>-0.39</v>
      </c>
      <c r="S60" s="186">
        <v>4.4889999999999999</v>
      </c>
      <c r="T60" s="181">
        <f t="shared" si="2"/>
        <v>-0.3899999999999999</v>
      </c>
      <c r="U60" s="182">
        <f t="shared" si="4"/>
        <v>535313.75176192843</v>
      </c>
      <c r="V60" s="182">
        <f t="shared" si="5"/>
        <v>9407742.2070382051</v>
      </c>
      <c r="W60" s="181">
        <f t="shared" si="6"/>
        <v>106.396</v>
      </c>
      <c r="X60" s="215"/>
      <c r="Y60" t="str">
        <f t="shared" si="7"/>
        <v>PO 535313,751761928,9407742,20703821</v>
      </c>
    </row>
    <row r="61" spans="2:25" ht="14.25" customHeight="1" x14ac:dyDescent="0.3">
      <c r="B61" s="180">
        <v>1.49</v>
      </c>
      <c r="C61" s="233"/>
      <c r="D61" s="180">
        <v>1.49</v>
      </c>
      <c r="E61" s="233"/>
      <c r="F61" s="233"/>
      <c r="G61" s="233"/>
      <c r="H61" s="181">
        <f t="shared" si="3"/>
        <v>37.746833333333342</v>
      </c>
      <c r="I61" s="185">
        <v>136</v>
      </c>
      <c r="J61" s="185">
        <v>7</v>
      </c>
      <c r="K61" s="185">
        <v>8</v>
      </c>
      <c r="L61" s="300">
        <f t="shared" si="0"/>
        <v>136.1188888888889</v>
      </c>
      <c r="M61" s="185">
        <v>94</v>
      </c>
      <c r="N61" s="185">
        <v>57</v>
      </c>
      <c r="O61" s="185">
        <v>42</v>
      </c>
      <c r="P61" s="300">
        <f t="shared" si="1"/>
        <v>94.961666666666673</v>
      </c>
      <c r="Q61" s="186">
        <v>4.4779999999999998</v>
      </c>
      <c r="R61" s="186">
        <v>-0.38700000000000001</v>
      </c>
      <c r="S61" s="186">
        <v>4.4610000000000003</v>
      </c>
      <c r="T61" s="181">
        <f t="shared" si="2"/>
        <v>-0.38700000000000001</v>
      </c>
      <c r="U61" s="182">
        <f t="shared" si="4"/>
        <v>535313.23790633446</v>
      </c>
      <c r="V61" s="182">
        <f t="shared" si="5"/>
        <v>9407742.6324171275</v>
      </c>
      <c r="W61" s="181">
        <f t="shared" si="6"/>
        <v>106.399</v>
      </c>
      <c r="X61" s="215"/>
      <c r="Y61" t="str">
        <f t="shared" si="7"/>
        <v>PO 535313,237906334,9407742,63241713</v>
      </c>
    </row>
    <row r="62" spans="2:25" ht="14.25" customHeight="1" x14ac:dyDescent="0.3">
      <c r="B62" s="180">
        <v>1.49</v>
      </c>
      <c r="C62" s="233"/>
      <c r="D62" s="180">
        <v>1.49</v>
      </c>
      <c r="E62" s="233"/>
      <c r="F62" s="233"/>
      <c r="G62" s="233"/>
      <c r="H62" s="181">
        <f t="shared" si="3"/>
        <v>31.205444444444424</v>
      </c>
      <c r="I62" s="185">
        <v>129</v>
      </c>
      <c r="J62" s="185">
        <v>34</v>
      </c>
      <c r="K62" s="185">
        <v>39</v>
      </c>
      <c r="L62" s="300">
        <f t="shared" si="0"/>
        <v>129.57749999999999</v>
      </c>
      <c r="M62" s="185">
        <v>94</v>
      </c>
      <c r="N62" s="185">
        <v>57</v>
      </c>
      <c r="O62" s="185">
        <v>35</v>
      </c>
      <c r="P62" s="300">
        <f t="shared" si="1"/>
        <v>94.959722222222226</v>
      </c>
      <c r="Q62" s="186">
        <v>4.702</v>
      </c>
      <c r="R62" s="186">
        <v>-0.40600000000000003</v>
      </c>
      <c r="S62" s="186">
        <v>4.6840000000000002</v>
      </c>
      <c r="T62" s="181">
        <f t="shared" si="2"/>
        <v>-0.40599999999999992</v>
      </c>
      <c r="U62" s="182">
        <f t="shared" si="4"/>
        <v>535312.93381921505</v>
      </c>
      <c r="V62" s="182">
        <f t="shared" si="5"/>
        <v>9407743.1112956088</v>
      </c>
      <c r="W62" s="181">
        <f t="shared" si="6"/>
        <v>106.38</v>
      </c>
      <c r="X62" s="215"/>
      <c r="Y62" t="str">
        <f t="shared" si="7"/>
        <v>PO 535312,933819215,9407743,11129561</v>
      </c>
    </row>
    <row r="63" spans="2:25" ht="14.25" customHeight="1" x14ac:dyDescent="0.3">
      <c r="B63" s="180">
        <v>1.49</v>
      </c>
      <c r="C63" s="233"/>
      <c r="D63" s="180">
        <v>1.49</v>
      </c>
      <c r="E63" s="233"/>
      <c r="F63" s="233"/>
      <c r="G63" s="233"/>
      <c r="H63" s="181">
        <f t="shared" si="3"/>
        <v>16.816277777777771</v>
      </c>
      <c r="I63" s="185">
        <v>115</v>
      </c>
      <c r="J63" s="185">
        <v>11</v>
      </c>
      <c r="K63" s="185">
        <v>18</v>
      </c>
      <c r="L63" s="300">
        <f t="shared" si="0"/>
        <v>115.18833333333333</v>
      </c>
      <c r="M63" s="185">
        <v>94</v>
      </c>
      <c r="N63" s="185">
        <v>57</v>
      </c>
      <c r="O63" s="185">
        <v>29</v>
      </c>
      <c r="P63" s="300">
        <f t="shared" si="1"/>
        <v>94.958055555555561</v>
      </c>
      <c r="Q63" s="186">
        <v>4.9820000000000002</v>
      </c>
      <c r="R63" s="186">
        <v>-0.43099999999999999</v>
      </c>
      <c r="S63" s="186">
        <v>4.9630000000000001</v>
      </c>
      <c r="T63" s="181">
        <f t="shared" si="2"/>
        <v>-0.43100000000000005</v>
      </c>
      <c r="U63" s="182">
        <f t="shared" si="4"/>
        <v>535311.94281456352</v>
      </c>
      <c r="V63" s="182">
        <f t="shared" si="5"/>
        <v>9407743.8557689432</v>
      </c>
      <c r="W63" s="181">
        <f t="shared" si="6"/>
        <v>106.355</v>
      </c>
      <c r="X63" s="215"/>
      <c r="Y63" t="str">
        <f t="shared" si="7"/>
        <v>PO 535311,942814564,9407743,85576894</v>
      </c>
    </row>
    <row r="64" spans="2:25" ht="14.25" customHeight="1" x14ac:dyDescent="0.3">
      <c r="B64" s="180">
        <v>1.49</v>
      </c>
      <c r="C64" s="233"/>
      <c r="D64" s="180">
        <v>1.49</v>
      </c>
      <c r="E64" s="233"/>
      <c r="F64" s="233"/>
      <c r="G64" s="233"/>
      <c r="H64" s="181">
        <f t="shared" si="3"/>
        <v>9.42349999999999</v>
      </c>
      <c r="I64" s="185">
        <v>107</v>
      </c>
      <c r="J64" s="185">
        <v>47</v>
      </c>
      <c r="K64" s="185">
        <v>44</v>
      </c>
      <c r="L64" s="300">
        <f t="shared" si="0"/>
        <v>107.79555555555555</v>
      </c>
      <c r="M64" s="185">
        <v>94</v>
      </c>
      <c r="N64" s="185">
        <v>57</v>
      </c>
      <c r="O64" s="185">
        <v>23</v>
      </c>
      <c r="P64" s="300">
        <f t="shared" si="1"/>
        <v>94.956388888888895</v>
      </c>
      <c r="Q64" s="186">
        <v>5.14</v>
      </c>
      <c r="R64" s="186">
        <v>-0.14399999999999999</v>
      </c>
      <c r="S64" s="186">
        <v>5.1210000000000004</v>
      </c>
      <c r="T64" s="181">
        <f t="shared" si="2"/>
        <v>-0.14399999999999991</v>
      </c>
      <c r="U64" s="182">
        <f t="shared" si="4"/>
        <v>535311.34546436882</v>
      </c>
      <c r="V64" s="182">
        <f t="shared" si="5"/>
        <v>9407744.156892566</v>
      </c>
      <c r="W64" s="181">
        <f t="shared" si="6"/>
        <v>106.642</v>
      </c>
      <c r="X64" s="215"/>
      <c r="Y64" t="str">
        <f t="shared" si="7"/>
        <v>PO 535311,345464369,9407744,15689257</v>
      </c>
    </row>
    <row r="65" spans="2:25" ht="14.25" customHeight="1" x14ac:dyDescent="0.3">
      <c r="B65" s="180">
        <v>1.49</v>
      </c>
      <c r="C65" s="233"/>
      <c r="D65" s="180">
        <v>1.49</v>
      </c>
      <c r="E65" s="233"/>
      <c r="F65" s="233"/>
      <c r="G65" s="233"/>
      <c r="H65" s="181">
        <f t="shared" si="3"/>
        <v>367.94972222222225</v>
      </c>
      <c r="I65" s="185">
        <v>96</v>
      </c>
      <c r="J65" s="185">
        <v>56</v>
      </c>
      <c r="K65" s="185">
        <v>59</v>
      </c>
      <c r="L65" s="300">
        <f t="shared" si="0"/>
        <v>96.949722222222221</v>
      </c>
      <c r="M65" s="185">
        <v>94</v>
      </c>
      <c r="N65" s="185">
        <v>57</v>
      </c>
      <c r="O65" s="185">
        <v>12</v>
      </c>
      <c r="P65" s="300">
        <f t="shared" si="1"/>
        <v>94.953333333333333</v>
      </c>
      <c r="Q65" s="186">
        <v>5.5140000000000002</v>
      </c>
      <c r="R65" s="186">
        <v>-0.47599999999999998</v>
      </c>
      <c r="S65" s="186">
        <v>5.4930000000000003</v>
      </c>
      <c r="T65" s="181">
        <f t="shared" si="2"/>
        <v>-0.47599999999999998</v>
      </c>
      <c r="U65" s="182">
        <f t="shared" si="4"/>
        <v>535311.26670428191</v>
      </c>
      <c r="V65" s="182">
        <f t="shared" si="5"/>
        <v>9407744.5452112462</v>
      </c>
      <c r="W65" s="181">
        <f t="shared" si="6"/>
        <v>106.31</v>
      </c>
      <c r="X65" s="215"/>
      <c r="Y65" t="str">
        <f t="shared" si="7"/>
        <v>PO 535311,266704282,9407744,54521125</v>
      </c>
    </row>
    <row r="66" spans="2:25" ht="14.25" customHeight="1" x14ac:dyDescent="0.3">
      <c r="B66" s="192"/>
      <c r="C66" s="192"/>
      <c r="D66" s="180">
        <v>1.49</v>
      </c>
      <c r="E66" s="192"/>
      <c r="F66" s="192" t="s">
        <v>430</v>
      </c>
      <c r="G66" s="180"/>
      <c r="H66" s="181">
        <f t="shared" si="3"/>
        <v>365.57388888888886</v>
      </c>
      <c r="I66" s="185">
        <v>94</v>
      </c>
      <c r="J66" s="185">
        <v>34</v>
      </c>
      <c r="K66" s="185">
        <v>26</v>
      </c>
      <c r="L66" s="300">
        <f t="shared" si="0"/>
        <v>94.573888888888888</v>
      </c>
      <c r="M66" s="185">
        <v>93</v>
      </c>
      <c r="N66" s="185">
        <v>13</v>
      </c>
      <c r="O66" s="185">
        <v>59</v>
      </c>
      <c r="P66" s="300">
        <f t="shared" si="1"/>
        <v>93.233055555555552</v>
      </c>
      <c r="Q66" s="186">
        <v>21.817</v>
      </c>
      <c r="R66" s="186">
        <v>-1.23</v>
      </c>
      <c r="S66" s="186">
        <v>21.782</v>
      </c>
      <c r="T66" s="181">
        <f t="shared" si="2"/>
        <v>-1.23</v>
      </c>
      <c r="U66" s="182">
        <f t="shared" si="4"/>
        <v>535312.62267127889</v>
      </c>
      <c r="V66" s="182">
        <f t="shared" si="5"/>
        <v>9407760.7840096429</v>
      </c>
      <c r="W66" s="181">
        <f t="shared" si="6"/>
        <v>105.556</v>
      </c>
      <c r="X66" s="215"/>
      <c r="Y66" t="str">
        <f t="shared" si="7"/>
        <v>PO 535312,622671279,9407760,78400964</v>
      </c>
    </row>
    <row r="67" spans="2:25" ht="14.25" customHeight="1" x14ac:dyDescent="0.3">
      <c r="B67" s="192"/>
      <c r="C67" s="192"/>
      <c r="D67" s="180">
        <v>1.49</v>
      </c>
      <c r="E67" s="192"/>
      <c r="F67" s="192" t="s">
        <v>431</v>
      </c>
      <c r="G67" s="180"/>
      <c r="H67" s="181">
        <f t="shared" si="3"/>
        <v>366.19555555555553</v>
      </c>
      <c r="I67" s="185">
        <v>95</v>
      </c>
      <c r="J67" s="185">
        <v>11</v>
      </c>
      <c r="K67" s="185">
        <v>44</v>
      </c>
      <c r="L67" s="300">
        <f t="shared" si="0"/>
        <v>95.195555555555558</v>
      </c>
      <c r="M67" s="185">
        <v>93</v>
      </c>
      <c r="N67" s="185">
        <v>13</v>
      </c>
      <c r="O67" s="185">
        <v>51</v>
      </c>
      <c r="P67" s="300">
        <f t="shared" si="1"/>
        <v>93.230833333333337</v>
      </c>
      <c r="Q67" s="186">
        <v>21.905999999999999</v>
      </c>
      <c r="R67" s="186">
        <v>-1.2350000000000001</v>
      </c>
      <c r="S67" s="186">
        <v>21.870999999999999</v>
      </c>
      <c r="T67" s="181">
        <f t="shared" si="2"/>
        <v>-1.2350000000000001</v>
      </c>
      <c r="U67" s="182">
        <f t="shared" si="4"/>
        <v>535312.86736728705</v>
      </c>
      <c r="V67" s="182">
        <f t="shared" si="5"/>
        <v>9407760.8482588939</v>
      </c>
      <c r="W67" s="181">
        <f t="shared" si="6"/>
        <v>105.551</v>
      </c>
      <c r="X67" s="215"/>
      <c r="Y67" t="str">
        <f t="shared" si="7"/>
        <v>PO 535312,867367287,9407760,84825889</v>
      </c>
    </row>
    <row r="68" spans="2:25" ht="14.25" customHeight="1" x14ac:dyDescent="0.3">
      <c r="B68" s="192"/>
      <c r="C68" s="192"/>
      <c r="D68" s="180">
        <v>1.49</v>
      </c>
      <c r="E68" s="192"/>
      <c r="F68" s="192" t="s">
        <v>432</v>
      </c>
      <c r="G68" s="180"/>
      <c r="H68" s="181">
        <f t="shared" si="3"/>
        <v>0.24572222222221285</v>
      </c>
      <c r="I68" s="185">
        <v>98</v>
      </c>
      <c r="J68" s="185">
        <v>37</v>
      </c>
      <c r="K68" s="185">
        <v>4</v>
      </c>
      <c r="L68" s="300">
        <f t="shared" si="0"/>
        <v>98.617777777777775</v>
      </c>
      <c r="M68" s="185">
        <v>93</v>
      </c>
      <c r="N68" s="185">
        <v>13</v>
      </c>
      <c r="O68" s="185">
        <v>35</v>
      </c>
      <c r="P68" s="300">
        <f t="shared" si="1"/>
        <v>93.226388888888891</v>
      </c>
      <c r="Q68" s="186">
        <v>21.759</v>
      </c>
      <c r="R68" s="186">
        <v>-1.2270000000000001</v>
      </c>
      <c r="S68" s="186">
        <v>21.724</v>
      </c>
      <c r="T68" s="181">
        <f t="shared" si="2"/>
        <v>-1.2270000000000001</v>
      </c>
      <c r="U68" s="182">
        <f t="shared" si="4"/>
        <v>535310.60016660381</v>
      </c>
      <c r="V68" s="182">
        <f t="shared" si="5"/>
        <v>9407760.82880022</v>
      </c>
      <c r="W68" s="181">
        <f t="shared" si="6"/>
        <v>105.559</v>
      </c>
      <c r="Y68" t="str">
        <f t="shared" si="7"/>
        <v>PO 535310,600166604,9407760,82880022</v>
      </c>
    </row>
    <row r="69" spans="2:25" ht="14.25" customHeight="1" x14ac:dyDescent="0.3">
      <c r="B69" s="192"/>
      <c r="C69" s="192"/>
      <c r="D69" s="180">
        <v>1.49</v>
      </c>
      <c r="E69" s="192"/>
      <c r="F69" s="192" t="s">
        <v>433</v>
      </c>
      <c r="G69" s="180"/>
      <c r="H69" s="181">
        <f t="shared" si="3"/>
        <v>369.01694444444445</v>
      </c>
      <c r="I69" s="185">
        <v>98</v>
      </c>
      <c r="J69" s="185">
        <v>1</v>
      </c>
      <c r="K69" s="185">
        <v>1</v>
      </c>
      <c r="L69" s="300">
        <f t="shared" si="0"/>
        <v>98.016944444444448</v>
      </c>
      <c r="M69" s="185">
        <v>93</v>
      </c>
      <c r="N69" s="185">
        <v>13</v>
      </c>
      <c r="O69" s="185">
        <v>53</v>
      </c>
      <c r="P69" s="300">
        <f t="shared" si="1"/>
        <v>93.231388888888887</v>
      </c>
      <c r="Q69" s="186">
        <v>21.919</v>
      </c>
      <c r="R69" s="186">
        <v>-1.236</v>
      </c>
      <c r="S69" s="186">
        <v>21.884</v>
      </c>
      <c r="T69" s="181">
        <f t="shared" si="2"/>
        <v>-1.236</v>
      </c>
      <c r="U69" s="182">
        <f t="shared" si="4"/>
        <v>535313.93680389761</v>
      </c>
      <c r="V69" s="182">
        <f t="shared" si="5"/>
        <v>9407760.7185582742</v>
      </c>
      <c r="W69" s="181">
        <f t="shared" si="6"/>
        <v>105.55</v>
      </c>
      <c r="Y69" t="str">
        <f t="shared" si="7"/>
        <v>PO 535313,936803898,9407760,71855827</v>
      </c>
    </row>
    <row r="70" spans="2:25" ht="14.25" customHeight="1" x14ac:dyDescent="0.3">
      <c r="B70" s="192"/>
      <c r="C70" s="192"/>
      <c r="D70" s="180">
        <v>1.49</v>
      </c>
      <c r="E70" s="192"/>
      <c r="F70" s="192" t="s">
        <v>434</v>
      </c>
      <c r="G70" s="180"/>
      <c r="H70" s="181">
        <f t="shared" si="3"/>
        <v>72.132944444444433</v>
      </c>
      <c r="I70" s="185">
        <v>170</v>
      </c>
      <c r="J70" s="185">
        <v>30</v>
      </c>
      <c r="K70" s="185">
        <v>18</v>
      </c>
      <c r="L70" s="300">
        <f t="shared" si="0"/>
        <v>170.505</v>
      </c>
      <c r="M70" s="185">
        <v>93</v>
      </c>
      <c r="N70" s="185">
        <v>14</v>
      </c>
      <c r="O70" s="185">
        <v>28</v>
      </c>
      <c r="P70" s="300">
        <f t="shared" si="1"/>
        <v>93.24111111111111</v>
      </c>
      <c r="Q70" s="186">
        <v>15.215999999999999</v>
      </c>
      <c r="R70" s="186">
        <v>-0.06</v>
      </c>
      <c r="S70" s="186">
        <v>15.192</v>
      </c>
      <c r="T70" s="181">
        <f t="shared" si="2"/>
        <v>-6.0000000000000053E-2</v>
      </c>
      <c r="U70" s="182">
        <f t="shared" si="4"/>
        <v>535324.96630462562</v>
      </c>
      <c r="V70" s="182">
        <f t="shared" si="5"/>
        <v>9407743.7660485674</v>
      </c>
      <c r="W70" s="181">
        <f t="shared" si="6"/>
        <v>106.726</v>
      </c>
      <c r="Y70" t="str">
        <f t="shared" si="7"/>
        <v>PO 535324,966304626,9407743,76604857</v>
      </c>
    </row>
    <row r="71" spans="2:25" ht="14.25" customHeight="1" x14ac:dyDescent="0.3">
      <c r="B71" s="192"/>
      <c r="C71" s="192"/>
      <c r="D71" s="180">
        <v>1.49</v>
      </c>
      <c r="E71" s="192"/>
      <c r="F71" s="192" t="s">
        <v>435</v>
      </c>
      <c r="G71" s="180"/>
      <c r="H71" s="181">
        <f t="shared" si="3"/>
        <v>72.192666666666668</v>
      </c>
      <c r="I71" s="185">
        <v>170</v>
      </c>
      <c r="J71" s="185">
        <v>33</v>
      </c>
      <c r="K71" s="185">
        <v>53</v>
      </c>
      <c r="L71" s="300">
        <f t="shared" si="0"/>
        <v>170.56472222222223</v>
      </c>
      <c r="M71" s="185">
        <v>93</v>
      </c>
      <c r="N71" s="185">
        <v>14</v>
      </c>
      <c r="O71" s="185">
        <v>35</v>
      </c>
      <c r="P71" s="300">
        <f t="shared" si="1"/>
        <v>93.243055555555557</v>
      </c>
      <c r="Q71" s="186">
        <v>15.305999999999999</v>
      </c>
      <c r="R71" s="186">
        <v>-0.86599999999999999</v>
      </c>
      <c r="S71" s="186">
        <v>12.281000000000001</v>
      </c>
      <c r="T71" s="181">
        <f t="shared" si="2"/>
        <v>-0.86599999999999999</v>
      </c>
      <c r="U71" s="182">
        <f t="shared" si="4"/>
        <v>535322.19962046773</v>
      </c>
      <c r="V71" s="182">
        <f t="shared" si="5"/>
        <v>9407742.8607406188</v>
      </c>
      <c r="W71" s="181">
        <f t="shared" si="6"/>
        <v>105.92</v>
      </c>
      <c r="Y71" t="str">
        <f t="shared" si="7"/>
        <v>PO 535322,199620468,9407742,86074062</v>
      </c>
    </row>
    <row r="72" spans="2:25" ht="14.25" customHeight="1" x14ac:dyDescent="0.3">
      <c r="B72" s="192"/>
      <c r="C72" s="192"/>
      <c r="D72" s="180">
        <v>1.49</v>
      </c>
      <c r="E72" s="192"/>
      <c r="F72" s="192" t="s">
        <v>436</v>
      </c>
      <c r="G72" s="180"/>
      <c r="H72" s="181">
        <f t="shared" si="3"/>
        <v>98.115444444444393</v>
      </c>
      <c r="I72" s="185">
        <v>196</v>
      </c>
      <c r="J72" s="185">
        <v>29</v>
      </c>
      <c r="K72" s="185">
        <v>15</v>
      </c>
      <c r="L72" s="300">
        <f t="shared" si="0"/>
        <v>196.48749999999998</v>
      </c>
      <c r="M72" s="185">
        <v>93</v>
      </c>
      <c r="N72" s="185">
        <v>29</v>
      </c>
      <c r="O72" s="185">
        <v>15</v>
      </c>
      <c r="P72" s="235">
        <f t="shared" si="1"/>
        <v>93.487499999999997</v>
      </c>
      <c r="Q72" s="186">
        <v>18.687000000000001</v>
      </c>
      <c r="R72" s="186">
        <v>-1.1359999999999999</v>
      </c>
      <c r="S72" s="186">
        <v>18.652000000000001</v>
      </c>
      <c r="T72" s="181">
        <f t="shared" si="2"/>
        <v>-1.1359999999999999</v>
      </c>
      <c r="U72" s="182">
        <f t="shared" si="4"/>
        <v>535328.97221217444</v>
      </c>
      <c r="V72" s="182">
        <f t="shared" si="5"/>
        <v>9407736.4719327111</v>
      </c>
      <c r="W72" s="181">
        <f t="shared" si="6"/>
        <v>105.65</v>
      </c>
      <c r="Y72" t="str">
        <f t="shared" si="7"/>
        <v>PO 535328,972212174,9407736,47193271</v>
      </c>
    </row>
    <row r="73" spans="2:25" ht="14.25" customHeight="1" x14ac:dyDescent="0.3">
      <c r="B73" s="192"/>
      <c r="C73" s="192"/>
      <c r="D73" s="180">
        <v>1.49</v>
      </c>
      <c r="E73" s="192"/>
      <c r="F73" s="192" t="s">
        <v>437</v>
      </c>
      <c r="G73" s="180"/>
      <c r="H73" s="181">
        <f t="shared" si="3"/>
        <v>98.002666666666642</v>
      </c>
      <c r="I73" s="185">
        <v>196</v>
      </c>
      <c r="J73" s="185">
        <v>22</v>
      </c>
      <c r="K73" s="185">
        <v>29</v>
      </c>
      <c r="L73" s="300">
        <f t="shared" si="0"/>
        <v>196.37472222222223</v>
      </c>
      <c r="M73" s="185">
        <v>93</v>
      </c>
      <c r="N73" s="185">
        <v>29</v>
      </c>
      <c r="O73" s="185">
        <v>24</v>
      </c>
      <c r="P73" s="235">
        <f t="shared" si="1"/>
        <v>93.49</v>
      </c>
      <c r="Q73" s="186">
        <v>18.943000000000001</v>
      </c>
      <c r="R73" s="186">
        <v>-1.153</v>
      </c>
      <c r="S73" s="186">
        <v>18.919</v>
      </c>
      <c r="T73" s="181">
        <f t="shared" si="2"/>
        <v>-1.153</v>
      </c>
      <c r="U73" s="182">
        <f t="shared" si="4"/>
        <v>535329.24175902607</v>
      </c>
      <c r="V73" s="182">
        <f t="shared" si="5"/>
        <v>9407736.4711121451</v>
      </c>
      <c r="W73" s="181">
        <f t="shared" si="6"/>
        <v>105.633</v>
      </c>
      <c r="Y73" t="str">
        <f t="shared" si="7"/>
        <v>PO 535329,241759026,9407736,47111215</v>
      </c>
    </row>
    <row r="74" spans="2:25" ht="14.25" customHeight="1" x14ac:dyDescent="0.3">
      <c r="B74" s="192"/>
      <c r="C74" s="192"/>
      <c r="D74" s="180">
        <v>1.49</v>
      </c>
      <c r="E74" s="192"/>
      <c r="F74" s="192" t="s">
        <v>438</v>
      </c>
      <c r="G74" s="180"/>
      <c r="H74" s="181">
        <f t="shared" si="3"/>
        <v>102.96211111111108</v>
      </c>
      <c r="I74" s="185">
        <v>201</v>
      </c>
      <c r="J74" s="185">
        <v>20</v>
      </c>
      <c r="K74" s="185">
        <v>3</v>
      </c>
      <c r="L74" s="300">
        <f t="shared" si="0"/>
        <v>201.33416666666668</v>
      </c>
      <c r="M74" s="185">
        <v>93</v>
      </c>
      <c r="N74" s="185">
        <v>29</v>
      </c>
      <c r="O74" s="185">
        <v>28</v>
      </c>
      <c r="P74" s="235">
        <f t="shared" si="1"/>
        <v>93.49111111111111</v>
      </c>
      <c r="Q74" s="186">
        <v>19.198</v>
      </c>
      <c r="R74" s="186">
        <v>-1.165</v>
      </c>
      <c r="S74" s="186">
        <v>19.113</v>
      </c>
      <c r="T74" s="181">
        <f t="shared" si="2"/>
        <v>-1.165</v>
      </c>
      <c r="U74" s="182">
        <f t="shared" si="4"/>
        <v>535329.1329741677</v>
      </c>
      <c r="V74" s="182">
        <f t="shared" si="5"/>
        <v>9407734.8178266548</v>
      </c>
      <c r="W74" s="181">
        <f t="shared" si="6"/>
        <v>105.621</v>
      </c>
      <c r="Y74" t="str">
        <f t="shared" si="7"/>
        <v>PO 535329,132974168,9407734,81782665</v>
      </c>
    </row>
    <row r="75" spans="2:25" ht="14.25" customHeight="1" x14ac:dyDescent="0.3">
      <c r="B75" s="192"/>
      <c r="C75" s="192"/>
      <c r="D75" s="180">
        <v>1.49</v>
      </c>
      <c r="E75" s="192"/>
      <c r="F75" s="192" t="s">
        <v>439</v>
      </c>
      <c r="G75" s="180"/>
      <c r="H75" s="181">
        <f t="shared" si="3"/>
        <v>102.73183333333333</v>
      </c>
      <c r="I75" s="185">
        <v>201</v>
      </c>
      <c r="J75" s="185">
        <v>6</v>
      </c>
      <c r="K75" s="185">
        <v>14</v>
      </c>
      <c r="L75" s="300">
        <f t="shared" si="0"/>
        <v>201.10388888888889</v>
      </c>
      <c r="M75" s="185">
        <v>93</v>
      </c>
      <c r="N75" s="185">
        <v>6</v>
      </c>
      <c r="O75" s="185">
        <v>0</v>
      </c>
      <c r="P75" s="235">
        <f t="shared" si="1"/>
        <v>93.1</v>
      </c>
      <c r="Q75" s="186">
        <v>19.138000000000002</v>
      </c>
      <c r="R75" s="186">
        <v>-1.105</v>
      </c>
      <c r="S75" s="186">
        <v>19.11</v>
      </c>
      <c r="T75" s="181">
        <f t="shared" si="2"/>
        <v>-1.105</v>
      </c>
      <c r="U75" s="182">
        <f t="shared" si="4"/>
        <v>535329.14712805173</v>
      </c>
      <c r="V75" s="182">
        <f t="shared" si="5"/>
        <v>9407734.8933819961</v>
      </c>
      <c r="W75" s="181">
        <f t="shared" si="6"/>
        <v>105.681</v>
      </c>
      <c r="Y75" t="str">
        <f t="shared" si="7"/>
        <v>PO 535329,147128052,9407734,893382</v>
      </c>
    </row>
    <row r="76" spans="2:25" ht="14.25" customHeight="1" x14ac:dyDescent="0.3">
      <c r="B76" s="192"/>
      <c r="C76" s="192"/>
      <c r="D76" s="180">
        <v>1.49</v>
      </c>
      <c r="E76" s="192"/>
      <c r="F76" s="192" t="s">
        <v>440</v>
      </c>
      <c r="G76" s="180"/>
      <c r="H76" s="181">
        <f t="shared" si="3"/>
        <v>119.11877777777772</v>
      </c>
      <c r="I76" s="185">
        <v>217</v>
      </c>
      <c r="J76" s="185">
        <v>29</v>
      </c>
      <c r="K76" s="185">
        <v>27</v>
      </c>
      <c r="L76" s="300">
        <f t="shared" si="0"/>
        <v>217.49083333333331</v>
      </c>
      <c r="M76" s="185">
        <v>93</v>
      </c>
      <c r="N76" s="185">
        <v>6</v>
      </c>
      <c r="O76" s="185">
        <v>2</v>
      </c>
      <c r="P76" s="235">
        <f t="shared" si="1"/>
        <v>93.100555555555545</v>
      </c>
      <c r="Q76" s="186">
        <v>20.559000000000001</v>
      </c>
      <c r="R76" s="186">
        <v>-1.1120000000000001</v>
      </c>
      <c r="S76" s="186">
        <v>20.529</v>
      </c>
      <c r="T76" s="181">
        <f t="shared" si="2"/>
        <v>-1.1120000000000001</v>
      </c>
      <c r="U76" s="182">
        <f t="shared" si="4"/>
        <v>535328.44139691349</v>
      </c>
      <c r="V76" s="182">
        <f t="shared" si="5"/>
        <v>9407729.1151427273</v>
      </c>
      <c r="W76" s="181">
        <f t="shared" si="6"/>
        <v>105.67400000000001</v>
      </c>
      <c r="Y76" t="str">
        <f t="shared" si="7"/>
        <v>PO 535328,441396913,9407729,11514273</v>
      </c>
    </row>
    <row r="77" spans="2:25" ht="14.25" customHeight="1" x14ac:dyDescent="0.3">
      <c r="B77" s="192"/>
      <c r="C77" s="192"/>
      <c r="D77" s="180">
        <v>1.49</v>
      </c>
      <c r="E77" s="192"/>
      <c r="F77" s="192" t="s">
        <v>441</v>
      </c>
      <c r="G77" s="180"/>
      <c r="H77" s="181">
        <f t="shared" si="3"/>
        <v>119.90822222222221</v>
      </c>
      <c r="I77" s="185">
        <v>218</v>
      </c>
      <c r="J77" s="185">
        <v>16</v>
      </c>
      <c r="K77" s="185">
        <v>49</v>
      </c>
      <c r="L77" s="300">
        <f t="shared" si="0"/>
        <v>218.2802777777778</v>
      </c>
      <c r="M77" s="185">
        <v>93</v>
      </c>
      <c r="N77" s="185">
        <v>6</v>
      </c>
      <c r="O77" s="185">
        <v>6</v>
      </c>
      <c r="P77" s="300">
        <f t="shared" si="1"/>
        <v>93.101666666666659</v>
      </c>
      <c r="Q77" s="186">
        <v>20.736000000000001</v>
      </c>
      <c r="R77" s="186">
        <v>-1.121</v>
      </c>
      <c r="S77" s="186">
        <v>20.706</v>
      </c>
      <c r="T77" s="181">
        <f t="shared" si="2"/>
        <v>-1.121</v>
      </c>
      <c r="U77" s="182">
        <f t="shared" si="4"/>
        <v>535328.4554826864</v>
      </c>
      <c r="V77" s="182">
        <f t="shared" si="5"/>
        <v>9407728.7807370611</v>
      </c>
      <c r="W77" s="181">
        <f t="shared" si="6"/>
        <v>105.66500000000001</v>
      </c>
      <c r="Y77" t="str">
        <f t="shared" si="7"/>
        <v>PO 535328,455482686,9407728,78073706</v>
      </c>
    </row>
    <row r="78" spans="2:25" ht="14.25" customHeight="1" x14ac:dyDescent="0.3">
      <c r="B78" s="192"/>
      <c r="C78" s="192"/>
      <c r="D78" s="180">
        <v>1.49</v>
      </c>
      <c r="E78" s="192"/>
      <c r="F78" s="192" t="s">
        <v>442</v>
      </c>
      <c r="G78" s="180"/>
      <c r="H78" s="181">
        <f t="shared" si="3"/>
        <v>140.10905555555553</v>
      </c>
      <c r="I78" s="185">
        <v>238</v>
      </c>
      <c r="J78" s="185">
        <v>28</v>
      </c>
      <c r="K78" s="185">
        <v>52</v>
      </c>
      <c r="L78" s="300">
        <f t="shared" si="0"/>
        <v>238.48111111111112</v>
      </c>
      <c r="M78" s="185">
        <v>93</v>
      </c>
      <c r="N78" s="185">
        <v>6</v>
      </c>
      <c r="O78" s="185">
        <v>8</v>
      </c>
      <c r="P78" s="300">
        <f t="shared" si="1"/>
        <v>93.10222222222221</v>
      </c>
      <c r="Q78" s="186">
        <v>15.545999999999999</v>
      </c>
      <c r="R78" s="186">
        <v>-0.84099999999999997</v>
      </c>
      <c r="S78" s="186">
        <v>15.523</v>
      </c>
      <c r="T78" s="181">
        <f t="shared" si="2"/>
        <v>-0.84099999999999997</v>
      </c>
      <c r="U78" s="182">
        <f t="shared" si="4"/>
        <v>535320.46234034456</v>
      </c>
      <c r="V78" s="182">
        <f t="shared" si="5"/>
        <v>9407727.1947217658</v>
      </c>
      <c r="W78" s="181">
        <f t="shared" si="6"/>
        <v>105.94500000000001</v>
      </c>
      <c r="Y78" t="str">
        <f t="shared" si="7"/>
        <v>PO 535320,462340345,9407727,19472177</v>
      </c>
    </row>
    <row r="79" spans="2:25" ht="14.25" customHeight="1" x14ac:dyDescent="0.3">
      <c r="B79" s="192"/>
      <c r="C79" s="192"/>
      <c r="D79" s="180">
        <v>1.49</v>
      </c>
      <c r="E79" s="192"/>
      <c r="F79" s="192" t="s">
        <v>443</v>
      </c>
      <c r="G79" s="180"/>
      <c r="H79" s="181">
        <f t="shared" si="3"/>
        <v>138.93016666666665</v>
      </c>
      <c r="I79" s="185">
        <v>237</v>
      </c>
      <c r="J79" s="185">
        <v>18</v>
      </c>
      <c r="K79" s="185">
        <v>8</v>
      </c>
      <c r="L79" s="300">
        <f t="shared" si="0"/>
        <v>237.30222222222224</v>
      </c>
      <c r="M79" s="185">
        <v>93</v>
      </c>
      <c r="N79" s="185">
        <v>6</v>
      </c>
      <c r="O79" s="185">
        <v>8</v>
      </c>
      <c r="P79" s="300">
        <f t="shared" si="1"/>
        <v>93.10222222222221</v>
      </c>
      <c r="Q79" s="186">
        <v>15.728999999999999</v>
      </c>
      <c r="R79" s="186">
        <v>-0.85099999999999998</v>
      </c>
      <c r="S79" s="186">
        <v>15.706</v>
      </c>
      <c r="T79" s="181">
        <f t="shared" si="2"/>
        <v>-0.85099999999999998</v>
      </c>
      <c r="U79" s="182">
        <f t="shared" si="4"/>
        <v>535320.82550271589</v>
      </c>
      <c r="V79" s="182">
        <f t="shared" si="5"/>
        <v>9407727.2640989497</v>
      </c>
      <c r="W79" s="181">
        <f t="shared" si="6"/>
        <v>105.935</v>
      </c>
      <c r="Y79" t="str">
        <f t="shared" si="7"/>
        <v>PO 535320,825502716,9407727,26409895</v>
      </c>
    </row>
    <row r="80" spans="2:25" ht="14.25" customHeight="1" x14ac:dyDescent="0.3">
      <c r="B80" s="192"/>
      <c r="C80" s="192"/>
      <c r="D80" s="180">
        <v>1.49</v>
      </c>
      <c r="E80" s="192"/>
      <c r="F80" s="192" t="s">
        <v>444</v>
      </c>
      <c r="G80" s="180"/>
      <c r="H80" s="181">
        <f t="shared" si="3"/>
        <v>170.88599999999997</v>
      </c>
      <c r="I80" s="185">
        <v>269</v>
      </c>
      <c r="J80" s="185">
        <v>15</v>
      </c>
      <c r="K80" s="185">
        <v>29</v>
      </c>
      <c r="L80" s="300">
        <f t="shared" si="0"/>
        <v>269.25805555555553</v>
      </c>
      <c r="M80" s="185">
        <v>93</v>
      </c>
      <c r="N80" s="185">
        <v>5</v>
      </c>
      <c r="O80" s="185">
        <v>59</v>
      </c>
      <c r="P80" s="300">
        <f t="shared" si="1"/>
        <v>93.099722222222212</v>
      </c>
      <c r="Q80" s="186">
        <v>20.553999999999998</v>
      </c>
      <c r="R80" s="186">
        <v>-1.111</v>
      </c>
      <c r="S80" s="186">
        <v>20.524000000000001</v>
      </c>
      <c r="T80" s="181">
        <f t="shared" si="2"/>
        <v>-1.111</v>
      </c>
      <c r="U80" s="182">
        <f t="shared" si="4"/>
        <v>535313.75798791542</v>
      </c>
      <c r="V80" s="182">
        <f t="shared" si="5"/>
        <v>9407718.8401127923</v>
      </c>
      <c r="W80" s="181">
        <f t="shared" si="6"/>
        <v>105.675</v>
      </c>
      <c r="Y80" t="str">
        <f t="shared" si="7"/>
        <v>PO 535313,757987915,9407718,84011279</v>
      </c>
    </row>
    <row r="81" spans="2:25" ht="14.25" customHeight="1" x14ac:dyDescent="0.3">
      <c r="B81" s="192"/>
      <c r="C81" s="192"/>
      <c r="D81" s="180">
        <v>1.49</v>
      </c>
      <c r="E81" s="192"/>
      <c r="F81" s="192" t="s">
        <v>445</v>
      </c>
      <c r="G81" s="180"/>
      <c r="H81" s="181">
        <f t="shared" si="3"/>
        <v>170.1926666666667</v>
      </c>
      <c r="I81" s="185">
        <v>268</v>
      </c>
      <c r="J81" s="185">
        <v>33</v>
      </c>
      <c r="K81" s="185">
        <v>53</v>
      </c>
      <c r="L81" s="300">
        <f t="shared" si="0"/>
        <v>268.56472222222226</v>
      </c>
      <c r="M81" s="185">
        <v>93</v>
      </c>
      <c r="N81" s="185">
        <v>5</v>
      </c>
      <c r="O81" s="185">
        <v>59</v>
      </c>
      <c r="P81" s="300">
        <f t="shared" si="1"/>
        <v>93.099722222222212</v>
      </c>
      <c r="Q81" s="186">
        <v>20.663</v>
      </c>
      <c r="R81" s="186">
        <v>-1.117</v>
      </c>
      <c r="S81" s="186">
        <v>20.663</v>
      </c>
      <c r="T81" s="181">
        <f t="shared" si="2"/>
        <v>-1.117</v>
      </c>
      <c r="U81" s="182">
        <f t="shared" si="4"/>
        <v>535314.02664493525</v>
      </c>
      <c r="V81" s="182">
        <f t="shared" si="5"/>
        <v>9407718.7439669091</v>
      </c>
      <c r="W81" s="181">
        <f t="shared" si="6"/>
        <v>105.669</v>
      </c>
      <c r="Y81" t="str">
        <f t="shared" si="7"/>
        <v>PO 535314,026644935,9407718,74396691</v>
      </c>
    </row>
    <row r="82" spans="2:25" ht="14.25" customHeight="1" x14ac:dyDescent="0.3">
      <c r="B82" s="192"/>
      <c r="C82" s="192"/>
      <c r="D82" s="180">
        <v>1.49</v>
      </c>
      <c r="E82" s="192"/>
      <c r="F82" s="192" t="s">
        <v>446</v>
      </c>
      <c r="G82" s="180"/>
      <c r="H82" s="181">
        <f t="shared" si="3"/>
        <v>203.73127777777779</v>
      </c>
      <c r="I82" s="185">
        <v>302</v>
      </c>
      <c r="J82" s="185">
        <v>6</v>
      </c>
      <c r="K82" s="185">
        <v>12</v>
      </c>
      <c r="L82" s="300">
        <f t="shared" si="0"/>
        <v>302.10333333333335</v>
      </c>
      <c r="M82" s="185">
        <v>93</v>
      </c>
      <c r="N82" s="185">
        <v>5</v>
      </c>
      <c r="O82" s="185">
        <v>59</v>
      </c>
      <c r="P82" s="300">
        <f t="shared" si="1"/>
        <v>93.099722222222212</v>
      </c>
      <c r="Q82" s="186">
        <v>21.318999999999999</v>
      </c>
      <c r="R82" s="186">
        <v>-1.151</v>
      </c>
      <c r="S82" s="186">
        <v>21.888000000000002</v>
      </c>
      <c r="T82" s="181">
        <f t="shared" si="2"/>
        <v>-1.151</v>
      </c>
      <c r="U82" s="182">
        <f t="shared" si="4"/>
        <v>535301.69822743163</v>
      </c>
      <c r="V82" s="182">
        <f t="shared" si="5"/>
        <v>9407719.0677828826</v>
      </c>
      <c r="W82" s="181">
        <f t="shared" si="6"/>
        <v>105.63500000000001</v>
      </c>
      <c r="Y82" t="str">
        <f t="shared" si="7"/>
        <v>PO 535301,698227432,9407719,06778288</v>
      </c>
    </row>
    <row r="83" spans="2:25" ht="14.25" customHeight="1" x14ac:dyDescent="0.3">
      <c r="B83" s="192"/>
      <c r="C83" s="192"/>
      <c r="D83" s="180">
        <v>1.49</v>
      </c>
      <c r="E83" s="192"/>
      <c r="F83" s="192" t="s">
        <v>447</v>
      </c>
      <c r="G83" s="180"/>
      <c r="H83" s="181">
        <f t="shared" si="3"/>
        <v>203.8846111111111</v>
      </c>
      <c r="I83" s="185">
        <v>302</v>
      </c>
      <c r="J83" s="185">
        <v>15</v>
      </c>
      <c r="K83" s="185">
        <v>24</v>
      </c>
      <c r="L83" s="300">
        <f t="shared" si="0"/>
        <v>302.25666666666666</v>
      </c>
      <c r="M83" s="185">
        <v>93</v>
      </c>
      <c r="N83" s="185">
        <v>5</v>
      </c>
      <c r="O83" s="185">
        <v>38</v>
      </c>
      <c r="P83" s="300">
        <f t="shared" si="1"/>
        <v>93.093888888888884</v>
      </c>
      <c r="Q83" s="186">
        <v>21.327999999999999</v>
      </c>
      <c r="R83" s="186">
        <v>-1.151</v>
      </c>
      <c r="S83" s="186">
        <v>21.297000000000001</v>
      </c>
      <c r="T83" s="181">
        <f t="shared" si="2"/>
        <v>-1.151</v>
      </c>
      <c r="U83" s="182">
        <f t="shared" si="4"/>
        <v>535301.88392955484</v>
      </c>
      <c r="V83" s="182">
        <f t="shared" si="5"/>
        <v>9407719.6318167709</v>
      </c>
      <c r="W83" s="181">
        <f t="shared" si="6"/>
        <v>105.63500000000001</v>
      </c>
      <c r="Y83" t="str">
        <f t="shared" si="7"/>
        <v>PO 535301,883929555,9407719,63181677</v>
      </c>
    </row>
    <row r="84" spans="2:25" ht="14.25" customHeight="1" x14ac:dyDescent="0.3">
      <c r="B84" s="192"/>
      <c r="C84" s="192"/>
      <c r="D84" s="180">
        <v>1.49</v>
      </c>
      <c r="E84" s="192"/>
      <c r="F84" s="192" t="s">
        <v>448</v>
      </c>
      <c r="G84" s="180"/>
      <c r="H84" s="181">
        <f t="shared" si="3"/>
        <v>323.7138888888889</v>
      </c>
      <c r="I84" s="185">
        <v>52</v>
      </c>
      <c r="J84" s="185">
        <v>42</v>
      </c>
      <c r="K84" s="185">
        <v>50</v>
      </c>
      <c r="L84" s="300">
        <f t="shared" si="0"/>
        <v>52.713888888888889</v>
      </c>
      <c r="M84" s="185">
        <v>93</v>
      </c>
      <c r="N84" s="185">
        <v>4</v>
      </c>
      <c r="O84" s="185">
        <v>59</v>
      </c>
      <c r="P84" s="300">
        <f t="shared" si="1"/>
        <v>93.083055555555546</v>
      </c>
      <c r="Q84" s="300">
        <v>16.329000000000001</v>
      </c>
      <c r="R84" s="300">
        <v>-0.878</v>
      </c>
      <c r="S84" s="186">
        <v>16.305</v>
      </c>
      <c r="T84" s="181">
        <f t="shared" si="2"/>
        <v>-0.878</v>
      </c>
      <c r="U84" s="182">
        <f t="shared" si="4"/>
        <v>535300.85741078923</v>
      </c>
      <c r="V84" s="182">
        <f t="shared" si="5"/>
        <v>9407752.2480001543</v>
      </c>
      <c r="W84" s="181">
        <f t="shared" si="6"/>
        <v>105.908</v>
      </c>
      <c r="Y84" t="str">
        <f t="shared" si="7"/>
        <v>PO 535300,857410789,9407752,24800015</v>
      </c>
    </row>
    <row r="85" spans="2:25" ht="14.25" customHeight="1" x14ac:dyDescent="0.3">
      <c r="B85" s="192"/>
      <c r="C85" s="192"/>
      <c r="D85" s="180">
        <v>1.49</v>
      </c>
      <c r="E85" s="192"/>
      <c r="F85" s="192" t="s">
        <v>449</v>
      </c>
      <c r="G85" s="180"/>
      <c r="H85" s="181">
        <f t="shared" si="3"/>
        <v>326.71027777777778</v>
      </c>
      <c r="I85" s="185">
        <v>55</v>
      </c>
      <c r="J85" s="185">
        <v>42</v>
      </c>
      <c r="K85" s="300">
        <v>37</v>
      </c>
      <c r="L85" s="300">
        <f t="shared" si="0"/>
        <v>55.710277777777783</v>
      </c>
      <c r="M85" s="300">
        <v>92</v>
      </c>
      <c r="N85" s="300">
        <v>5</v>
      </c>
      <c r="O85" s="300">
        <v>39</v>
      </c>
      <c r="P85" s="300">
        <f t="shared" si="1"/>
        <v>92.094166666666666</v>
      </c>
      <c r="Q85" s="302">
        <v>16602</v>
      </c>
      <c r="R85" s="300">
        <v>-0.82399999999999995</v>
      </c>
      <c r="S85" s="300">
        <v>16.582000000000001</v>
      </c>
      <c r="T85" s="181">
        <f t="shared" si="2"/>
        <v>-0.82399999999999995</v>
      </c>
      <c r="U85" s="182">
        <f t="shared" si="4"/>
        <v>535301.40558988473</v>
      </c>
      <c r="V85" s="182">
        <f t="shared" si="5"/>
        <v>9407752.9659905098</v>
      </c>
      <c r="W85" s="181">
        <f t="shared" si="6"/>
        <v>105.962</v>
      </c>
      <c r="Y85" t="str">
        <f t="shared" si="7"/>
        <v>PO 535301,405589885,9407752,96599051</v>
      </c>
    </row>
    <row r="86" spans="2:25" ht="14.25" customHeight="1" x14ac:dyDescent="0.3"/>
    <row r="87" spans="2:25" ht="14.25" customHeight="1" x14ac:dyDescent="0.3"/>
    <row r="88" spans="2:25" ht="14.25" customHeight="1" x14ac:dyDescent="0.3">
      <c r="B88" s="438" t="s">
        <v>263</v>
      </c>
      <c r="C88" s="330"/>
      <c r="D88" s="438" t="s">
        <v>247</v>
      </c>
      <c r="E88" s="329"/>
      <c r="F88" s="329"/>
      <c r="G88" s="330"/>
      <c r="H88" s="178" t="s">
        <v>248</v>
      </c>
      <c r="I88" s="438" t="s">
        <v>249</v>
      </c>
      <c r="J88" s="329"/>
      <c r="K88" s="329"/>
      <c r="L88" s="330"/>
      <c r="M88" s="438" t="s">
        <v>250</v>
      </c>
      <c r="N88" s="329"/>
      <c r="O88" s="329"/>
      <c r="P88" s="330"/>
      <c r="Q88" s="438" t="s">
        <v>251</v>
      </c>
      <c r="R88" s="329"/>
      <c r="S88" s="330"/>
      <c r="T88" s="437" t="s">
        <v>106</v>
      </c>
      <c r="U88" s="438" t="s">
        <v>252</v>
      </c>
      <c r="V88" s="329"/>
      <c r="W88" s="330"/>
    </row>
    <row r="89" spans="2:25" ht="14.25" customHeight="1" x14ac:dyDescent="0.3">
      <c r="B89" s="178" t="s">
        <v>253</v>
      </c>
      <c r="C89" s="178" t="s">
        <v>254</v>
      </c>
      <c r="D89" s="178" t="s">
        <v>255</v>
      </c>
      <c r="E89" s="178" t="s">
        <v>256</v>
      </c>
      <c r="F89" s="178" t="s">
        <v>257</v>
      </c>
      <c r="G89" s="178" t="s">
        <v>258</v>
      </c>
      <c r="H89" s="178" t="s">
        <v>259</v>
      </c>
      <c r="I89" s="178" t="s">
        <v>260</v>
      </c>
      <c r="J89" s="178" t="s">
        <v>261</v>
      </c>
      <c r="K89" s="178" t="s">
        <v>262</v>
      </c>
      <c r="L89" s="178" t="s">
        <v>259</v>
      </c>
      <c r="M89" s="178" t="s">
        <v>260</v>
      </c>
      <c r="N89" s="178" t="s">
        <v>261</v>
      </c>
      <c r="O89" s="178" t="s">
        <v>262</v>
      </c>
      <c r="P89" s="178" t="s">
        <v>259</v>
      </c>
      <c r="Q89" s="178" t="s">
        <v>114</v>
      </c>
      <c r="R89" s="178" t="s">
        <v>113</v>
      </c>
      <c r="S89" s="178" t="s">
        <v>112</v>
      </c>
      <c r="T89" s="339"/>
      <c r="U89" s="178" t="s">
        <v>79</v>
      </c>
      <c r="V89" s="178" t="s">
        <v>80</v>
      </c>
      <c r="W89" s="178" t="s">
        <v>81</v>
      </c>
    </row>
    <row r="90" spans="2:25" ht="14.25" customHeight="1" x14ac:dyDescent="0.35">
      <c r="B90" s="303">
        <v>1.58</v>
      </c>
      <c r="C90" s="303" t="s">
        <v>17</v>
      </c>
      <c r="D90" s="303">
        <v>1.44</v>
      </c>
      <c r="E90" s="303"/>
      <c r="F90" s="303" t="s">
        <v>450</v>
      </c>
      <c r="G90" s="303"/>
      <c r="H90" s="304">
        <f>KKH!G15</f>
        <v>90.933013888888894</v>
      </c>
      <c r="I90" s="305">
        <v>0</v>
      </c>
      <c r="J90" s="305">
        <v>0</v>
      </c>
      <c r="K90" s="305">
        <v>0</v>
      </c>
      <c r="L90" s="305">
        <f t="shared" ref="L90:L114" si="8">I90+(J90/60)+(K90/3600)</f>
        <v>0</v>
      </c>
      <c r="M90" s="303">
        <v>89</v>
      </c>
      <c r="N90" s="303">
        <v>6</v>
      </c>
      <c r="O90" s="303">
        <v>55</v>
      </c>
      <c r="P90" s="303">
        <f t="shared" ref="P90:P114" si="9">M90+(N90/60)+(O90/3600)</f>
        <v>89.115277777777777</v>
      </c>
      <c r="Q90" s="303">
        <v>65.652000000000001</v>
      </c>
      <c r="R90" s="303">
        <v>1.004</v>
      </c>
      <c r="S90" s="303">
        <v>65.043999999999997</v>
      </c>
      <c r="T90" s="306">
        <f t="shared" ref="T90:T114" si="10">R90+$B$90-D90</f>
        <v>1.1440000000000001</v>
      </c>
      <c r="U90" s="307">
        <v>535310.50699999998</v>
      </c>
      <c r="V90" s="307">
        <v>9407739.1050000004</v>
      </c>
      <c r="W90" s="299">
        <v>106.786</v>
      </c>
    </row>
    <row r="91" spans="2:25" ht="14.25" customHeight="1" x14ac:dyDescent="0.3">
      <c r="B91" s="233"/>
      <c r="C91" s="233"/>
      <c r="D91" s="233">
        <v>1.45</v>
      </c>
      <c r="E91" s="233"/>
      <c r="F91" s="233" t="s">
        <v>451</v>
      </c>
      <c r="G91" s="233"/>
      <c r="H91" s="308">
        <f t="shared" ref="H91:H114" si="11">MOD($H$90+L91,360)</f>
        <v>316.71495833333336</v>
      </c>
      <c r="I91" s="235">
        <v>225</v>
      </c>
      <c r="J91" s="235">
        <v>46</v>
      </c>
      <c r="K91" s="235">
        <v>55</v>
      </c>
      <c r="L91" s="235">
        <f t="shared" si="8"/>
        <v>225.78194444444446</v>
      </c>
      <c r="M91" s="235">
        <v>89</v>
      </c>
      <c r="N91" s="235">
        <v>53</v>
      </c>
      <c r="O91" s="235">
        <v>55</v>
      </c>
      <c r="P91" s="235">
        <f t="shared" si="9"/>
        <v>89.898611111111123</v>
      </c>
      <c r="Q91" s="235">
        <v>38.048999999999999</v>
      </c>
      <c r="R91" s="235">
        <v>6.8000000000000005E-2</v>
      </c>
      <c r="S91" s="309">
        <v>38.048999999999999</v>
      </c>
      <c r="T91" s="236">
        <f t="shared" si="10"/>
        <v>0.19800000000000018</v>
      </c>
      <c r="U91" s="310">
        <f t="shared" ref="U91:U114" si="12">$U$90+S91*SIN(RADIANS(H91))</f>
        <v>535284.41952773475</v>
      </c>
      <c r="V91" s="311">
        <f t="shared" ref="V91:V114" si="13">$V$90+S91*COS(RADIANS(H91))</f>
        <v>9407766.8028373141</v>
      </c>
      <c r="W91" s="233">
        <f>$W$90</f>
        <v>106.786</v>
      </c>
    </row>
    <row r="92" spans="2:25" ht="14.25" customHeight="1" x14ac:dyDescent="0.3">
      <c r="B92" s="233"/>
      <c r="C92" s="233"/>
      <c r="D92" s="233">
        <v>1.45</v>
      </c>
      <c r="E92" s="233"/>
      <c r="F92" s="233" t="s">
        <v>452</v>
      </c>
      <c r="G92" s="233"/>
      <c r="H92" s="308">
        <f t="shared" si="11"/>
        <v>318.12384722222225</v>
      </c>
      <c r="I92" s="235">
        <v>227</v>
      </c>
      <c r="J92" s="235">
        <v>11</v>
      </c>
      <c r="K92" s="235">
        <v>27</v>
      </c>
      <c r="L92" s="235">
        <f t="shared" si="8"/>
        <v>227.19083333333333</v>
      </c>
      <c r="M92" s="235">
        <v>89</v>
      </c>
      <c r="N92" s="235">
        <v>50</v>
      </c>
      <c r="O92" s="235">
        <v>50</v>
      </c>
      <c r="P92" s="235">
        <f t="shared" si="9"/>
        <v>89.847222222222214</v>
      </c>
      <c r="Q92" s="235">
        <v>36.953000000000003</v>
      </c>
      <c r="R92" s="235">
        <v>9.8000000000000004E-2</v>
      </c>
      <c r="S92" s="309">
        <v>36.953000000000003</v>
      </c>
      <c r="T92" s="236">
        <f t="shared" si="10"/>
        <v>0.2280000000000002</v>
      </c>
      <c r="U92" s="310">
        <f t="shared" si="12"/>
        <v>535285.84003345144</v>
      </c>
      <c r="V92" s="311">
        <f t="shared" si="13"/>
        <v>9407766.6198136527</v>
      </c>
      <c r="W92" s="233"/>
    </row>
    <row r="93" spans="2:25" ht="14.25" customHeight="1" x14ac:dyDescent="0.3">
      <c r="B93" s="233"/>
      <c r="C93" s="233"/>
      <c r="D93" s="233">
        <v>1.7</v>
      </c>
      <c r="E93" s="233"/>
      <c r="F93" s="233" t="s">
        <v>453</v>
      </c>
      <c r="G93" s="233"/>
      <c r="H93" s="308">
        <f t="shared" si="11"/>
        <v>60.704124999999976</v>
      </c>
      <c r="I93" s="235">
        <v>329</v>
      </c>
      <c r="J93" s="235">
        <v>46</v>
      </c>
      <c r="K93" s="235">
        <v>16</v>
      </c>
      <c r="L93" s="235">
        <f t="shared" si="8"/>
        <v>329.77111111111111</v>
      </c>
      <c r="M93" s="235">
        <v>91</v>
      </c>
      <c r="N93" s="235">
        <v>5</v>
      </c>
      <c r="O93" s="235">
        <v>32</v>
      </c>
      <c r="P93" s="235">
        <f t="shared" si="9"/>
        <v>91.092222222222219</v>
      </c>
      <c r="Q93" s="235">
        <v>36.354999999999997</v>
      </c>
      <c r="R93" s="235">
        <v>-0.69299999999999995</v>
      </c>
      <c r="S93" s="309">
        <v>36.438000000000002</v>
      </c>
      <c r="T93" s="236">
        <f t="shared" si="10"/>
        <v>-0.81299999999999983</v>
      </c>
      <c r="U93" s="310">
        <f t="shared" si="12"/>
        <v>535342.28474388679</v>
      </c>
      <c r="V93" s="311">
        <f t="shared" si="13"/>
        <v>9407756.9348299894</v>
      </c>
      <c r="W93" s="233"/>
    </row>
    <row r="94" spans="2:25" ht="14.25" customHeight="1" x14ac:dyDescent="0.3">
      <c r="B94" s="233"/>
      <c r="C94" s="233"/>
      <c r="D94" s="233">
        <v>1.7</v>
      </c>
      <c r="E94" s="233"/>
      <c r="F94" s="233" t="s">
        <v>454</v>
      </c>
      <c r="G94" s="233"/>
      <c r="H94" s="308">
        <f t="shared" si="11"/>
        <v>76.172180555555542</v>
      </c>
      <c r="I94" s="235">
        <v>345</v>
      </c>
      <c r="J94" s="235">
        <v>14</v>
      </c>
      <c r="K94" s="235">
        <v>21</v>
      </c>
      <c r="L94" s="235">
        <f t="shared" si="8"/>
        <v>345.23916666666668</v>
      </c>
      <c r="M94" s="235">
        <v>90</v>
      </c>
      <c r="N94" s="235">
        <v>10</v>
      </c>
      <c r="O94" s="235">
        <v>6</v>
      </c>
      <c r="P94" s="235">
        <f t="shared" si="9"/>
        <v>90.168333333333337</v>
      </c>
      <c r="Q94" s="235">
        <v>46.098999999999997</v>
      </c>
      <c r="R94" s="235">
        <v>-0.13600000000000001</v>
      </c>
      <c r="S94" s="309">
        <v>46.098999999999997</v>
      </c>
      <c r="T94" s="236">
        <f t="shared" si="10"/>
        <v>-0.25600000000000001</v>
      </c>
      <c r="U94" s="310">
        <f t="shared" si="12"/>
        <v>535355.26997481019</v>
      </c>
      <c r="V94" s="311">
        <f t="shared" si="13"/>
        <v>9407750.1228894144</v>
      </c>
      <c r="W94" s="233"/>
    </row>
    <row r="95" spans="2:25" ht="14.25" customHeight="1" x14ac:dyDescent="0.3">
      <c r="B95" s="233"/>
      <c r="C95" s="233"/>
      <c r="D95" s="233">
        <v>1.7</v>
      </c>
      <c r="E95" s="233"/>
      <c r="F95" s="233" t="s">
        <v>455</v>
      </c>
      <c r="G95" s="233"/>
      <c r="H95" s="308">
        <f t="shared" si="11"/>
        <v>76.261347222222184</v>
      </c>
      <c r="I95" s="235">
        <v>345</v>
      </c>
      <c r="J95" s="235">
        <v>19</v>
      </c>
      <c r="K95" s="235">
        <v>42</v>
      </c>
      <c r="L95" s="235">
        <f t="shared" si="8"/>
        <v>345.32833333333332</v>
      </c>
      <c r="M95" s="235">
        <v>89</v>
      </c>
      <c r="N95" s="235">
        <v>53</v>
      </c>
      <c r="O95" s="235">
        <v>5</v>
      </c>
      <c r="P95" s="235">
        <f t="shared" si="9"/>
        <v>89.884722222222223</v>
      </c>
      <c r="Q95" s="235">
        <v>45.991999999999997</v>
      </c>
      <c r="R95" s="235">
        <v>9.1999999999999998E-2</v>
      </c>
      <c r="S95" s="309">
        <v>45.991999999999997</v>
      </c>
      <c r="T95" s="236">
        <f t="shared" si="10"/>
        <v>-2.7999999999999803E-2</v>
      </c>
      <c r="U95" s="310">
        <f t="shared" si="12"/>
        <v>535355.18312857242</v>
      </c>
      <c r="V95" s="311">
        <f t="shared" si="13"/>
        <v>9407750.0278018285</v>
      </c>
      <c r="W95" s="233"/>
    </row>
    <row r="96" spans="2:25" ht="14.25" customHeight="1" x14ac:dyDescent="0.3">
      <c r="B96" s="233"/>
      <c r="C96" s="233"/>
      <c r="D96" s="233">
        <v>1.7</v>
      </c>
      <c r="E96" s="233"/>
      <c r="F96" s="233" t="s">
        <v>456</v>
      </c>
      <c r="G96" s="233"/>
      <c r="H96" s="308">
        <f t="shared" si="11"/>
        <v>78.682458333333329</v>
      </c>
      <c r="I96" s="235">
        <v>347</v>
      </c>
      <c r="J96" s="235">
        <v>44</v>
      </c>
      <c r="K96" s="235">
        <v>58</v>
      </c>
      <c r="L96" s="235">
        <f t="shared" si="8"/>
        <v>347.74944444444446</v>
      </c>
      <c r="M96" s="235">
        <v>89</v>
      </c>
      <c r="N96" s="235">
        <v>53</v>
      </c>
      <c r="O96" s="235">
        <v>2</v>
      </c>
      <c r="P96" s="235">
        <f t="shared" si="9"/>
        <v>89.88388888888889</v>
      </c>
      <c r="Q96" s="235">
        <v>45.008000000000003</v>
      </c>
      <c r="R96" s="235">
        <v>9.0999999999999998E-2</v>
      </c>
      <c r="S96" s="309">
        <v>45.008000000000003</v>
      </c>
      <c r="T96" s="236">
        <f t="shared" si="10"/>
        <v>-2.8999999999999915E-2</v>
      </c>
      <c r="U96" s="310">
        <f t="shared" si="12"/>
        <v>535354.63980241562</v>
      </c>
      <c r="V96" s="311">
        <f t="shared" si="13"/>
        <v>9407747.937656166</v>
      </c>
      <c r="W96" s="233"/>
    </row>
    <row r="97" spans="2:23" ht="14.25" customHeight="1" x14ac:dyDescent="0.3">
      <c r="B97" s="233"/>
      <c r="C97" s="233"/>
      <c r="D97" s="233">
        <v>1.7</v>
      </c>
      <c r="E97" s="233"/>
      <c r="F97" s="233" t="s">
        <v>457</v>
      </c>
      <c r="G97" s="233"/>
      <c r="H97" s="308">
        <f t="shared" si="11"/>
        <v>78.902736111111039</v>
      </c>
      <c r="I97" s="235">
        <v>347</v>
      </c>
      <c r="J97" s="235">
        <v>58</v>
      </c>
      <c r="K97" s="235">
        <v>11</v>
      </c>
      <c r="L97" s="235">
        <f t="shared" si="8"/>
        <v>347.96972222222217</v>
      </c>
      <c r="M97" s="235">
        <v>90</v>
      </c>
      <c r="N97" s="235">
        <v>12</v>
      </c>
      <c r="O97" s="235">
        <v>27</v>
      </c>
      <c r="P97" s="235">
        <f t="shared" si="9"/>
        <v>90.207499999999996</v>
      </c>
      <c r="Q97" s="235">
        <v>44.875</v>
      </c>
      <c r="R97" s="235">
        <v>-0.16200000000000001</v>
      </c>
      <c r="S97" s="309">
        <v>44.875</v>
      </c>
      <c r="T97" s="236">
        <f t="shared" si="10"/>
        <v>-0.28199999999999981</v>
      </c>
      <c r="U97" s="310">
        <f t="shared" si="12"/>
        <v>535354.54292081471</v>
      </c>
      <c r="V97" s="311">
        <f t="shared" si="13"/>
        <v>9407747.7423203606</v>
      </c>
      <c r="W97" s="233"/>
    </row>
    <row r="98" spans="2:23" ht="14.25" customHeight="1" x14ac:dyDescent="0.3">
      <c r="B98" s="233"/>
      <c r="C98" s="233"/>
      <c r="D98" s="233">
        <v>1.7</v>
      </c>
      <c r="E98" s="233"/>
      <c r="F98" s="233" t="s">
        <v>458</v>
      </c>
      <c r="G98" s="233"/>
      <c r="H98" s="308">
        <f t="shared" si="11"/>
        <v>87.649958333333302</v>
      </c>
      <c r="I98" s="235">
        <v>356</v>
      </c>
      <c r="J98" s="235">
        <v>43</v>
      </c>
      <c r="K98" s="235">
        <v>1</v>
      </c>
      <c r="L98" s="235">
        <f t="shared" si="8"/>
        <v>356.71694444444444</v>
      </c>
      <c r="M98" s="235">
        <v>90</v>
      </c>
      <c r="N98" s="235">
        <v>0</v>
      </c>
      <c r="O98" s="235">
        <v>12</v>
      </c>
      <c r="P98" s="235">
        <f t="shared" si="9"/>
        <v>90.00333333333333</v>
      </c>
      <c r="Q98" s="235">
        <v>43.418999999999997</v>
      </c>
      <c r="R98" s="235">
        <v>-3.0000000000000001E-3</v>
      </c>
      <c r="S98" s="309">
        <v>43.418999999999997</v>
      </c>
      <c r="T98" s="236">
        <f t="shared" si="10"/>
        <v>-0.12299999999999978</v>
      </c>
      <c r="U98" s="310">
        <f t="shared" si="12"/>
        <v>535353.88948302483</v>
      </c>
      <c r="V98" s="311">
        <f t="shared" si="13"/>
        <v>9407740.8853728808</v>
      </c>
      <c r="W98" s="233"/>
    </row>
    <row r="99" spans="2:23" ht="14.25" customHeight="1" x14ac:dyDescent="0.3">
      <c r="B99" s="233"/>
      <c r="C99" s="233"/>
      <c r="D99" s="233">
        <v>1.7</v>
      </c>
      <c r="E99" s="233"/>
      <c r="F99" s="233" t="s">
        <v>459</v>
      </c>
      <c r="G99" s="233"/>
      <c r="H99" s="308">
        <f t="shared" si="11"/>
        <v>87.878013888888859</v>
      </c>
      <c r="I99" s="235">
        <v>356</v>
      </c>
      <c r="J99" s="235">
        <v>56</v>
      </c>
      <c r="K99" s="235">
        <v>42</v>
      </c>
      <c r="L99" s="235">
        <f t="shared" si="8"/>
        <v>356.94499999999999</v>
      </c>
      <c r="M99" s="235">
        <v>89</v>
      </c>
      <c r="N99" s="235">
        <v>36</v>
      </c>
      <c r="O99" s="185">
        <v>17</v>
      </c>
      <c r="P99" s="235">
        <f t="shared" si="9"/>
        <v>89.604722222222222</v>
      </c>
      <c r="Q99" s="235">
        <v>43.286000000000001</v>
      </c>
      <c r="R99" s="235">
        <v>-0.20799999999999999</v>
      </c>
      <c r="S99" s="309">
        <v>43.284999999999997</v>
      </c>
      <c r="T99" s="236">
        <f t="shared" si="10"/>
        <v>-0.32799999999999985</v>
      </c>
      <c r="U99" s="310">
        <f t="shared" si="12"/>
        <v>535353.76231769705</v>
      </c>
      <c r="V99" s="311">
        <f t="shared" si="13"/>
        <v>9407740.707721414</v>
      </c>
      <c r="W99" s="233"/>
    </row>
    <row r="100" spans="2:23" ht="14.25" customHeight="1" x14ac:dyDescent="0.3">
      <c r="B100" s="233"/>
      <c r="C100" s="233"/>
      <c r="D100" s="233">
        <v>1.7</v>
      </c>
      <c r="E100" s="233"/>
      <c r="F100" s="233" t="s">
        <v>460</v>
      </c>
      <c r="G100" s="233"/>
      <c r="H100" s="308">
        <f t="shared" si="11"/>
        <v>88.37329166666666</v>
      </c>
      <c r="I100" s="235">
        <v>357</v>
      </c>
      <c r="J100" s="235">
        <v>26</v>
      </c>
      <c r="K100" s="235">
        <v>25</v>
      </c>
      <c r="L100" s="235">
        <f t="shared" si="8"/>
        <v>357.44027777777779</v>
      </c>
      <c r="M100" s="235">
        <v>89</v>
      </c>
      <c r="N100" s="235">
        <v>57</v>
      </c>
      <c r="O100" s="235">
        <v>15</v>
      </c>
      <c r="P100" s="235">
        <f t="shared" si="9"/>
        <v>89.954166666666666</v>
      </c>
      <c r="Q100" s="235">
        <v>43.689</v>
      </c>
      <c r="R100" s="235">
        <v>-3.4000000000000002E-2</v>
      </c>
      <c r="S100" s="309">
        <v>43.588999999999999</v>
      </c>
      <c r="T100" s="236">
        <f t="shared" si="10"/>
        <v>-0.15399999999999991</v>
      </c>
      <c r="U100" s="310">
        <f t="shared" si="12"/>
        <v>535354.07843323238</v>
      </c>
      <c r="V100" s="311">
        <f t="shared" si="13"/>
        <v>9407740.3423871957</v>
      </c>
      <c r="W100" s="233"/>
    </row>
    <row r="101" spans="2:23" ht="14.25" customHeight="1" x14ac:dyDescent="0.3">
      <c r="B101" s="233"/>
      <c r="C101" s="233"/>
      <c r="D101" s="233">
        <v>1.6</v>
      </c>
      <c r="E101" s="233"/>
      <c r="F101" s="233" t="s">
        <v>461</v>
      </c>
      <c r="G101" s="233"/>
      <c r="H101" s="308">
        <f t="shared" si="11"/>
        <v>88.345513888888831</v>
      </c>
      <c r="I101" s="235">
        <v>357</v>
      </c>
      <c r="J101" s="235">
        <v>24</v>
      </c>
      <c r="K101" s="235">
        <v>45</v>
      </c>
      <c r="L101" s="235">
        <f t="shared" si="8"/>
        <v>357.41249999999997</v>
      </c>
      <c r="M101" s="235">
        <v>89</v>
      </c>
      <c r="N101" s="235">
        <v>36</v>
      </c>
      <c r="O101" s="235">
        <v>52</v>
      </c>
      <c r="P101" s="235">
        <f t="shared" si="9"/>
        <v>89.614444444444445</v>
      </c>
      <c r="Q101" s="235">
        <v>43.502000000000002</v>
      </c>
      <c r="R101" s="235">
        <v>-0.20300000000000001</v>
      </c>
      <c r="S101" s="309">
        <v>43.500999999999998</v>
      </c>
      <c r="T101" s="236">
        <f t="shared" si="10"/>
        <v>-0.22300000000000009</v>
      </c>
      <c r="U101" s="310">
        <f t="shared" si="12"/>
        <v>535353.98986489582</v>
      </c>
      <c r="V101" s="311">
        <f t="shared" si="13"/>
        <v>9407740.360970322</v>
      </c>
      <c r="W101" s="233"/>
    </row>
    <row r="102" spans="2:23" ht="14.25" customHeight="1" x14ac:dyDescent="0.3">
      <c r="B102" s="233"/>
      <c r="C102" s="233"/>
      <c r="D102" s="233">
        <v>1.6</v>
      </c>
      <c r="E102" s="233"/>
      <c r="F102" s="233" t="s">
        <v>462</v>
      </c>
      <c r="G102" s="233"/>
      <c r="H102" s="308">
        <f t="shared" si="11"/>
        <v>89.287736111111144</v>
      </c>
      <c r="I102" s="235">
        <v>358</v>
      </c>
      <c r="J102" s="235">
        <v>21</v>
      </c>
      <c r="K102" s="235">
        <v>17</v>
      </c>
      <c r="L102" s="235">
        <f t="shared" si="8"/>
        <v>358.35472222222222</v>
      </c>
      <c r="M102" s="235">
        <v>89</v>
      </c>
      <c r="N102" s="235">
        <v>42</v>
      </c>
      <c r="O102" s="235">
        <v>26</v>
      </c>
      <c r="P102" s="235">
        <f t="shared" si="9"/>
        <v>89.707222222222228</v>
      </c>
      <c r="Q102" s="235">
        <v>43.546999999999997</v>
      </c>
      <c r="R102" s="235">
        <v>0.223</v>
      </c>
      <c r="S102" s="309">
        <v>43.545999999999999</v>
      </c>
      <c r="T102" s="236">
        <f t="shared" si="10"/>
        <v>0.20300000000000007</v>
      </c>
      <c r="U102" s="310">
        <f t="shared" si="12"/>
        <v>535354.04963527736</v>
      </c>
      <c r="V102" s="311">
        <f t="shared" si="13"/>
        <v>9407739.6463216245</v>
      </c>
      <c r="W102" s="233"/>
    </row>
    <row r="103" spans="2:23" ht="14.25" customHeight="1" x14ac:dyDescent="0.3">
      <c r="B103" s="233"/>
      <c r="C103" s="233"/>
      <c r="D103" s="233">
        <v>1.6</v>
      </c>
      <c r="E103" s="233"/>
      <c r="F103" s="233" t="s">
        <v>463</v>
      </c>
      <c r="G103" s="233"/>
      <c r="H103" s="308">
        <f t="shared" si="11"/>
        <v>89.174958333333393</v>
      </c>
      <c r="I103" s="235">
        <v>358</v>
      </c>
      <c r="J103" s="235">
        <v>14</v>
      </c>
      <c r="K103" s="235">
        <v>31</v>
      </c>
      <c r="L103" s="235">
        <f t="shared" si="8"/>
        <v>358.24194444444447</v>
      </c>
      <c r="M103" s="235">
        <v>89</v>
      </c>
      <c r="N103" s="235">
        <v>24</v>
      </c>
      <c r="O103" s="235">
        <v>43</v>
      </c>
      <c r="P103" s="235">
        <f t="shared" si="9"/>
        <v>89.411944444444444</v>
      </c>
      <c r="Q103" s="235">
        <v>43.258000000000003</v>
      </c>
      <c r="R103" s="235">
        <v>0.44600000000000001</v>
      </c>
      <c r="S103" s="309">
        <v>43.506</v>
      </c>
      <c r="T103" s="236">
        <f t="shared" si="10"/>
        <v>0.42600000000000016</v>
      </c>
      <c r="U103" s="310">
        <f t="shared" si="12"/>
        <v>535354.00848956779</v>
      </c>
      <c r="V103" s="311">
        <f t="shared" si="13"/>
        <v>9407739.7314514183</v>
      </c>
      <c r="W103" s="233"/>
    </row>
    <row r="104" spans="2:23" ht="14.25" customHeight="1" x14ac:dyDescent="0.3">
      <c r="B104" s="233"/>
      <c r="C104" s="233"/>
      <c r="D104" s="233">
        <v>1.6</v>
      </c>
      <c r="E104" s="233"/>
      <c r="F104" s="233" t="s">
        <v>464</v>
      </c>
      <c r="G104" s="233"/>
      <c r="H104" s="308">
        <f t="shared" si="11"/>
        <v>89.871347222222198</v>
      </c>
      <c r="I104" s="235">
        <v>358</v>
      </c>
      <c r="J104" s="235">
        <v>56</v>
      </c>
      <c r="K104" s="235">
        <v>18</v>
      </c>
      <c r="L104" s="235">
        <f t="shared" si="8"/>
        <v>358.93833333333333</v>
      </c>
      <c r="M104" s="235">
        <v>89</v>
      </c>
      <c r="N104" s="235">
        <v>44</v>
      </c>
      <c r="O104" s="235">
        <v>23</v>
      </c>
      <c r="P104" s="235">
        <f t="shared" si="9"/>
        <v>89.739722222222227</v>
      </c>
      <c r="Q104" s="235">
        <v>43.066000000000003</v>
      </c>
      <c r="R104" s="235">
        <v>0.19600000000000001</v>
      </c>
      <c r="S104" s="309">
        <v>43.066000000000003</v>
      </c>
      <c r="T104" s="236">
        <f t="shared" si="10"/>
        <v>0.17599999999999993</v>
      </c>
      <c r="U104" s="310">
        <f t="shared" si="12"/>
        <v>535353.57289143314</v>
      </c>
      <c r="V104" s="311">
        <f t="shared" si="13"/>
        <v>9407739.2017009426</v>
      </c>
      <c r="W104" s="233"/>
    </row>
    <row r="105" spans="2:23" ht="14.25" customHeight="1" x14ac:dyDescent="0.3">
      <c r="B105" s="233"/>
      <c r="C105" s="233"/>
      <c r="D105" s="233">
        <v>1.6</v>
      </c>
      <c r="E105" s="233"/>
      <c r="F105" s="233" t="s">
        <v>465</v>
      </c>
      <c r="G105" s="233"/>
      <c r="H105" s="308">
        <f t="shared" si="11"/>
        <v>89.743013888888868</v>
      </c>
      <c r="I105" s="235">
        <v>358</v>
      </c>
      <c r="J105" s="235">
        <v>48</v>
      </c>
      <c r="K105" s="235">
        <v>36</v>
      </c>
      <c r="L105" s="235">
        <f t="shared" si="8"/>
        <v>358.81</v>
      </c>
      <c r="M105" s="235">
        <v>89</v>
      </c>
      <c r="N105" s="235">
        <v>23</v>
      </c>
      <c r="O105" s="235">
        <v>8</v>
      </c>
      <c r="P105" s="235">
        <f t="shared" si="9"/>
        <v>89.385555555555555</v>
      </c>
      <c r="Q105" s="235">
        <v>43.04</v>
      </c>
      <c r="R105" s="235">
        <v>0.46200000000000002</v>
      </c>
      <c r="S105" s="309">
        <v>43.05</v>
      </c>
      <c r="T105" s="236">
        <f t="shared" si="10"/>
        <v>0.44200000000000017</v>
      </c>
      <c r="U105" s="310">
        <f t="shared" si="12"/>
        <v>535353.55656697147</v>
      </c>
      <c r="V105" s="311">
        <f t="shared" si="13"/>
        <v>9407739.2980895285</v>
      </c>
      <c r="W105" s="233"/>
    </row>
    <row r="106" spans="2:23" ht="14.25" customHeight="1" x14ac:dyDescent="0.3">
      <c r="B106" s="233"/>
      <c r="C106" s="233"/>
      <c r="D106" s="233">
        <v>1.6</v>
      </c>
      <c r="E106" s="233"/>
      <c r="F106" s="233" t="s">
        <v>466</v>
      </c>
      <c r="G106" s="233"/>
      <c r="H106" s="308">
        <f t="shared" si="11"/>
        <v>89.743013888888868</v>
      </c>
      <c r="I106" s="235">
        <v>358</v>
      </c>
      <c r="J106" s="235">
        <v>48</v>
      </c>
      <c r="K106" s="235">
        <v>36</v>
      </c>
      <c r="L106" s="235">
        <f t="shared" si="8"/>
        <v>358.81</v>
      </c>
      <c r="M106" s="235">
        <v>89</v>
      </c>
      <c r="N106" s="235">
        <v>23</v>
      </c>
      <c r="O106" s="235">
        <v>8</v>
      </c>
      <c r="P106" s="235">
        <f t="shared" si="9"/>
        <v>89.385555555555555</v>
      </c>
      <c r="Q106" s="235">
        <v>43.036999999999999</v>
      </c>
      <c r="R106" s="235">
        <v>4.1000000000000002E-2</v>
      </c>
      <c r="S106" s="309">
        <v>43.034999999999997</v>
      </c>
      <c r="T106" s="236">
        <f t="shared" si="10"/>
        <v>2.0999999999999908E-2</v>
      </c>
      <c r="U106" s="310">
        <f t="shared" si="12"/>
        <v>535353.54156712233</v>
      </c>
      <c r="V106" s="311">
        <f t="shared" si="13"/>
        <v>9407739.2980222497</v>
      </c>
      <c r="W106" s="233"/>
    </row>
    <row r="107" spans="2:23" ht="14.25" customHeight="1" x14ac:dyDescent="0.3">
      <c r="B107" s="233"/>
      <c r="C107" s="233"/>
      <c r="D107" s="233">
        <v>1.6</v>
      </c>
      <c r="E107" s="233"/>
      <c r="F107" s="233" t="s">
        <v>467</v>
      </c>
      <c r="G107" s="233"/>
      <c r="H107" s="308">
        <f t="shared" si="11"/>
        <v>99.077736111111108</v>
      </c>
      <c r="I107" s="235">
        <v>8</v>
      </c>
      <c r="J107" s="235">
        <v>8</v>
      </c>
      <c r="K107" s="235">
        <v>41</v>
      </c>
      <c r="L107" s="235">
        <f t="shared" si="8"/>
        <v>8.1447222222222209</v>
      </c>
      <c r="M107" s="235">
        <v>89</v>
      </c>
      <c r="N107" s="235">
        <v>56</v>
      </c>
      <c r="O107" s="235">
        <v>62</v>
      </c>
      <c r="P107" s="235">
        <f t="shared" si="9"/>
        <v>89.950555555555553</v>
      </c>
      <c r="Q107" s="235">
        <v>42.914999999999999</v>
      </c>
      <c r="R107" s="235">
        <v>3.9E-2</v>
      </c>
      <c r="S107" s="309">
        <v>42.914999999999999</v>
      </c>
      <c r="T107" s="236">
        <f t="shared" si="10"/>
        <v>1.8999999999999906E-2</v>
      </c>
      <c r="U107" s="310">
        <f t="shared" si="12"/>
        <v>535352.88449773483</v>
      </c>
      <c r="V107" s="311">
        <f t="shared" si="13"/>
        <v>9407732.3341130037</v>
      </c>
      <c r="W107" s="233"/>
    </row>
    <row r="108" spans="2:23" ht="14.25" customHeight="1" x14ac:dyDescent="0.3">
      <c r="B108" s="233"/>
      <c r="C108" s="233"/>
      <c r="D108" s="233">
        <v>1.6</v>
      </c>
      <c r="E108" s="233"/>
      <c r="F108" s="233" t="s">
        <v>468</v>
      </c>
      <c r="G108" s="233"/>
      <c r="H108" s="308">
        <f t="shared" si="11"/>
        <v>99.496625000000009</v>
      </c>
      <c r="I108" s="235">
        <v>8</v>
      </c>
      <c r="J108" s="235">
        <v>33</v>
      </c>
      <c r="K108" s="235">
        <v>49</v>
      </c>
      <c r="L108" s="235">
        <f t="shared" si="8"/>
        <v>8.5636111111111113</v>
      </c>
      <c r="M108" s="235">
        <v>89</v>
      </c>
      <c r="N108" s="235">
        <v>35</v>
      </c>
      <c r="O108" s="235">
        <v>36</v>
      </c>
      <c r="P108" s="235">
        <f t="shared" si="9"/>
        <v>89.593333333333334</v>
      </c>
      <c r="Q108" s="235">
        <v>42.918999999999997</v>
      </c>
      <c r="R108" s="235">
        <v>0.30499999999999999</v>
      </c>
      <c r="S108" s="309">
        <v>42.917999999999999</v>
      </c>
      <c r="T108" s="236">
        <f t="shared" si="10"/>
        <v>0.28499999999999992</v>
      </c>
      <c r="U108" s="310">
        <f t="shared" si="12"/>
        <v>535352.83682262665</v>
      </c>
      <c r="V108" s="311">
        <f t="shared" si="13"/>
        <v>9407732.0239802729</v>
      </c>
      <c r="W108" s="233"/>
    </row>
    <row r="109" spans="2:23" ht="14.25" customHeight="1" x14ac:dyDescent="0.3">
      <c r="B109" s="233"/>
      <c r="C109" s="233"/>
      <c r="D109" s="233">
        <v>1.6</v>
      </c>
      <c r="E109" s="233"/>
      <c r="F109" s="233" t="s">
        <v>469</v>
      </c>
      <c r="G109" s="233"/>
      <c r="H109" s="308">
        <f t="shared" si="11"/>
        <v>99.079680555555555</v>
      </c>
      <c r="I109" s="235">
        <v>8</v>
      </c>
      <c r="J109" s="235">
        <v>8</v>
      </c>
      <c r="K109" s="235">
        <v>48</v>
      </c>
      <c r="L109" s="235">
        <f t="shared" si="8"/>
        <v>8.1466666666666665</v>
      </c>
      <c r="M109" s="235">
        <v>89</v>
      </c>
      <c r="N109" s="235">
        <v>54</v>
      </c>
      <c r="O109" s="235">
        <v>16</v>
      </c>
      <c r="P109" s="235">
        <f t="shared" si="9"/>
        <v>89.904444444444451</v>
      </c>
      <c r="Q109" s="308">
        <v>39.78</v>
      </c>
      <c r="R109" s="308">
        <v>0.06</v>
      </c>
      <c r="S109" s="312">
        <v>39.78</v>
      </c>
      <c r="T109" s="236">
        <f t="shared" si="10"/>
        <v>4.0000000000000036E-2</v>
      </c>
      <c r="U109" s="310">
        <f t="shared" si="12"/>
        <v>535349.78854999749</v>
      </c>
      <c r="V109" s="311">
        <f t="shared" si="13"/>
        <v>9407732.827402547</v>
      </c>
      <c r="W109" s="233"/>
    </row>
    <row r="110" spans="2:23" ht="14.25" customHeight="1" x14ac:dyDescent="0.3">
      <c r="B110" s="233"/>
      <c r="C110" s="233"/>
      <c r="D110" s="233">
        <v>1.6</v>
      </c>
      <c r="E110" s="233"/>
      <c r="F110" s="233" t="s">
        <v>470</v>
      </c>
      <c r="G110" s="233"/>
      <c r="H110" s="308">
        <f t="shared" si="11"/>
        <v>99.411347222222233</v>
      </c>
      <c r="I110" s="235">
        <v>8</v>
      </c>
      <c r="J110" s="235">
        <v>28</v>
      </c>
      <c r="K110" s="235">
        <v>42</v>
      </c>
      <c r="L110" s="235">
        <f t="shared" si="8"/>
        <v>8.4783333333333335</v>
      </c>
      <c r="M110" s="235">
        <v>89</v>
      </c>
      <c r="N110" s="235">
        <v>36</v>
      </c>
      <c r="O110" s="235">
        <v>13</v>
      </c>
      <c r="P110" s="235">
        <f t="shared" si="9"/>
        <v>89.603611111111107</v>
      </c>
      <c r="Q110" s="235">
        <v>39.78</v>
      </c>
      <c r="R110" s="235">
        <v>0.27600000000000002</v>
      </c>
      <c r="S110" s="309">
        <v>39.779000000000003</v>
      </c>
      <c r="T110" s="236">
        <f t="shared" si="10"/>
        <v>0.25600000000000001</v>
      </c>
      <c r="U110" s="310">
        <f t="shared" si="12"/>
        <v>535349.75056655076</v>
      </c>
      <c r="V110" s="311">
        <f t="shared" si="13"/>
        <v>9407732.6002843734</v>
      </c>
      <c r="W110" s="233"/>
    </row>
    <row r="111" spans="2:23" ht="14.25" customHeight="1" x14ac:dyDescent="0.3">
      <c r="B111" s="233"/>
      <c r="C111" s="233"/>
      <c r="D111" s="233">
        <v>1.6</v>
      </c>
      <c r="E111" s="233"/>
      <c r="F111" s="233" t="s">
        <v>471</v>
      </c>
      <c r="G111" s="233"/>
      <c r="H111" s="308">
        <f t="shared" si="11"/>
        <v>102.32245833333334</v>
      </c>
      <c r="I111" s="235">
        <v>11</v>
      </c>
      <c r="J111" s="235">
        <v>23</v>
      </c>
      <c r="K111" s="235">
        <v>22</v>
      </c>
      <c r="L111" s="235">
        <f t="shared" si="8"/>
        <v>11.389444444444443</v>
      </c>
      <c r="M111" s="235">
        <v>89</v>
      </c>
      <c r="N111" s="235">
        <v>36</v>
      </c>
      <c r="O111" s="235">
        <v>12</v>
      </c>
      <c r="P111" s="235">
        <f t="shared" si="9"/>
        <v>89.603333333333325</v>
      </c>
      <c r="Q111" s="235">
        <v>39.704999999999998</v>
      </c>
      <c r="R111" s="235">
        <v>0.27500000000000002</v>
      </c>
      <c r="S111" s="309">
        <v>39.704000000000001</v>
      </c>
      <c r="T111" s="236">
        <f t="shared" si="10"/>
        <v>0.25499999999999989</v>
      </c>
      <c r="U111" s="310">
        <f t="shared" si="12"/>
        <v>535349.2962991473</v>
      </c>
      <c r="V111" s="311">
        <f t="shared" si="13"/>
        <v>9407730.6316365786</v>
      </c>
      <c r="W111" s="233"/>
    </row>
    <row r="112" spans="2:23" ht="14.25" customHeight="1" x14ac:dyDescent="0.3">
      <c r="B112" s="233"/>
      <c r="C112" s="233"/>
      <c r="D112" s="233">
        <v>1.6</v>
      </c>
      <c r="E112" s="233"/>
      <c r="F112" s="233" t="s">
        <v>472</v>
      </c>
      <c r="G112" s="233"/>
      <c r="H112" s="308">
        <f t="shared" si="11"/>
        <v>102.411625</v>
      </c>
      <c r="I112" s="235">
        <v>11</v>
      </c>
      <c r="J112" s="235">
        <v>28</v>
      </c>
      <c r="K112" s="235">
        <v>43</v>
      </c>
      <c r="L112" s="235">
        <f t="shared" si="8"/>
        <v>11.47861111111111</v>
      </c>
      <c r="M112" s="235">
        <v>89</v>
      </c>
      <c r="N112" s="235">
        <v>57</v>
      </c>
      <c r="O112" s="235">
        <v>27</v>
      </c>
      <c r="P112" s="235">
        <f t="shared" si="9"/>
        <v>89.957499999999996</v>
      </c>
      <c r="Q112" s="235">
        <v>39.478000000000002</v>
      </c>
      <c r="R112" s="308">
        <v>0.03</v>
      </c>
      <c r="S112" s="309">
        <v>39.478000000000002</v>
      </c>
      <c r="T112" s="236">
        <f t="shared" si="10"/>
        <v>1.0000000000000009E-2</v>
      </c>
      <c r="U112" s="310">
        <f t="shared" si="12"/>
        <v>535349.06234740838</v>
      </c>
      <c r="V112" s="311">
        <f t="shared" si="13"/>
        <v>9407730.6198559105</v>
      </c>
      <c r="W112" s="233"/>
    </row>
    <row r="113" spans="2:23" ht="14.25" customHeight="1" x14ac:dyDescent="0.3">
      <c r="B113" s="233"/>
      <c r="C113" s="233"/>
      <c r="D113" s="233">
        <v>1.6</v>
      </c>
      <c r="E113" s="233"/>
      <c r="F113" s="233" t="s">
        <v>473</v>
      </c>
      <c r="G113" s="233"/>
      <c r="H113" s="308">
        <f t="shared" si="11"/>
        <v>12.912736111111144</v>
      </c>
      <c r="I113" s="235">
        <v>281</v>
      </c>
      <c r="J113" s="235">
        <v>58</v>
      </c>
      <c r="K113" s="235">
        <v>47</v>
      </c>
      <c r="L113" s="235">
        <f t="shared" si="8"/>
        <v>281.97972222222222</v>
      </c>
      <c r="M113" s="235">
        <v>89</v>
      </c>
      <c r="N113" s="235">
        <v>14</v>
      </c>
      <c r="O113" s="235">
        <v>28</v>
      </c>
      <c r="P113" s="235">
        <f t="shared" si="9"/>
        <v>89.24111111111111</v>
      </c>
      <c r="Q113" s="235">
        <v>24.04</v>
      </c>
      <c r="R113" s="235">
        <v>0.318</v>
      </c>
      <c r="S113" s="309">
        <v>24.038</v>
      </c>
      <c r="T113" s="236">
        <f t="shared" si="10"/>
        <v>0.29800000000000004</v>
      </c>
      <c r="U113" s="310">
        <f t="shared" si="12"/>
        <v>535315.87869463325</v>
      </c>
      <c r="V113" s="311">
        <f t="shared" si="13"/>
        <v>9407762.5351161063</v>
      </c>
      <c r="W113" s="233"/>
    </row>
    <row r="114" spans="2:23" ht="14.25" customHeight="1" x14ac:dyDescent="0.3">
      <c r="B114" s="233"/>
      <c r="C114" s="233"/>
      <c r="D114" s="233">
        <v>1.6</v>
      </c>
      <c r="E114" s="233"/>
      <c r="F114" s="233" t="s">
        <v>474</v>
      </c>
      <c r="G114" s="233"/>
      <c r="H114" s="308">
        <f t="shared" si="11"/>
        <v>22.521624999999972</v>
      </c>
      <c r="I114" s="235">
        <v>291</v>
      </c>
      <c r="J114" s="235">
        <v>35</v>
      </c>
      <c r="K114" s="235">
        <v>19</v>
      </c>
      <c r="L114" s="235">
        <f t="shared" si="8"/>
        <v>291.58861111111111</v>
      </c>
      <c r="M114" s="235">
        <v>89</v>
      </c>
      <c r="N114" s="235">
        <v>14</v>
      </c>
      <c r="O114" s="235">
        <v>37</v>
      </c>
      <c r="P114" s="235">
        <f t="shared" si="9"/>
        <v>89.243611111111107</v>
      </c>
      <c r="Q114" s="235">
        <v>24.535</v>
      </c>
      <c r="R114" s="235">
        <v>0.32400000000000001</v>
      </c>
      <c r="S114" s="313">
        <v>24533</v>
      </c>
      <c r="T114" s="236">
        <f t="shared" si="10"/>
        <v>0.30400000000000005</v>
      </c>
      <c r="U114" s="310">
        <f t="shared" si="12"/>
        <v>544707.43357300363</v>
      </c>
      <c r="V114" s="311">
        <f t="shared" si="13"/>
        <v>9430401.0965272598</v>
      </c>
      <c r="W114" s="233"/>
    </row>
  </sheetData>
  <mergeCells count="15">
    <mergeCell ref="B1:W4"/>
    <mergeCell ref="U5:W5"/>
    <mergeCell ref="B88:C88"/>
    <mergeCell ref="D88:G88"/>
    <mergeCell ref="I88:L88"/>
    <mergeCell ref="M88:P88"/>
    <mergeCell ref="T88:T89"/>
    <mergeCell ref="Q88:S88"/>
    <mergeCell ref="U88:W88"/>
    <mergeCell ref="B5:C5"/>
    <mergeCell ref="D5:G5"/>
    <mergeCell ref="I5:L5"/>
    <mergeCell ref="M5:P5"/>
    <mergeCell ref="Q5:S5"/>
    <mergeCell ref="T5:T6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M1:O100"/>
  <sheetViews>
    <sheetView workbookViewId="0"/>
  </sheetViews>
  <sheetFormatPr defaultColWidth="14.33203125" defaultRowHeight="15" customHeight="1" x14ac:dyDescent="0.3"/>
  <cols>
    <col min="1" max="15" width="8.75" customWidth="1"/>
  </cols>
  <sheetData>
    <row r="1" spans="13:15" ht="14.25" customHeight="1" x14ac:dyDescent="0.3"/>
    <row r="2" spans="13:15" ht="14.25" customHeight="1" x14ac:dyDescent="0.3"/>
    <row r="3" spans="13:15" ht="14.25" customHeight="1" x14ac:dyDescent="0.3"/>
    <row r="4" spans="13:15" ht="14.25" customHeight="1" x14ac:dyDescent="0.3"/>
    <row r="5" spans="13:15" ht="14.25" customHeight="1" x14ac:dyDescent="0.3"/>
    <row r="6" spans="13:15" ht="14.25" customHeight="1" x14ac:dyDescent="0.35">
      <c r="M6" s="92">
        <v>535310.50699999998</v>
      </c>
      <c r="N6" s="92">
        <v>9407739.1050000004</v>
      </c>
      <c r="O6">
        <v>106.786</v>
      </c>
    </row>
    <row r="7" spans="13:15" ht="14.25" customHeight="1" x14ac:dyDescent="0.35">
      <c r="M7" s="95">
        <f>M6+I7</f>
        <v>535310.50699999998</v>
      </c>
      <c r="N7" s="69">
        <f>N6+L7</f>
        <v>9407739.1050000004</v>
      </c>
      <c r="O7">
        <v>108.711</v>
      </c>
    </row>
    <row r="8" spans="13:15" ht="14.25" customHeight="1" x14ac:dyDescent="0.35">
      <c r="M8" s="95">
        <f>M7+I9</f>
        <v>535310.50699999998</v>
      </c>
      <c r="N8" s="69">
        <f>N7+L9</f>
        <v>9407739.1050000004</v>
      </c>
      <c r="O8">
        <v>107.34399999999999</v>
      </c>
    </row>
    <row r="9" spans="13:15" ht="14.25" customHeight="1" x14ac:dyDescent="0.35">
      <c r="M9" s="95">
        <f>M8+I11</f>
        <v>535310.50699999998</v>
      </c>
      <c r="N9" s="69">
        <f>N8+L11</f>
        <v>9407739.1050000004</v>
      </c>
      <c r="O9">
        <v>107.495</v>
      </c>
    </row>
    <row r="10" spans="13:15" ht="14.25" customHeight="1" x14ac:dyDescent="0.35">
      <c r="M10" s="95">
        <f>M9+I13</f>
        <v>535310.50699999998</v>
      </c>
      <c r="N10" s="69">
        <f>N9+L13</f>
        <v>9407739.1050000004</v>
      </c>
      <c r="O10">
        <v>110.58</v>
      </c>
    </row>
    <row r="11" spans="13:15" ht="14.25" customHeight="1" x14ac:dyDescent="0.35">
      <c r="M11" s="95">
        <f>M10+I15</f>
        <v>535310.50699999998</v>
      </c>
      <c r="N11" s="69">
        <f>N10+L15</f>
        <v>9407739.1050000004</v>
      </c>
      <c r="O11">
        <v>109.358</v>
      </c>
    </row>
    <row r="12" spans="13:15" ht="14.25" customHeight="1" x14ac:dyDescent="0.35">
      <c r="M12" s="95">
        <f>M11+I17</f>
        <v>535310.50699999998</v>
      </c>
      <c r="N12" s="69">
        <f>N11+L17</f>
        <v>9407739.1050000004</v>
      </c>
      <c r="O12">
        <v>107.313</v>
      </c>
    </row>
    <row r="13" spans="13:15" ht="14.25" customHeight="1" x14ac:dyDescent="0.3"/>
    <row r="14" spans="13:15" ht="14.25" customHeight="1" x14ac:dyDescent="0.3"/>
    <row r="15" spans="13:15" ht="14.25" customHeight="1" x14ac:dyDescent="0.3"/>
    <row r="16" spans="13:15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7</vt:i4>
      </vt:variant>
    </vt:vector>
  </HeadingPairs>
  <TitlesOfParts>
    <vt:vector size="7" baseType="lpstr">
      <vt:lpstr>Data Lapangan</vt:lpstr>
      <vt:lpstr>KKH</vt:lpstr>
      <vt:lpstr>Detail P1</vt:lpstr>
      <vt:lpstr>Detail 1</vt:lpstr>
      <vt:lpstr>p3-4</vt:lpstr>
      <vt:lpstr>p5 bunderan</vt:lpstr>
      <vt:lpstr>p6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Rehagel Reisa</cp:lastModifiedBy>
  <dcterms:created xsi:type="dcterms:W3CDTF">2024-05-06T01:44:32Z</dcterms:created>
  <dcterms:modified xsi:type="dcterms:W3CDTF">2024-11-01T15:18:09Z</dcterms:modified>
</cp:coreProperties>
</file>