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gel Beans\Documents\"/>
    </mc:Choice>
  </mc:AlternateContent>
  <xr:revisionPtr revIDLastSave="0" documentId="8_{AFBA0FCA-3FCB-45E9-BB47-589FCFB0A2FF}" xr6:coauthVersionLast="47" xr6:coauthVersionMax="47" xr10:uidLastSave="{00000000-0000-0000-0000-000000000000}"/>
  <bookViews>
    <workbookView xWindow="1060" yWindow="1060" windowWidth="14400" windowHeight="8170" xr2:uid="{73931F7D-F6C0-4743-9A77-3D39E7525F96}"/>
  </bookViews>
  <sheets>
    <sheet name="Theodolite" sheetId="1" r:id="rId1"/>
    <sheet name="KKH" sheetId="2" r:id="rId2"/>
    <sheet name="Waterpass" sheetId="3" r:id="rId3"/>
    <sheet name="KKV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4" l="1"/>
  <c r="T54" i="3"/>
  <c r="D17" i="4" s="1"/>
  <c r="T17" i="3"/>
  <c r="C13" i="4" s="1"/>
  <c r="T5" i="3"/>
  <c r="C5" i="4" s="1"/>
  <c r="P46" i="3"/>
  <c r="P49" i="3"/>
  <c r="P52" i="3"/>
  <c r="P55" i="3"/>
  <c r="P58" i="3"/>
  <c r="T57" i="3" s="1"/>
  <c r="D19" i="4" s="1"/>
  <c r="P43" i="3"/>
  <c r="T42" i="3" s="1"/>
  <c r="D9" i="4" s="1"/>
  <c r="G59" i="3"/>
  <c r="O59" i="3"/>
  <c r="O40" i="3"/>
  <c r="O37" i="3"/>
  <c r="O38" i="3"/>
  <c r="O39" i="3"/>
  <c r="O41" i="3"/>
  <c r="O42" i="3"/>
  <c r="O43" i="3" s="1"/>
  <c r="O44" i="3"/>
  <c r="O45" i="3"/>
  <c r="O47" i="3"/>
  <c r="O46" i="3" s="1"/>
  <c r="O48" i="3"/>
  <c r="O49" i="3" s="1"/>
  <c r="O50" i="3"/>
  <c r="O51" i="3"/>
  <c r="O52" i="3" s="1"/>
  <c r="O53" i="3"/>
  <c r="O54" i="3"/>
  <c r="O55" i="3" s="1"/>
  <c r="O56" i="3"/>
  <c r="O57" i="3"/>
  <c r="O58" i="3" s="1"/>
  <c r="O36" i="3"/>
  <c r="G36" i="3"/>
  <c r="H46" i="3"/>
  <c r="T45" i="3" s="1"/>
  <c r="D11" i="4" s="1"/>
  <c r="H49" i="3"/>
  <c r="T48" i="3" s="1"/>
  <c r="D13" i="4" s="1"/>
  <c r="H52" i="3"/>
  <c r="T51" i="3" s="1"/>
  <c r="D15" i="4" s="1"/>
  <c r="H55" i="3"/>
  <c r="H43" i="3"/>
  <c r="G46" i="3"/>
  <c r="G57" i="3"/>
  <c r="G58" i="3" s="1"/>
  <c r="G45" i="3"/>
  <c r="G47" i="3"/>
  <c r="G48" i="3"/>
  <c r="G50" i="3"/>
  <c r="G49" i="3" s="1"/>
  <c r="G51" i="3"/>
  <c r="G53" i="3"/>
  <c r="G54" i="3"/>
  <c r="G55" i="3" s="1"/>
  <c r="G56" i="3"/>
  <c r="G44" i="3"/>
  <c r="P15" i="3"/>
  <c r="P12" i="3"/>
  <c r="P18" i="3"/>
  <c r="P21" i="3"/>
  <c r="P24" i="3"/>
  <c r="O20" i="3"/>
  <c r="O14" i="3"/>
  <c r="O16" i="3"/>
  <c r="O17" i="3"/>
  <c r="O19" i="3"/>
  <c r="O22" i="3"/>
  <c r="O23" i="3"/>
  <c r="O25" i="3"/>
  <c r="O13" i="3"/>
  <c r="H27" i="3"/>
  <c r="T26" i="3" s="1"/>
  <c r="C19" i="4" s="1"/>
  <c r="H21" i="3"/>
  <c r="T20" i="3" s="1"/>
  <c r="C15" i="4" s="1"/>
  <c r="H18" i="3"/>
  <c r="H24" i="3"/>
  <c r="T23" i="3" s="1"/>
  <c r="C17" i="4" s="1"/>
  <c r="E17" i="4" s="1"/>
  <c r="H15" i="3"/>
  <c r="H30" i="3" s="1"/>
  <c r="H9" i="3"/>
  <c r="H6" i="3"/>
  <c r="H29" i="3" s="1"/>
  <c r="G16" i="3"/>
  <c r="G17" i="3"/>
  <c r="G19" i="3"/>
  <c r="G20" i="3"/>
  <c r="G22" i="3"/>
  <c r="G21" i="3" s="1"/>
  <c r="F15" i="4" s="1"/>
  <c r="G23" i="3"/>
  <c r="G25" i="3"/>
  <c r="G14" i="3"/>
  <c r="G13" i="3"/>
  <c r="G12" i="3"/>
  <c r="G11" i="3"/>
  <c r="O5" i="3"/>
  <c r="H58" i="3"/>
  <c r="G42" i="3"/>
  <c r="G43" i="3" s="1"/>
  <c r="G41" i="3"/>
  <c r="P40" i="3"/>
  <c r="H40" i="3"/>
  <c r="T39" i="3" s="1"/>
  <c r="D7" i="4" s="1"/>
  <c r="G39" i="3"/>
  <c r="G38" i="3"/>
  <c r="P37" i="3"/>
  <c r="H37" i="3"/>
  <c r="V36" i="3"/>
  <c r="O28" i="3"/>
  <c r="G28" i="3"/>
  <c r="P27" i="3"/>
  <c r="O26" i="3"/>
  <c r="O27" i="3" s="1"/>
  <c r="G26" i="3"/>
  <c r="H12" i="3"/>
  <c r="T11" i="3" s="1"/>
  <c r="C9" i="4" s="1"/>
  <c r="E9" i="4" s="1"/>
  <c r="O11" i="3"/>
  <c r="O10" i="3"/>
  <c r="G10" i="3"/>
  <c r="P9" i="3"/>
  <c r="T8" i="3" s="1"/>
  <c r="C7" i="4" s="1"/>
  <c r="O8" i="3"/>
  <c r="G8" i="3"/>
  <c r="G9" i="3" s="1"/>
  <c r="F7" i="4" s="1"/>
  <c r="O7" i="3"/>
  <c r="G7" i="3"/>
  <c r="P6" i="3"/>
  <c r="P30" i="3" s="1"/>
  <c r="V5" i="3"/>
  <c r="G5" i="3"/>
  <c r="I43" i="3" l="1"/>
  <c r="I46" i="3"/>
  <c r="I18" i="3"/>
  <c r="I37" i="3"/>
  <c r="I52" i="3"/>
  <c r="I15" i="3"/>
  <c r="U14" i="3" s="1"/>
  <c r="I49" i="3"/>
  <c r="I21" i="3"/>
  <c r="U20" i="3" s="1"/>
  <c r="I24" i="3"/>
  <c r="U23" i="3" s="1"/>
  <c r="I55" i="3"/>
  <c r="U54" i="3" s="1"/>
  <c r="I12" i="3"/>
  <c r="I58" i="3"/>
  <c r="U57" i="3" s="1"/>
  <c r="Q27" i="3"/>
  <c r="Q43" i="3"/>
  <c r="Q52" i="3"/>
  <c r="Q12" i="3"/>
  <c r="Q46" i="3"/>
  <c r="Q49" i="3"/>
  <c r="Q58" i="3"/>
  <c r="Q37" i="3"/>
  <c r="Q15" i="3"/>
  <c r="Q18" i="3"/>
  <c r="Q55" i="3"/>
  <c r="Q21" i="3"/>
  <c r="Q24" i="3"/>
  <c r="Q40" i="3"/>
  <c r="E13" i="4"/>
  <c r="E15" i="4"/>
  <c r="E19" i="4"/>
  <c r="O9" i="3"/>
  <c r="T14" i="3"/>
  <c r="C11" i="4" s="1"/>
  <c r="E11" i="4" s="1"/>
  <c r="O12" i="3"/>
  <c r="G15" i="3"/>
  <c r="F11" i="4" s="1"/>
  <c r="E7" i="4"/>
  <c r="G52" i="3"/>
  <c r="O24" i="3"/>
  <c r="O18" i="3"/>
  <c r="O21" i="3"/>
  <c r="G24" i="3"/>
  <c r="F17" i="4" s="1"/>
  <c r="G18" i="3"/>
  <c r="F13" i="4" s="1"/>
  <c r="O15" i="3"/>
  <c r="G27" i="3"/>
  <c r="F19" i="4" s="1"/>
  <c r="G37" i="3"/>
  <c r="G40" i="3"/>
  <c r="G6" i="3"/>
  <c r="F5" i="4" s="1"/>
  <c r="R40" i="3"/>
  <c r="R43" i="3" s="1"/>
  <c r="O6" i="3"/>
  <c r="P29" i="3"/>
  <c r="T36" i="3"/>
  <c r="D5" i="4" s="1"/>
  <c r="D22" i="4" s="1"/>
  <c r="G19" i="2"/>
  <c r="F19" i="2"/>
  <c r="I18" i="2"/>
  <c r="C15" i="2"/>
  <c r="F10" i="2"/>
  <c r="R5" i="2"/>
  <c r="R4" i="2"/>
  <c r="AC54" i="1"/>
  <c r="AC43" i="1"/>
  <c r="N76" i="1" s="1"/>
  <c r="T76" i="1" s="1"/>
  <c r="U76" i="1" s="1"/>
  <c r="Y43" i="1"/>
  <c r="J76" i="1" s="1"/>
  <c r="S76" i="1" s="1"/>
  <c r="V76" i="1" s="1"/>
  <c r="N43" i="1"/>
  <c r="J43" i="1"/>
  <c r="AC42" i="1"/>
  <c r="N75" i="1" s="1"/>
  <c r="T75" i="1" s="1"/>
  <c r="U75" i="1" s="1"/>
  <c r="Y42" i="1"/>
  <c r="J75" i="1" s="1"/>
  <c r="S75" i="1" s="1"/>
  <c r="V75" i="1" s="1"/>
  <c r="N42" i="1"/>
  <c r="P42" i="1" s="1"/>
  <c r="J42" i="1"/>
  <c r="O42" i="1" s="1"/>
  <c r="AC41" i="1"/>
  <c r="Y41" i="1"/>
  <c r="J74" i="1" s="1"/>
  <c r="S74" i="1" s="1"/>
  <c r="V74" i="1" s="1"/>
  <c r="N41" i="1"/>
  <c r="J41" i="1"/>
  <c r="AC40" i="1"/>
  <c r="N73" i="1" s="1"/>
  <c r="T73" i="1" s="1"/>
  <c r="U73" i="1" s="1"/>
  <c r="Y40" i="1"/>
  <c r="J73" i="1" s="1"/>
  <c r="S73" i="1" s="1"/>
  <c r="V73" i="1" s="1"/>
  <c r="N40" i="1"/>
  <c r="P40" i="1" s="1"/>
  <c r="J40" i="1"/>
  <c r="AC39" i="1"/>
  <c r="N72" i="1" s="1"/>
  <c r="T72" i="1" s="1"/>
  <c r="U72" i="1" s="1"/>
  <c r="Y39" i="1"/>
  <c r="J72" i="1" s="1"/>
  <c r="S72" i="1" s="1"/>
  <c r="V72" i="1" s="1"/>
  <c r="N39" i="1"/>
  <c r="J39" i="1"/>
  <c r="AC38" i="1"/>
  <c r="N71" i="1" s="1"/>
  <c r="T71" i="1" s="1"/>
  <c r="U71" i="1" s="1"/>
  <c r="Y38" i="1"/>
  <c r="J71" i="1" s="1"/>
  <c r="S71" i="1" s="1"/>
  <c r="V71" i="1" s="1"/>
  <c r="N38" i="1"/>
  <c r="P38" i="1" s="1"/>
  <c r="J38" i="1"/>
  <c r="O38" i="1" s="1"/>
  <c r="AC37" i="1"/>
  <c r="Y37" i="1"/>
  <c r="J70" i="1" s="1"/>
  <c r="S70" i="1" s="1"/>
  <c r="V70" i="1" s="1"/>
  <c r="N37" i="1"/>
  <c r="J37" i="1"/>
  <c r="AC36" i="1"/>
  <c r="N69" i="1" s="1"/>
  <c r="T69" i="1" s="1"/>
  <c r="U69" i="1" s="1"/>
  <c r="Y36" i="1"/>
  <c r="J69" i="1" s="1"/>
  <c r="S69" i="1" s="1"/>
  <c r="V69" i="1" s="1"/>
  <c r="F11" i="2" s="1"/>
  <c r="P36" i="1"/>
  <c r="N36" i="1"/>
  <c r="J36" i="1"/>
  <c r="AC35" i="1"/>
  <c r="N68" i="1" s="1"/>
  <c r="T68" i="1" s="1"/>
  <c r="U68" i="1" s="1"/>
  <c r="Y35" i="1"/>
  <c r="J68" i="1" s="1"/>
  <c r="S68" i="1" s="1"/>
  <c r="V68" i="1" s="1"/>
  <c r="N35" i="1"/>
  <c r="J35" i="1"/>
  <c r="AC34" i="1"/>
  <c r="N67" i="1" s="1"/>
  <c r="T67" i="1" s="1"/>
  <c r="U67" i="1" s="1"/>
  <c r="Y34" i="1"/>
  <c r="J67" i="1" s="1"/>
  <c r="S67" i="1" s="1"/>
  <c r="V67" i="1" s="1"/>
  <c r="N34" i="1"/>
  <c r="J34" i="1"/>
  <c r="O34" i="1" s="1"/>
  <c r="AC33" i="1"/>
  <c r="N66" i="1" s="1"/>
  <c r="T66" i="1" s="1"/>
  <c r="U66" i="1" s="1"/>
  <c r="Y33" i="1"/>
  <c r="J66" i="1" s="1"/>
  <c r="S66" i="1" s="1"/>
  <c r="V66" i="1" s="1"/>
  <c r="N33" i="1"/>
  <c r="J33" i="1"/>
  <c r="AC32" i="1"/>
  <c r="N65" i="1" s="1"/>
  <c r="T65" i="1" s="1"/>
  <c r="U65" i="1" s="1"/>
  <c r="Y32" i="1"/>
  <c r="J65" i="1" s="1"/>
  <c r="S65" i="1" s="1"/>
  <c r="V65" i="1" s="1"/>
  <c r="N32" i="1"/>
  <c r="P32" i="1" s="1"/>
  <c r="J32" i="1"/>
  <c r="O32" i="1" s="1"/>
  <c r="AC31" i="1"/>
  <c r="N64" i="1" s="1"/>
  <c r="T64" i="1" s="1"/>
  <c r="U64" i="1" s="1"/>
  <c r="Y31" i="1"/>
  <c r="J64" i="1" s="1"/>
  <c r="S64" i="1" s="1"/>
  <c r="V64" i="1" s="1"/>
  <c r="N31" i="1"/>
  <c r="J31" i="1"/>
  <c r="AC30" i="1"/>
  <c r="N63" i="1" s="1"/>
  <c r="T63" i="1" s="1"/>
  <c r="U63" i="1" s="1"/>
  <c r="Y30" i="1"/>
  <c r="J63" i="1" s="1"/>
  <c r="S63" i="1" s="1"/>
  <c r="V63" i="1" s="1"/>
  <c r="N30" i="1"/>
  <c r="J30" i="1"/>
  <c r="AC29" i="1"/>
  <c r="N62" i="1" s="1"/>
  <c r="T62" i="1" s="1"/>
  <c r="U62" i="1" s="1"/>
  <c r="Y29" i="1"/>
  <c r="J62" i="1" s="1"/>
  <c r="S62" i="1" s="1"/>
  <c r="V62" i="1" s="1"/>
  <c r="N29" i="1"/>
  <c r="J29" i="1"/>
  <c r="AC28" i="1"/>
  <c r="N61" i="1" s="1"/>
  <c r="T61" i="1" s="1"/>
  <c r="U61" i="1" s="1"/>
  <c r="Y28" i="1"/>
  <c r="J61" i="1" s="1"/>
  <c r="S61" i="1" s="1"/>
  <c r="V61" i="1" s="1"/>
  <c r="F9" i="2" s="1"/>
  <c r="N28" i="1"/>
  <c r="J28" i="1"/>
  <c r="AC27" i="1"/>
  <c r="N60" i="1" s="1"/>
  <c r="T60" i="1" s="1"/>
  <c r="U60" i="1" s="1"/>
  <c r="Y27" i="1"/>
  <c r="J60" i="1" s="1"/>
  <c r="S60" i="1" s="1"/>
  <c r="V60" i="1" s="1"/>
  <c r="N27" i="1"/>
  <c r="J27" i="1"/>
  <c r="AC26" i="1"/>
  <c r="N59" i="1" s="1"/>
  <c r="T59" i="1" s="1"/>
  <c r="U59" i="1" s="1"/>
  <c r="Y26" i="1"/>
  <c r="J59" i="1" s="1"/>
  <c r="S59" i="1" s="1"/>
  <c r="V59" i="1" s="1"/>
  <c r="N26" i="1"/>
  <c r="P26" i="1" s="1"/>
  <c r="J26" i="1"/>
  <c r="O26" i="1" s="1"/>
  <c r="AC25" i="1"/>
  <c r="N58" i="1" s="1"/>
  <c r="T58" i="1" s="1"/>
  <c r="Y25" i="1"/>
  <c r="J58" i="1" s="1"/>
  <c r="S58" i="1" s="1"/>
  <c r="N25" i="1"/>
  <c r="J25" i="1"/>
  <c r="AC24" i="1"/>
  <c r="N57" i="1" s="1"/>
  <c r="T57" i="1" s="1"/>
  <c r="Y24" i="1"/>
  <c r="J57" i="1" s="1"/>
  <c r="S57" i="1" s="1"/>
  <c r="N24" i="1"/>
  <c r="J24" i="1"/>
  <c r="AC23" i="1"/>
  <c r="N56" i="1" s="1"/>
  <c r="T56" i="1" s="1"/>
  <c r="U56" i="1" s="1"/>
  <c r="Y23" i="1"/>
  <c r="J56" i="1" s="1"/>
  <c r="S56" i="1" s="1"/>
  <c r="V56" i="1" s="1"/>
  <c r="N23" i="1"/>
  <c r="J23" i="1"/>
  <c r="AC22" i="1"/>
  <c r="N55" i="1" s="1"/>
  <c r="T55" i="1" s="1"/>
  <c r="U55" i="1" s="1"/>
  <c r="Y22" i="1"/>
  <c r="J55" i="1" s="1"/>
  <c r="S55" i="1" s="1"/>
  <c r="V55" i="1" s="1"/>
  <c r="N22" i="1"/>
  <c r="J22" i="1"/>
  <c r="AC21" i="1"/>
  <c r="N54" i="1" s="1"/>
  <c r="T54" i="1" s="1"/>
  <c r="Y21" i="1"/>
  <c r="J54" i="1" s="1"/>
  <c r="S54" i="1" s="1"/>
  <c r="N21" i="1"/>
  <c r="J21" i="1"/>
  <c r="AC20" i="1"/>
  <c r="N53" i="1" s="1"/>
  <c r="T53" i="1" s="1"/>
  <c r="Y20" i="1"/>
  <c r="J53" i="1" s="1"/>
  <c r="S53" i="1" s="1"/>
  <c r="U53" i="1" s="1"/>
  <c r="N20" i="1"/>
  <c r="J20" i="1"/>
  <c r="O20" i="1" s="1"/>
  <c r="AC19" i="1"/>
  <c r="Y19" i="1"/>
  <c r="J52" i="1" s="1"/>
  <c r="S52" i="1" s="1"/>
  <c r="V52" i="1" s="1"/>
  <c r="N19" i="1"/>
  <c r="J19" i="1"/>
  <c r="AC18" i="1"/>
  <c r="AE18" i="1" s="1"/>
  <c r="Y18" i="1"/>
  <c r="J51" i="1" s="1"/>
  <c r="S51" i="1" s="1"/>
  <c r="V51" i="1" s="1"/>
  <c r="N18" i="1"/>
  <c r="J18" i="1"/>
  <c r="O18" i="1" s="1"/>
  <c r="AC17" i="1"/>
  <c r="N50" i="1" s="1"/>
  <c r="T50" i="1" s="1"/>
  <c r="U52" i="1" s="1"/>
  <c r="Y17" i="1"/>
  <c r="J50" i="1" s="1"/>
  <c r="S50" i="1" s="1"/>
  <c r="N17" i="1"/>
  <c r="J17" i="1"/>
  <c r="G6" i="2" s="1"/>
  <c r="AC16" i="1"/>
  <c r="N49" i="1" s="1"/>
  <c r="T49" i="1" s="1"/>
  <c r="U51" i="1" s="1"/>
  <c r="Y16" i="1"/>
  <c r="J49" i="1" s="1"/>
  <c r="S49" i="1" s="1"/>
  <c r="V49" i="1" s="1"/>
  <c r="F6" i="2" s="1"/>
  <c r="N16" i="1"/>
  <c r="J16" i="1"/>
  <c r="I6" i="2" l="1"/>
  <c r="H6" i="2"/>
  <c r="W61" i="1"/>
  <c r="P16" i="1"/>
  <c r="O22" i="1"/>
  <c r="O28" i="1"/>
  <c r="F22" i="4"/>
  <c r="P22" i="1"/>
  <c r="P28" i="1"/>
  <c r="P34" i="1"/>
  <c r="Q32" i="1" s="1"/>
  <c r="T52" i="1"/>
  <c r="O40" i="1"/>
  <c r="X73" i="1"/>
  <c r="N51" i="1"/>
  <c r="T51" i="1" s="1"/>
  <c r="U48" i="3"/>
  <c r="N52" i="1"/>
  <c r="AE20" i="1"/>
  <c r="U51" i="3"/>
  <c r="P18" i="1"/>
  <c r="O24" i="1"/>
  <c r="Q24" i="1" s="1"/>
  <c r="C8" i="2" s="1"/>
  <c r="O30" i="1"/>
  <c r="O36" i="1"/>
  <c r="Q36" i="1" s="1"/>
  <c r="C11" i="2" s="1"/>
  <c r="P24" i="1"/>
  <c r="P30" i="1"/>
  <c r="AE38" i="1"/>
  <c r="F12" i="2"/>
  <c r="U17" i="3"/>
  <c r="E5" i="4"/>
  <c r="U45" i="3"/>
  <c r="O16" i="1"/>
  <c r="R46" i="3"/>
  <c r="R49" i="3" s="1"/>
  <c r="R52" i="3" s="1"/>
  <c r="R55" i="3" s="1"/>
  <c r="R58" i="3" s="1"/>
  <c r="C22" i="4"/>
  <c r="Q9" i="3"/>
  <c r="R9" i="3" s="1"/>
  <c r="R12" i="3" s="1"/>
  <c r="R15" i="3" s="1"/>
  <c r="R18" i="3" s="1"/>
  <c r="R21" i="3" s="1"/>
  <c r="R24" i="3" s="1"/>
  <c r="R27" i="3" s="1"/>
  <c r="Q6" i="3"/>
  <c r="I40" i="3"/>
  <c r="U11" i="3"/>
  <c r="I6" i="3"/>
  <c r="I27" i="3"/>
  <c r="I9" i="3"/>
  <c r="J9" i="3" s="1"/>
  <c r="J12" i="3" s="1"/>
  <c r="P20" i="1"/>
  <c r="W65" i="1"/>
  <c r="Y65" i="1" s="1"/>
  <c r="X65" i="1"/>
  <c r="V53" i="1"/>
  <c r="F7" i="2" s="1"/>
  <c r="F14" i="2" s="1"/>
  <c r="R24" i="1"/>
  <c r="T24" i="1" s="1"/>
  <c r="R26" i="1"/>
  <c r="T26" i="1" s="1"/>
  <c r="U50" i="1"/>
  <c r="V50" i="1"/>
  <c r="X49" i="1" s="1"/>
  <c r="AD22" i="1"/>
  <c r="V57" i="1"/>
  <c r="F8" i="2" s="1"/>
  <c r="U57" i="1"/>
  <c r="V58" i="1"/>
  <c r="U58" i="1"/>
  <c r="AE16" i="1"/>
  <c r="AD18" i="1"/>
  <c r="U54" i="1"/>
  <c r="W53" i="1" s="1"/>
  <c r="V54" i="1"/>
  <c r="AE24" i="1"/>
  <c r="AD26" i="1"/>
  <c r="AE28" i="1"/>
  <c r="AD30" i="1"/>
  <c r="AE32" i="1"/>
  <c r="AD34" i="1"/>
  <c r="N70" i="1"/>
  <c r="T70" i="1" s="1"/>
  <c r="U70" i="1" s="1"/>
  <c r="W69" i="1" s="1"/>
  <c r="AE36" i="1"/>
  <c r="AD40" i="1"/>
  <c r="X61" i="1"/>
  <c r="X69" i="1"/>
  <c r="U49" i="1"/>
  <c r="AD16" i="1"/>
  <c r="AD20" i="1"/>
  <c r="AE22" i="1"/>
  <c r="AD24" i="1"/>
  <c r="AE26" i="1"/>
  <c r="AD28" i="1"/>
  <c r="AE30" i="1"/>
  <c r="AD32" i="1"/>
  <c r="AE34" i="1"/>
  <c r="AD36" i="1"/>
  <c r="Q40" i="1"/>
  <c r="C12" i="2" s="1"/>
  <c r="N74" i="1"/>
  <c r="T74" i="1" s="1"/>
  <c r="U74" i="1" s="1"/>
  <c r="W73" i="1" s="1"/>
  <c r="AE40" i="1"/>
  <c r="AE42" i="1"/>
  <c r="AD38" i="1"/>
  <c r="AD42" i="1"/>
  <c r="C10" i="2" l="1"/>
  <c r="R32" i="1"/>
  <c r="T32" i="1" s="1"/>
  <c r="S34" i="1"/>
  <c r="U34" i="1" s="1"/>
  <c r="S32" i="1"/>
  <c r="U32" i="1" s="1"/>
  <c r="R34" i="1"/>
  <c r="T34" i="1" s="1"/>
  <c r="Q28" i="1"/>
  <c r="Q20" i="1"/>
  <c r="C7" i="2" s="1"/>
  <c r="AF16" i="1"/>
  <c r="AH18" i="1" s="1"/>
  <c r="AJ18" i="1" s="1"/>
  <c r="J15" i="3"/>
  <c r="V11" i="3"/>
  <c r="E22" i="4"/>
  <c r="Q16" i="1"/>
  <c r="U5" i="3"/>
  <c r="S26" i="1"/>
  <c r="U26" i="1" s="1"/>
  <c r="W49" i="1"/>
  <c r="X53" i="1"/>
  <c r="S24" i="1"/>
  <c r="U24" i="1" s="1"/>
  <c r="U36" i="3"/>
  <c r="U42" i="3"/>
  <c r="U8" i="3"/>
  <c r="U39" i="3"/>
  <c r="J40" i="3"/>
  <c r="U26" i="3"/>
  <c r="Z65" i="1"/>
  <c r="Y69" i="1"/>
  <c r="Z69" i="1" s="1"/>
  <c r="Y73" i="1"/>
  <c r="Z73" i="1" s="1"/>
  <c r="AF36" i="1"/>
  <c r="AF32" i="1"/>
  <c r="AF28" i="1"/>
  <c r="AF24" i="1"/>
  <c r="AF20" i="1"/>
  <c r="R38" i="1"/>
  <c r="T38" i="1" s="1"/>
  <c r="S36" i="1"/>
  <c r="U36" i="1" s="1"/>
  <c r="R36" i="1"/>
  <c r="T36" i="1" s="1"/>
  <c r="S38" i="1"/>
  <c r="U38" i="1" s="1"/>
  <c r="Y61" i="1"/>
  <c r="Z61" i="1" s="1"/>
  <c r="X57" i="1"/>
  <c r="R42" i="1"/>
  <c r="T42" i="1" s="1"/>
  <c r="S40" i="1"/>
  <c r="U40" i="1" s="1"/>
  <c r="S42" i="1"/>
  <c r="U42" i="1" s="1"/>
  <c r="R40" i="1"/>
  <c r="T40" i="1" s="1"/>
  <c r="Y53" i="1"/>
  <c r="Z53" i="1" s="1"/>
  <c r="Y49" i="1"/>
  <c r="Z49" i="1" s="1"/>
  <c r="AF40" i="1"/>
  <c r="W57" i="1"/>
  <c r="C9" i="2" l="1"/>
  <c r="S30" i="1"/>
  <c r="U30" i="1" s="1"/>
  <c r="R28" i="1"/>
  <c r="T28" i="1" s="1"/>
  <c r="R30" i="1"/>
  <c r="T30" i="1" s="1"/>
  <c r="S28" i="1"/>
  <c r="U28" i="1" s="1"/>
  <c r="AG16" i="1"/>
  <c r="AI16" i="1" s="1"/>
  <c r="S20" i="1"/>
  <c r="U20" i="1" s="1"/>
  <c r="J18" i="3"/>
  <c r="V14" i="3"/>
  <c r="AG18" i="1"/>
  <c r="AI18" i="1" s="1"/>
  <c r="R20" i="1"/>
  <c r="T20" i="1" s="1"/>
  <c r="R22" i="1"/>
  <c r="T22" i="1" s="1"/>
  <c r="G7" i="4"/>
  <c r="G9" i="4"/>
  <c r="G11" i="4"/>
  <c r="G13" i="4"/>
  <c r="G15" i="4"/>
  <c r="G17" i="4"/>
  <c r="G19" i="4"/>
  <c r="G5" i="4"/>
  <c r="S22" i="1"/>
  <c r="U22" i="1" s="1"/>
  <c r="AH16" i="1"/>
  <c r="AJ16" i="1" s="1"/>
  <c r="C6" i="2"/>
  <c r="R3" i="2" s="1"/>
  <c r="R6" i="2" s="1"/>
  <c r="S18" i="1"/>
  <c r="U18" i="1" s="1"/>
  <c r="R16" i="1"/>
  <c r="T16" i="1" s="1"/>
  <c r="R18" i="1"/>
  <c r="T18" i="1" s="1"/>
  <c r="S16" i="1"/>
  <c r="U16" i="1" s="1"/>
  <c r="J43" i="3"/>
  <c r="J46" i="3" s="1"/>
  <c r="V39" i="3"/>
  <c r="V8" i="3"/>
  <c r="Y57" i="1"/>
  <c r="Z57" i="1" s="1"/>
  <c r="Z78" i="1" s="1"/>
  <c r="AH22" i="1"/>
  <c r="AJ22" i="1" s="1"/>
  <c r="AH20" i="1"/>
  <c r="AJ20" i="1" s="1"/>
  <c r="AG22" i="1"/>
  <c r="AI22" i="1" s="1"/>
  <c r="AG20" i="1"/>
  <c r="AI20" i="1" s="1"/>
  <c r="AH30" i="1"/>
  <c r="AJ30" i="1" s="1"/>
  <c r="AH28" i="1"/>
  <c r="AJ28" i="1" s="1"/>
  <c r="AG30" i="1"/>
  <c r="AI30" i="1" s="1"/>
  <c r="AG28" i="1"/>
  <c r="AI28" i="1" s="1"/>
  <c r="AG38" i="1"/>
  <c r="AI38" i="1" s="1"/>
  <c r="AG36" i="1"/>
  <c r="AI36" i="1" s="1"/>
  <c r="AH38" i="1"/>
  <c r="AJ38" i="1" s="1"/>
  <c r="AH36" i="1"/>
  <c r="AJ36" i="1" s="1"/>
  <c r="AG42" i="1"/>
  <c r="AI42" i="1" s="1"/>
  <c r="AG40" i="1"/>
  <c r="AI40" i="1" s="1"/>
  <c r="AH42" i="1"/>
  <c r="AJ42" i="1" s="1"/>
  <c r="AH40" i="1"/>
  <c r="AJ40" i="1" s="1"/>
  <c r="AH26" i="1"/>
  <c r="AJ26" i="1" s="1"/>
  <c r="AH24" i="1"/>
  <c r="AJ24" i="1" s="1"/>
  <c r="AG26" i="1"/>
  <c r="AI26" i="1" s="1"/>
  <c r="AG24" i="1"/>
  <c r="AI24" i="1" s="1"/>
  <c r="AG34" i="1"/>
  <c r="AI34" i="1" s="1"/>
  <c r="AH32" i="1"/>
  <c r="AJ32" i="1" s="1"/>
  <c r="AH34" i="1"/>
  <c r="AJ34" i="1" s="1"/>
  <c r="AG32" i="1"/>
  <c r="AI32" i="1" s="1"/>
  <c r="G22" i="4" l="1"/>
  <c r="G24" i="4" s="1"/>
  <c r="H6" i="4"/>
  <c r="H8" i="4" s="1"/>
  <c r="H10" i="4" s="1"/>
  <c r="H12" i="4" s="1"/>
  <c r="H14" i="4" s="1"/>
  <c r="H16" i="4" s="1"/>
  <c r="H18" i="4" s="1"/>
  <c r="H20" i="4" s="1"/>
  <c r="V17" i="3"/>
  <c r="J21" i="3"/>
  <c r="V45" i="3"/>
  <c r="J49" i="3"/>
  <c r="C14" i="2"/>
  <c r="C16" i="2" s="1"/>
  <c r="D10" i="2" s="1"/>
  <c r="E10" i="2" s="1"/>
  <c r="V42" i="3"/>
  <c r="D12" i="2"/>
  <c r="E12" i="2" s="1"/>
  <c r="D9" i="2"/>
  <c r="E9" i="2" s="1"/>
  <c r="D7" i="2"/>
  <c r="E7" i="2" s="1"/>
  <c r="G7" i="2" s="1"/>
  <c r="D11" i="2"/>
  <c r="E11" i="2" s="1"/>
  <c r="R7" i="2"/>
  <c r="R8" i="2"/>
  <c r="J24" i="3" l="1"/>
  <c r="V20" i="3"/>
  <c r="J52" i="3"/>
  <c r="V48" i="3"/>
  <c r="D6" i="2"/>
  <c r="D8" i="2"/>
  <c r="E8" i="2" s="1"/>
  <c r="G8" i="2" s="1"/>
  <c r="E6" i="2"/>
  <c r="D14" i="2"/>
  <c r="H7" i="2"/>
  <c r="I7" i="2"/>
  <c r="E14" i="2" l="1"/>
  <c r="J55" i="3"/>
  <c r="V51" i="3"/>
  <c r="V23" i="3"/>
  <c r="J27" i="3"/>
  <c r="V26" i="3" s="1"/>
  <c r="I8" i="2"/>
  <c r="H8" i="2"/>
  <c r="G9" i="2"/>
  <c r="J58" i="3" l="1"/>
  <c r="V57" i="3" s="1"/>
  <c r="V54" i="3"/>
  <c r="I9" i="2"/>
  <c r="H9" i="2"/>
  <c r="G10" i="2"/>
  <c r="H10" i="2" l="1"/>
  <c r="I10" i="2"/>
  <c r="G11" i="2"/>
  <c r="H11" i="2" l="1"/>
  <c r="I11" i="2"/>
  <c r="G12" i="2"/>
  <c r="H12" i="2" l="1"/>
  <c r="H14" i="2" s="1"/>
  <c r="R10" i="2" s="1"/>
  <c r="I12" i="2"/>
  <c r="G13" i="2"/>
  <c r="I14" i="2"/>
  <c r="R11" i="2" s="1"/>
  <c r="J9" i="2" l="1"/>
  <c r="L9" i="2" s="1"/>
  <c r="J8" i="2"/>
  <c r="L8" i="2" s="1"/>
  <c r="J12" i="2"/>
  <c r="L12" i="2" s="1"/>
  <c r="J7" i="2"/>
  <c r="L7" i="2" s="1"/>
  <c r="J6" i="2"/>
  <c r="J10" i="2"/>
  <c r="L10" i="2" s="1"/>
  <c r="J11" i="2"/>
  <c r="L11" i="2" s="1"/>
  <c r="K12" i="2"/>
  <c r="M12" i="2" s="1"/>
  <c r="K9" i="2"/>
  <c r="M9" i="2" s="1"/>
  <c r="K7" i="2"/>
  <c r="M7" i="2" s="1"/>
  <c r="K11" i="2"/>
  <c r="M11" i="2" s="1"/>
  <c r="K10" i="2"/>
  <c r="M10" i="2" s="1"/>
  <c r="K8" i="2"/>
  <c r="M8" i="2" s="1"/>
  <c r="K6" i="2"/>
  <c r="R9" i="2" l="1"/>
  <c r="M6" i="2"/>
  <c r="K14" i="2"/>
  <c r="L6" i="2"/>
  <c r="J14" i="2"/>
  <c r="N6" i="2" l="1"/>
  <c r="L14" i="2"/>
  <c r="O6" i="2"/>
  <c r="M14" i="2"/>
  <c r="G20" i="2" l="1"/>
  <c r="O7" i="2"/>
  <c r="N7" i="2"/>
  <c r="I19" i="2"/>
  <c r="F20" i="2"/>
  <c r="N8" i="2" l="1"/>
  <c r="F21" i="2"/>
  <c r="I20" i="2"/>
  <c r="G21" i="2"/>
  <c r="O8" i="2"/>
  <c r="G22" i="2" s="1"/>
  <c r="O9" i="2" l="1"/>
  <c r="I21" i="2"/>
  <c r="F22" i="2"/>
  <c r="N9" i="2"/>
  <c r="F23" i="2" s="1"/>
  <c r="O10" i="2" l="1"/>
  <c r="G23" i="2"/>
  <c r="N10" i="2"/>
  <c r="I22" i="2"/>
  <c r="N11" i="2" l="1"/>
  <c r="F24" i="2"/>
  <c r="O11" i="2"/>
  <c r="G24" i="2"/>
  <c r="I23" i="2"/>
  <c r="O12" i="2" l="1"/>
  <c r="G25" i="2"/>
  <c r="N12" i="2"/>
  <c r="F25" i="2"/>
  <c r="I25" i="2"/>
  <c r="I24" i="2"/>
</calcChain>
</file>

<file path=xl/sharedStrings.xml><?xml version="1.0" encoding="utf-8"?>
<sst xmlns="http://schemas.openxmlformats.org/spreadsheetml/2006/main" count="364" uniqueCount="115">
  <si>
    <t>Banyak titik</t>
  </si>
  <si>
    <t>Kelompok</t>
  </si>
  <si>
    <t>Ketilitian alat</t>
  </si>
  <si>
    <t>Lokasi</t>
  </si>
  <si>
    <t>'</t>
  </si>
  <si>
    <t>L.4</t>
  </si>
  <si>
    <t>Arah pengukuran</t>
  </si>
  <si>
    <t>Alat ukur</t>
  </si>
  <si>
    <t>CW/CCW</t>
  </si>
  <si>
    <t>Cw</t>
  </si>
  <si>
    <t>Kedudukan Alat</t>
  </si>
  <si>
    <t>Target</t>
  </si>
  <si>
    <t>Sudut Horizontal</t>
  </si>
  <si>
    <t>Sudut Vertikal</t>
  </si>
  <si>
    <t>Biasa</t>
  </si>
  <si>
    <t>Luar Biasa</t>
  </si>
  <si>
    <t>Sudut Terukur</t>
  </si>
  <si>
    <t>TOR</t>
  </si>
  <si>
    <t>TOR"</t>
  </si>
  <si>
    <t>HI</t>
  </si>
  <si>
    <t>Titik</t>
  </si>
  <si>
    <t>HT</t>
  </si>
  <si>
    <t>Derajat</t>
  </si>
  <si>
    <t>Menit</t>
  </si>
  <si>
    <t>Detik</t>
  </si>
  <si>
    <t>DD</t>
  </si>
  <si>
    <t xml:space="preserve">Menit </t>
  </si>
  <si>
    <t>Rata-Rata</t>
  </si>
  <si>
    <t>Luar biasa</t>
  </si>
  <si>
    <t>P1</t>
  </si>
  <si>
    <t>P7</t>
  </si>
  <si>
    <t>P2</t>
  </si>
  <si>
    <t xml:space="preserve"> </t>
  </si>
  <si>
    <t>P3</t>
  </si>
  <si>
    <t>P4</t>
  </si>
  <si>
    <t>P5</t>
  </si>
  <si>
    <t>P6</t>
  </si>
  <si>
    <t>Kedudukan Titik</t>
  </si>
  <si>
    <t>Target Titik</t>
  </si>
  <si>
    <t>Bacaan Biasa</t>
  </si>
  <si>
    <t>Jarak Ukuran</t>
  </si>
  <si>
    <t>Bacaan Luar Biasa</t>
  </si>
  <si>
    <t>Jarak Biasa</t>
  </si>
  <si>
    <t>Jarak Luar Biasa</t>
  </si>
  <si>
    <t>Jarak Pergi</t>
  </si>
  <si>
    <t>Jarak Pulang</t>
  </si>
  <si>
    <t>Rerata Pergi</t>
  </si>
  <si>
    <t>Rerata Pulang</t>
  </si>
  <si>
    <t>Tinggi</t>
  </si>
  <si>
    <t>BA</t>
  </si>
  <si>
    <t>BT</t>
  </si>
  <si>
    <t>BB</t>
  </si>
  <si>
    <t>Toleransi Kesalahan</t>
  </si>
  <si>
    <t>KKH POLIGON</t>
  </si>
  <si>
    <t>Kesalahan penutup sudut</t>
  </si>
  <si>
    <t>Sudut Dalam(β)</t>
  </si>
  <si>
    <t>Koreksi</t>
  </si>
  <si>
    <t>Sudut Terkoreksi</t>
  </si>
  <si>
    <t>Jarak</t>
  </si>
  <si>
    <t>α</t>
  </si>
  <si>
    <t>D.SIN α</t>
  </si>
  <si>
    <t>D.COS α</t>
  </si>
  <si>
    <t>Koreksi  ∆X</t>
  </si>
  <si>
    <t>Koreksi ∆Y</t>
  </si>
  <si>
    <t>∆X Terkoreksi</t>
  </si>
  <si>
    <t>∆Y  Terkoreksi</t>
  </si>
  <si>
    <t>x</t>
  </si>
  <si>
    <t>y</t>
  </si>
  <si>
    <t>∑β</t>
  </si>
  <si>
    <t>∑βsyarat</t>
  </si>
  <si>
    <t>Toleransi</t>
  </si>
  <si>
    <t xml:space="preserve"> fβ</t>
  </si>
  <si>
    <t xml:space="preserve"> fl</t>
  </si>
  <si>
    <t>Absis</t>
  </si>
  <si>
    <t>∑</t>
  </si>
  <si>
    <t>Ordinat</t>
  </si>
  <si>
    <t xml:space="preserve">po </t>
  </si>
  <si>
    <t>DT 010</t>
  </si>
  <si>
    <t>Pergi</t>
  </si>
  <si>
    <t>Stand 1</t>
  </si>
  <si>
    <t>Stand 2</t>
  </si>
  <si>
    <t>Rata - Rata Pergi</t>
  </si>
  <si>
    <t>Slag/Tinggi</t>
  </si>
  <si>
    <t>Beda Tinggi</t>
  </si>
  <si>
    <t>Tinggi titik</t>
  </si>
  <si>
    <t>Tinggi Titik</t>
  </si>
  <si>
    <t>A/1,385</t>
  </si>
  <si>
    <t>A/1,325</t>
  </si>
  <si>
    <t>B/1,360</t>
  </si>
  <si>
    <t>B/1,325</t>
  </si>
  <si>
    <t>C/1,387</t>
  </si>
  <si>
    <t>C/1,314</t>
  </si>
  <si>
    <t>D/1,300</t>
  </si>
  <si>
    <t>D/1,375</t>
  </si>
  <si>
    <t>Ʃ</t>
  </si>
  <si>
    <t>Rata-rata ∆H</t>
  </si>
  <si>
    <t>Jumlah Titik</t>
  </si>
  <si>
    <t>Pulang</t>
  </si>
  <si>
    <t>Rata - Rata Pulang</t>
  </si>
  <si>
    <t>A/1.350</t>
  </si>
  <si>
    <t>B/1,425</t>
  </si>
  <si>
    <t>C/1,375</t>
  </si>
  <si>
    <t>D/1,390</t>
  </si>
  <si>
    <t>Δh pergi (mm)</t>
  </si>
  <si>
    <t>Δh pulang (mm)</t>
  </si>
  <si>
    <t>Δh rata-rata (mm)</t>
  </si>
  <si>
    <t>Jarak (m)</t>
  </si>
  <si>
    <t>Koreksi (m)</t>
  </si>
  <si>
    <t>H (m)</t>
  </si>
  <si>
    <t xml:space="preserve">Koreksi </t>
  </si>
  <si>
    <t>E</t>
  </si>
  <si>
    <t>F</t>
  </si>
  <si>
    <t>PA</t>
  </si>
  <si>
    <t>G</t>
  </si>
  <si>
    <t>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</si>
</sst>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"/>
    <numFmt numFmtId="168" formatCode="0.00000"/>
    <numFmt numFmtId="169" formatCode="0.000000000000000"/>
  </numFmts>
  <fonts count="18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name val="Calibri"/>
    </font>
    <font>
      <sz val="12"/>
      <color rgb="FF000000"/>
      <name val="Times New Roman"/>
    </font>
    <font>
      <sz val="12"/>
      <name val="Times New Roman"/>
    </font>
    <font>
      <sz val="12"/>
      <name val="Times New Roman"/>
      <family val="1"/>
    </font>
    <font>
      <b/>
      <sz val="11"/>
      <color rgb="FF006100"/>
      <name val="Calibri"/>
    </font>
    <font>
      <sz val="11"/>
      <name val="Calibri"/>
      <family val="2"/>
    </font>
    <font>
      <sz val="1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</font>
    <font>
      <b/>
      <sz val="12"/>
      <name val="Times New Roman"/>
    </font>
    <font>
      <sz val="11"/>
      <name val="Calibri"/>
      <family val="2"/>
      <scheme val="minor"/>
    </font>
    <font>
      <b/>
      <sz val="11"/>
      <color rgb="FF3F3F3F"/>
      <name val="Calibri"/>
    </font>
    <font>
      <sz val="10"/>
      <name val="Calibri"/>
    </font>
    <font>
      <sz val="11"/>
      <color rgb="FF000000"/>
      <name val="Arial"/>
    </font>
    <font>
      <sz val="11"/>
      <color rgb="FF000000"/>
      <name val="Cambria Math"/>
    </font>
    <font>
      <sz val="11"/>
      <color rgb="FF0061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165" fontId="4" fillId="4" borderId="3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65" fontId="2" fillId="6" borderId="3" xfId="0" applyNumberFormat="1" applyFont="1" applyFill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5" fontId="1" fillId="0" borderId="3" xfId="0" applyNumberFormat="1" applyFont="1" applyBorder="1"/>
    <xf numFmtId="168" fontId="1" fillId="0" borderId="3" xfId="0" applyNumberFormat="1" applyFont="1" applyBorder="1"/>
    <xf numFmtId="0" fontId="2" fillId="0" borderId="2" xfId="0" applyFont="1" applyBorder="1"/>
    <xf numFmtId="2" fontId="1" fillId="0" borderId="13" xfId="0" applyNumberFormat="1" applyFont="1" applyBorder="1"/>
    <xf numFmtId="0" fontId="14" fillId="9" borderId="3" xfId="0" applyFont="1" applyFill="1" applyBorder="1" applyAlignment="1">
      <alignment horizontal="center" vertical="center"/>
    </xf>
    <xf numFmtId="169" fontId="1" fillId="0" borderId="3" xfId="0" applyNumberFormat="1" applyFont="1" applyBorder="1"/>
    <xf numFmtId="167" fontId="1" fillId="0" borderId="13" xfId="0" applyNumberFormat="1" applyFont="1" applyBorder="1"/>
    <xf numFmtId="0" fontId="7" fillId="0" borderId="2" xfId="0" applyFont="1" applyBorder="1"/>
    <xf numFmtId="0" fontId="2" fillId="0" borderId="0" xfId="0" applyFont="1" applyAlignment="1">
      <alignment horizontal="center"/>
    </xf>
    <xf numFmtId="0" fontId="7" fillId="0" borderId="4" xfId="0" applyFont="1" applyBorder="1"/>
    <xf numFmtId="165" fontId="1" fillId="0" borderId="7" xfId="0" applyNumberFormat="1" applyFont="1" applyBorder="1"/>
    <xf numFmtId="0" fontId="7" fillId="0" borderId="16" xfId="0" applyFont="1" applyBorder="1"/>
    <xf numFmtId="0" fontId="1" fillId="0" borderId="7" xfId="0" applyFont="1" applyBorder="1"/>
    <xf numFmtId="0" fontId="2" fillId="0" borderId="3" xfId="0" applyFont="1" applyBorder="1"/>
    <xf numFmtId="2" fontId="1" fillId="0" borderId="3" xfId="0" applyNumberFormat="1" applyFont="1" applyBorder="1"/>
    <xf numFmtId="165" fontId="1" fillId="0" borderId="0" xfId="0" applyNumberFormat="1" applyFont="1"/>
    <xf numFmtId="166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3" xfId="0" applyNumberFormat="1" applyFont="1" applyBorder="1"/>
    <xf numFmtId="0" fontId="15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65" fontId="2" fillId="0" borderId="0" xfId="0" applyNumberFormat="1" applyFont="1"/>
    <xf numFmtId="0" fontId="17" fillId="2" borderId="0" xfId="0" applyFont="1" applyFill="1"/>
    <xf numFmtId="0" fontId="2" fillId="6" borderId="1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165" fontId="2" fillId="8" borderId="15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4" fillId="0" borderId="8" xfId="0" applyFont="1" applyBorder="1" applyAlignment="1">
      <alignment horizontal="center" vertical="center"/>
    </xf>
    <xf numFmtId="0" fontId="2" fillId="0" borderId="9" xfId="0" applyFont="1" applyBorder="1"/>
    <xf numFmtId="0" fontId="4" fillId="0" borderId="6" xfId="0" quotePrefix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0" xfId="0" applyFont="1" applyBorder="1"/>
    <xf numFmtId="0" fontId="4" fillId="0" borderId="9" xfId="0" applyFont="1" applyBorder="1" applyAlignment="1">
      <alignment horizontal="center" vertical="center"/>
    </xf>
    <xf numFmtId="0" fontId="2" fillId="0" borderId="11" xfId="0" applyFont="1" applyBorder="1"/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6" fillId="2" borderId="9" xfId="0" applyFont="1" applyFill="1" applyBorder="1" applyAlignment="1">
      <alignment horizontal="center" vertical="center"/>
    </xf>
    <xf numFmtId="0" fontId="2" fillId="0" borderId="14" xfId="0" applyFont="1" applyBorder="1"/>
    <xf numFmtId="165" fontId="4" fillId="0" borderId="10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5" fontId="4" fillId="0" borderId="10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2" fillId="0" borderId="19" xfId="0" applyFont="1" applyBorder="1"/>
    <xf numFmtId="165" fontId="2" fillId="0" borderId="16" xfId="0" applyNumberFormat="1" applyFont="1" applyBorder="1"/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21" xfId="0" applyFont="1" applyBorder="1"/>
    <xf numFmtId="0" fontId="2" fillId="0" borderId="24" xfId="0" applyFont="1" applyBorder="1"/>
    <xf numFmtId="0" fontId="10" fillId="0" borderId="2" xfId="0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5" fontId="2" fillId="0" borderId="7" xfId="0" applyNumberFormat="1" applyFont="1" applyBorder="1"/>
    <xf numFmtId="0" fontId="13" fillId="7" borderId="22" xfId="0" applyFont="1" applyFill="1" applyBorder="1" applyAlignment="1">
      <alignment horizontal="center" vertical="center"/>
    </xf>
    <xf numFmtId="0" fontId="2" fillId="0" borderId="25" xfId="0" applyFont="1" applyBorder="1"/>
    <xf numFmtId="0" fontId="13" fillId="7" borderId="20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center" wrapText="1"/>
    </xf>
    <xf numFmtId="0" fontId="13" fillId="7" borderId="2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628650</xdr:colOff>
      <xdr:row>9</xdr:row>
      <xdr:rowOff>76200</xdr:rowOff>
    </xdr:from>
    <xdr:ext cx="0" cy="1714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C6811C-8BDF-49E6-B607-903C211D9606}"/>
            </a:ext>
          </a:extLst>
        </xdr:cNvPr>
        <xdr:cNvSpPr txBox="1"/>
      </xdr:nvSpPr>
      <xdr:spPr>
        <a:xfrm>
          <a:off x="5553075" y="1790700"/>
          <a:ext cx="0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JBL%20KEL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copi%20pjb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dolite"/>
      <sheetName val="KKH"/>
    </sheetNames>
    <sheetDataSet>
      <sheetData sheetId="0">
        <row r="4">
          <cell r="C4">
            <v>5</v>
          </cell>
        </row>
        <row r="7">
          <cell r="C7">
            <v>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dolite"/>
      <sheetName val="KKH"/>
    </sheetNames>
    <sheetDataSet>
      <sheetData sheetId="0">
        <row r="65">
          <cell r="V65">
            <v>54.935504634697885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7818-3981-491F-B969-6D0A8568FE9C}">
  <dimension ref="A1:AR114"/>
  <sheetViews>
    <sheetView tabSelected="1" topLeftCell="G11" zoomScale="34" zoomScaleNormal="58" workbookViewId="0">
      <selection activeCell="O40" sqref="O40"/>
    </sheetView>
  </sheetViews>
  <sheetFormatPr defaultColWidth="14.453125" defaultRowHeight="15" customHeight="1" x14ac:dyDescent="0.35"/>
  <cols>
    <col min="1" max="1" width="8.7265625" customWidth="1"/>
    <col min="2" max="2" width="9.26953125" customWidth="1"/>
    <col min="3" max="3" width="19.7265625" customWidth="1"/>
    <col min="4" max="4" width="8.7265625" customWidth="1"/>
    <col min="5" max="5" width="13.1796875" customWidth="1"/>
    <col min="6" max="6" width="15.1796875" customWidth="1"/>
    <col min="7" max="7" width="8.7265625" customWidth="1"/>
    <col min="8" max="8" width="15.54296875" customWidth="1"/>
    <col min="9" max="9" width="8.7265625" customWidth="1"/>
    <col min="10" max="10" width="12" customWidth="1"/>
    <col min="11" max="11" width="11.453125" customWidth="1"/>
    <col min="12" max="13" width="8.7265625" customWidth="1"/>
    <col min="14" max="14" width="17" customWidth="1"/>
    <col min="15" max="15" width="14.54296875" customWidth="1"/>
    <col min="16" max="16" width="12" customWidth="1"/>
    <col min="17" max="17" width="12.54296875" customWidth="1"/>
    <col min="18" max="18" width="12.7265625" customWidth="1"/>
    <col min="19" max="19" width="12" customWidth="1"/>
    <col min="20" max="20" width="12.26953125" customWidth="1"/>
    <col min="21" max="21" width="11.1796875" customWidth="1"/>
    <col min="22" max="22" width="13.453125" customWidth="1"/>
    <col min="23" max="23" width="9.54296875" customWidth="1"/>
    <col min="24" max="24" width="13.453125" customWidth="1"/>
    <col min="25" max="25" width="11.1796875" customWidth="1"/>
    <col min="26" max="26" width="20.81640625" customWidth="1"/>
    <col min="27" max="28" width="8.7265625" customWidth="1"/>
    <col min="29" max="29" width="12.54296875" customWidth="1"/>
    <col min="30" max="30" width="8.7265625" customWidth="1"/>
    <col min="31" max="32" width="10.1796875" customWidth="1"/>
    <col min="33" max="44" width="14.453125" customWidth="1"/>
  </cols>
  <sheetData>
    <row r="1" spans="1:44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4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5.5" x14ac:dyDescent="0.35">
      <c r="A3" s="1"/>
      <c r="B3" s="1"/>
      <c r="C3" s="2" t="s">
        <v>0</v>
      </c>
      <c r="D3" s="3"/>
      <c r="E3" s="3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5.5" x14ac:dyDescent="0.35">
      <c r="A4" s="1"/>
      <c r="B4" s="1"/>
      <c r="C4" s="99">
        <v>7</v>
      </c>
      <c r="D4" s="100"/>
      <c r="E4" s="102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5.5" x14ac:dyDescent="0.35">
      <c r="A5" s="1"/>
      <c r="B5" s="1"/>
      <c r="C5" s="101"/>
      <c r="D5" s="100"/>
      <c r="E5" s="10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5.5" x14ac:dyDescent="0.35">
      <c r="A6" s="1"/>
      <c r="B6" s="1"/>
      <c r="C6" s="2" t="s">
        <v>2</v>
      </c>
      <c r="D6" s="3"/>
      <c r="E6" s="3" t="s">
        <v>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5.5" x14ac:dyDescent="0.35">
      <c r="A7" s="1"/>
      <c r="B7" s="1"/>
      <c r="C7" s="104">
        <v>5</v>
      </c>
      <c r="D7" s="106" t="s">
        <v>4</v>
      </c>
      <c r="E7" s="107" t="s">
        <v>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ht="15.5" x14ac:dyDescent="0.35">
      <c r="A8" s="1"/>
      <c r="B8" s="1"/>
      <c r="C8" s="105"/>
      <c r="D8" s="103"/>
      <c r="E8" s="10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5" x14ac:dyDescent="0.35">
      <c r="A9" s="1"/>
      <c r="B9" s="1"/>
      <c r="C9" s="2" t="s">
        <v>6</v>
      </c>
      <c r="D9" s="3"/>
      <c r="E9" s="3" t="s"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1"/>
      <c r="AL9" s="1"/>
      <c r="AM9" s="1"/>
      <c r="AN9" s="1"/>
      <c r="AO9" s="1"/>
      <c r="AP9" s="1"/>
      <c r="AQ9" s="1"/>
      <c r="AR9" s="1"/>
    </row>
    <row r="10" spans="1:44" ht="15.5" x14ac:dyDescent="0.35">
      <c r="A10" s="1"/>
      <c r="B10" s="1"/>
      <c r="C10" s="104" t="s">
        <v>8</v>
      </c>
      <c r="D10" s="108"/>
      <c r="E10" s="107" t="s">
        <v>77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1"/>
      <c r="AL10" s="1"/>
      <c r="AM10" s="1"/>
      <c r="AN10" s="1"/>
      <c r="AO10" s="1"/>
      <c r="AP10" s="1"/>
      <c r="AQ10" s="1"/>
      <c r="AR10" s="1"/>
    </row>
    <row r="11" spans="1:44" ht="15.5" x14ac:dyDescent="0.35">
      <c r="A11" s="1"/>
      <c r="B11" s="1"/>
      <c r="C11" s="109" t="s">
        <v>9</v>
      </c>
      <c r="D11" s="110"/>
      <c r="E11" s="10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1"/>
      <c r="AL11" s="1"/>
      <c r="AM11" s="1"/>
      <c r="AN11" s="1"/>
      <c r="AO11" s="1"/>
      <c r="AP11" s="1"/>
      <c r="AQ11" s="1"/>
      <c r="AR11" s="1"/>
    </row>
    <row r="12" spans="1:44" ht="15" customHeight="1" x14ac:dyDescent="0.35">
      <c r="A12" s="1"/>
      <c r="B12" s="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1"/>
      <c r="AL12" s="1"/>
      <c r="AM12" s="1"/>
      <c r="AN12" s="1"/>
      <c r="AO12" s="1"/>
      <c r="AP12" s="1"/>
      <c r="AQ12" s="1"/>
      <c r="AR12" s="1"/>
    </row>
    <row r="13" spans="1:44" ht="15" customHeight="1" x14ac:dyDescent="0.35">
      <c r="A13" s="1"/>
      <c r="B13" s="1"/>
      <c r="C13" s="111" t="s">
        <v>10</v>
      </c>
      <c r="D13" s="108"/>
      <c r="E13" s="111" t="s">
        <v>11</v>
      </c>
      <c r="F13" s="108"/>
      <c r="G13" s="112" t="s">
        <v>12</v>
      </c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4"/>
      <c r="V13" s="112" t="s">
        <v>13</v>
      </c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4"/>
      <c r="AK13" s="1"/>
      <c r="AL13" s="1"/>
      <c r="AM13" s="1"/>
      <c r="AN13" s="1"/>
      <c r="AO13" s="1"/>
      <c r="AP13" s="1"/>
      <c r="AQ13" s="1"/>
      <c r="AR13" s="1"/>
    </row>
    <row r="14" spans="1:44" ht="14.5" x14ac:dyDescent="0.35">
      <c r="A14" s="1"/>
      <c r="B14" s="1"/>
      <c r="C14" s="105"/>
      <c r="D14" s="110"/>
      <c r="E14" s="105"/>
      <c r="F14" s="110"/>
      <c r="G14" s="115" t="s">
        <v>14</v>
      </c>
      <c r="H14" s="116"/>
      <c r="I14" s="116"/>
      <c r="J14" s="110"/>
      <c r="K14" s="115" t="s">
        <v>15</v>
      </c>
      <c r="L14" s="116"/>
      <c r="M14" s="116"/>
      <c r="N14" s="110"/>
      <c r="O14" s="115" t="s">
        <v>16</v>
      </c>
      <c r="P14" s="116"/>
      <c r="Q14" s="110"/>
      <c r="R14" s="115" t="s">
        <v>17</v>
      </c>
      <c r="S14" s="116"/>
      <c r="T14" s="115" t="s">
        <v>18</v>
      </c>
      <c r="U14" s="110"/>
      <c r="V14" s="112" t="s">
        <v>14</v>
      </c>
      <c r="W14" s="113"/>
      <c r="X14" s="113"/>
      <c r="Y14" s="114"/>
      <c r="Z14" s="112" t="s">
        <v>15</v>
      </c>
      <c r="AA14" s="113"/>
      <c r="AB14" s="113"/>
      <c r="AC14" s="114"/>
      <c r="AD14" s="112" t="s">
        <v>16</v>
      </c>
      <c r="AE14" s="113"/>
      <c r="AF14" s="114"/>
      <c r="AG14" s="112" t="s">
        <v>17</v>
      </c>
      <c r="AH14" s="114"/>
      <c r="AI14" s="112" t="s">
        <v>18</v>
      </c>
      <c r="AJ14" s="114"/>
      <c r="AK14" s="1"/>
      <c r="AL14" s="1"/>
      <c r="AM14" s="1"/>
      <c r="AN14" s="1"/>
      <c r="AO14" s="1"/>
      <c r="AP14" s="1"/>
      <c r="AQ14" s="1"/>
      <c r="AR14" s="1"/>
    </row>
    <row r="15" spans="1:44" ht="14.5" x14ac:dyDescent="0.35">
      <c r="A15" s="1"/>
      <c r="B15" s="1"/>
      <c r="C15" s="5" t="s">
        <v>19</v>
      </c>
      <c r="D15" s="5" t="s">
        <v>20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24</v>
      </c>
      <c r="J15" s="5" t="s">
        <v>25</v>
      </c>
      <c r="K15" s="5" t="s">
        <v>22</v>
      </c>
      <c r="L15" s="5" t="s">
        <v>26</v>
      </c>
      <c r="M15" s="5" t="s">
        <v>24</v>
      </c>
      <c r="N15" s="5" t="s">
        <v>25</v>
      </c>
      <c r="O15" s="6" t="s">
        <v>14</v>
      </c>
      <c r="P15" s="6" t="s">
        <v>15</v>
      </c>
      <c r="Q15" s="5" t="s">
        <v>27</v>
      </c>
      <c r="R15" s="5" t="s">
        <v>14</v>
      </c>
      <c r="S15" s="7" t="s">
        <v>15</v>
      </c>
      <c r="T15" s="5" t="s">
        <v>14</v>
      </c>
      <c r="U15" s="5" t="s">
        <v>15</v>
      </c>
      <c r="V15" s="8" t="s">
        <v>22</v>
      </c>
      <c r="W15" s="9" t="s">
        <v>23</v>
      </c>
      <c r="X15" s="9" t="s">
        <v>24</v>
      </c>
      <c r="Y15" s="9" t="s">
        <v>25</v>
      </c>
      <c r="Z15" s="9" t="s">
        <v>22</v>
      </c>
      <c r="AA15" s="9" t="s">
        <v>26</v>
      </c>
      <c r="AB15" s="9" t="s">
        <v>24</v>
      </c>
      <c r="AC15" s="9" t="s">
        <v>25</v>
      </c>
      <c r="AD15" s="9" t="s">
        <v>14</v>
      </c>
      <c r="AE15" s="9" t="s">
        <v>28</v>
      </c>
      <c r="AF15" s="10" t="s">
        <v>27</v>
      </c>
      <c r="AG15" s="9" t="s">
        <v>14</v>
      </c>
      <c r="AH15" s="9" t="s">
        <v>15</v>
      </c>
      <c r="AI15" s="9" t="s">
        <v>14</v>
      </c>
      <c r="AJ15" s="9" t="s">
        <v>15</v>
      </c>
      <c r="AK15" s="1"/>
      <c r="AL15" s="1"/>
      <c r="AM15" s="1"/>
      <c r="AN15" s="1"/>
      <c r="AO15" s="1"/>
      <c r="AP15" s="1"/>
      <c r="AQ15" s="1"/>
      <c r="AR15" s="1"/>
    </row>
    <row r="16" spans="1:44" s="21" customFormat="1" ht="15.5" x14ac:dyDescent="0.35">
      <c r="A16" s="11"/>
      <c r="B16" s="11"/>
      <c r="C16" s="12">
        <v>1.4910000000000001</v>
      </c>
      <c r="D16" s="13" t="s">
        <v>29</v>
      </c>
      <c r="E16" s="14" t="s">
        <v>30</v>
      </c>
      <c r="F16" s="13"/>
      <c r="G16" s="15">
        <v>319</v>
      </c>
      <c r="H16" s="15">
        <v>46</v>
      </c>
      <c r="I16" s="15">
        <v>55</v>
      </c>
      <c r="J16" s="16">
        <f>G16+(H16/60)+(I16/3600)</f>
        <v>319.78194444444443</v>
      </c>
      <c r="K16" s="15">
        <v>139</v>
      </c>
      <c r="L16" s="15">
        <v>46</v>
      </c>
      <c r="M16" s="15">
        <v>54</v>
      </c>
      <c r="N16" s="17">
        <f t="shared" ref="N16:N43" si="0">K16+(L16/60)+(M16/3600)</f>
        <v>139.78166666666667</v>
      </c>
      <c r="O16" s="16">
        <f>MOD((J16-J17),360)</f>
        <v>49.45999999999998</v>
      </c>
      <c r="P16" s="16">
        <f>MOD((N16-N17),360)</f>
        <v>49.459444444444443</v>
      </c>
      <c r="Q16" s="117">
        <f>AVERAGE(O16:P19)</f>
        <v>49.459791666666661</v>
      </c>
      <c r="R16" s="118">
        <f>Q16-O16</f>
        <v>-2.08333333318933E-4</v>
      </c>
      <c r="S16" s="118">
        <f>Q16-P16</f>
        <v>3.4722222221716947E-4</v>
      </c>
      <c r="T16" s="18">
        <f>R16*3600</f>
        <v>-0.7499999999481588</v>
      </c>
      <c r="U16" s="18">
        <f t="shared" ref="U16" si="1">S16*3600</f>
        <v>1.2499999999818101</v>
      </c>
      <c r="V16" s="19">
        <v>89</v>
      </c>
      <c r="W16" s="19">
        <v>27</v>
      </c>
      <c r="X16" s="19">
        <v>23</v>
      </c>
      <c r="Y16" s="16">
        <f>V16+(W16/60)+(X16/3600)</f>
        <v>89.456388888888895</v>
      </c>
      <c r="Z16" s="19">
        <v>270</v>
      </c>
      <c r="AA16" s="19">
        <v>32</v>
      </c>
      <c r="AB16" s="19">
        <v>37</v>
      </c>
      <c r="AC16" s="16">
        <f t="shared" ref="AC16:AC43" si="2">Z16+(AA16/60)+(AB16/3600)</f>
        <v>270.54361111111115</v>
      </c>
      <c r="AD16" s="118">
        <f>Y16-Y17</f>
        <v>5.8055555555554861E-2</v>
      </c>
      <c r="AE16" s="118">
        <f>AC17-AC16</f>
        <v>5.805555555554065E-2</v>
      </c>
      <c r="AF16" s="118">
        <f>AVERAGE(AD16:AE19)</f>
        <v>5.8749999999999858E-2</v>
      </c>
      <c r="AG16" s="118">
        <f>AF16-AD16</f>
        <v>6.9444444444499709E-4</v>
      </c>
      <c r="AH16" s="120">
        <f>AF16-AE16</f>
        <v>6.9444444445920794E-4</v>
      </c>
      <c r="AI16" s="121">
        <f t="shared" ref="AI16:AJ16" si="3">AG16*3600</f>
        <v>2.5000000000019895</v>
      </c>
      <c r="AJ16" s="121">
        <f t="shared" si="3"/>
        <v>2.5000000000531486</v>
      </c>
      <c r="AK16" s="20"/>
      <c r="AL16" s="11"/>
      <c r="AM16" s="11"/>
      <c r="AN16" s="11"/>
      <c r="AO16" s="11"/>
      <c r="AP16" s="11"/>
      <c r="AQ16" s="11"/>
      <c r="AR16" s="11"/>
    </row>
    <row r="17" spans="1:44" ht="15.5" x14ac:dyDescent="0.35">
      <c r="A17" s="1"/>
      <c r="B17" s="1"/>
      <c r="C17" s="22"/>
      <c r="D17" s="22"/>
      <c r="E17" s="23" t="s">
        <v>31</v>
      </c>
      <c r="F17" s="22"/>
      <c r="G17" s="24">
        <v>270</v>
      </c>
      <c r="H17" s="24">
        <v>19</v>
      </c>
      <c r="I17" s="24">
        <v>19</v>
      </c>
      <c r="J17" s="25">
        <f t="shared" ref="J17:J43" si="4">G17+(H17/60)+(I17/3600)</f>
        <v>270.32194444444445</v>
      </c>
      <c r="K17" s="24">
        <v>90</v>
      </c>
      <c r="L17" s="24">
        <v>19</v>
      </c>
      <c r="M17" s="24">
        <v>20</v>
      </c>
      <c r="N17" s="26">
        <f t="shared" si="0"/>
        <v>90.322222222222223</v>
      </c>
      <c r="O17" s="25"/>
      <c r="P17" s="25" t="s">
        <v>32</v>
      </c>
      <c r="Q17" s="100"/>
      <c r="R17" s="103"/>
      <c r="S17" s="103"/>
      <c r="T17" s="27"/>
      <c r="U17" s="27"/>
      <c r="V17" s="28">
        <v>89</v>
      </c>
      <c r="W17" s="28">
        <v>23</v>
      </c>
      <c r="X17" s="28">
        <v>54</v>
      </c>
      <c r="Y17" s="29">
        <f t="shared" ref="Y17:Y43" si="5">V17+(W17/60)+(X17/3600)</f>
        <v>89.398333333333341</v>
      </c>
      <c r="Z17" s="28">
        <v>270</v>
      </c>
      <c r="AA17" s="28">
        <v>36</v>
      </c>
      <c r="AB17" s="28">
        <v>6</v>
      </c>
      <c r="AC17" s="25">
        <f t="shared" si="2"/>
        <v>270.60166666666669</v>
      </c>
      <c r="AD17" s="103"/>
      <c r="AE17" s="103"/>
      <c r="AF17" s="119"/>
      <c r="AG17" s="103"/>
      <c r="AH17" s="103"/>
      <c r="AI17" s="103"/>
      <c r="AJ17" s="103"/>
      <c r="AK17" s="30"/>
      <c r="AL17" s="1"/>
      <c r="AM17" s="1"/>
      <c r="AN17" s="1"/>
      <c r="AO17" s="1"/>
      <c r="AP17" s="1"/>
      <c r="AQ17" s="1"/>
      <c r="AR17" s="1"/>
    </row>
    <row r="18" spans="1:44" ht="15.5" x14ac:dyDescent="0.35">
      <c r="A18" s="1"/>
      <c r="B18" s="1"/>
      <c r="C18" s="22"/>
      <c r="D18" s="22"/>
      <c r="E18" s="23" t="s">
        <v>30</v>
      </c>
      <c r="F18" s="22"/>
      <c r="G18" s="24">
        <v>319</v>
      </c>
      <c r="H18" s="24">
        <v>46</v>
      </c>
      <c r="I18" s="24">
        <v>54</v>
      </c>
      <c r="J18" s="25">
        <f t="shared" si="4"/>
        <v>319.78166666666664</v>
      </c>
      <c r="K18" s="24">
        <v>139</v>
      </c>
      <c r="L18" s="24">
        <v>46</v>
      </c>
      <c r="M18" s="24">
        <v>55</v>
      </c>
      <c r="N18" s="26">
        <f t="shared" si="0"/>
        <v>139.78194444444446</v>
      </c>
      <c r="O18" s="25">
        <f>MOD((J18-J19),360)</f>
        <v>49.459722222222183</v>
      </c>
      <c r="P18" s="25">
        <f>MOD((N18-N19),360)</f>
        <v>49.460000000000022</v>
      </c>
      <c r="Q18" s="100"/>
      <c r="R18" s="118">
        <f>Q16-O18</f>
        <v>6.9444444477539946E-5</v>
      </c>
      <c r="S18" s="118">
        <f>Q16-P18</f>
        <v>-2.0833333336156556E-4</v>
      </c>
      <c r="T18" s="27">
        <f t="shared" ref="T18:U18" si="6">R18*3600</f>
        <v>0.25000000011914381</v>
      </c>
      <c r="U18" s="27">
        <f t="shared" si="6"/>
        <v>-0.75000000010163603</v>
      </c>
      <c r="V18" s="28">
        <v>89</v>
      </c>
      <c r="W18" s="28">
        <v>27</v>
      </c>
      <c r="X18" s="28">
        <v>25</v>
      </c>
      <c r="Y18" s="29">
        <f t="shared" si="5"/>
        <v>89.456944444444446</v>
      </c>
      <c r="Z18" s="28">
        <v>270</v>
      </c>
      <c r="AA18" s="28">
        <v>32</v>
      </c>
      <c r="AB18" s="28">
        <v>35</v>
      </c>
      <c r="AC18" s="25">
        <f t="shared" si="2"/>
        <v>270.54305555555555</v>
      </c>
      <c r="AD18" s="118">
        <f>Y18-Y19</f>
        <v>5.944444444443775E-2</v>
      </c>
      <c r="AE18" s="118">
        <f>AC19-AC18</f>
        <v>5.9444444444466171E-2</v>
      </c>
      <c r="AF18" s="119"/>
      <c r="AG18" s="118">
        <f>AF16-AD18</f>
        <v>-6.9444444443789166E-4</v>
      </c>
      <c r="AH18" s="120">
        <f>AF16-AE18</f>
        <v>-6.9444444446631337E-4</v>
      </c>
      <c r="AI18" s="121">
        <f t="shared" ref="AI18:AJ18" si="7">AG18*3600</f>
        <v>-2.49999999997641</v>
      </c>
      <c r="AJ18" s="121">
        <f t="shared" si="7"/>
        <v>-2.5000000000787281</v>
      </c>
      <c r="AK18" s="30"/>
      <c r="AL18" s="1"/>
      <c r="AM18" s="1"/>
      <c r="AN18" s="1"/>
      <c r="AO18" s="1"/>
      <c r="AP18" s="1"/>
      <c r="AQ18" s="1"/>
      <c r="AR18" s="1"/>
    </row>
    <row r="19" spans="1:44" ht="15.5" x14ac:dyDescent="0.35">
      <c r="A19" s="1"/>
      <c r="B19" s="1"/>
      <c r="C19" s="22"/>
      <c r="D19" s="22"/>
      <c r="E19" s="23" t="s">
        <v>31</v>
      </c>
      <c r="F19" s="22"/>
      <c r="G19" s="24">
        <v>270</v>
      </c>
      <c r="H19" s="24">
        <v>19</v>
      </c>
      <c r="I19" s="24">
        <v>19</v>
      </c>
      <c r="J19" s="25">
        <f t="shared" si="4"/>
        <v>270.32194444444445</v>
      </c>
      <c r="K19" s="24">
        <v>90</v>
      </c>
      <c r="L19" s="24">
        <v>19</v>
      </c>
      <c r="M19" s="24">
        <v>19</v>
      </c>
      <c r="N19" s="26">
        <f t="shared" si="0"/>
        <v>90.321944444444441</v>
      </c>
      <c r="O19" s="27"/>
      <c r="P19" s="27"/>
      <c r="Q19" s="110"/>
      <c r="R19" s="103"/>
      <c r="S19" s="103"/>
      <c r="T19" s="27"/>
      <c r="U19" s="27"/>
      <c r="V19" s="28">
        <v>89</v>
      </c>
      <c r="W19" s="28">
        <v>23</v>
      </c>
      <c r="X19" s="28">
        <v>51</v>
      </c>
      <c r="Y19" s="29">
        <f t="shared" si="5"/>
        <v>89.397500000000008</v>
      </c>
      <c r="Z19" s="28">
        <v>270</v>
      </c>
      <c r="AA19" s="28">
        <v>36</v>
      </c>
      <c r="AB19" s="28">
        <v>9</v>
      </c>
      <c r="AC19" s="25">
        <f t="shared" si="2"/>
        <v>270.60250000000002</v>
      </c>
      <c r="AD19" s="103"/>
      <c r="AE19" s="103"/>
      <c r="AF19" s="103"/>
      <c r="AG19" s="103"/>
      <c r="AH19" s="103"/>
      <c r="AI19" s="103"/>
      <c r="AJ19" s="103"/>
      <c r="AK19" s="30"/>
      <c r="AL19" s="1"/>
      <c r="AM19" s="1"/>
      <c r="AN19" s="1"/>
      <c r="AO19" s="1"/>
      <c r="AP19" s="1"/>
      <c r="AQ19" s="1"/>
      <c r="AR19" s="1"/>
    </row>
    <row r="20" spans="1:44" s="21" customFormat="1" ht="15.5" x14ac:dyDescent="0.35">
      <c r="A20" s="11"/>
      <c r="B20" s="11"/>
      <c r="C20" s="16">
        <v>1.522</v>
      </c>
      <c r="D20" s="13" t="s">
        <v>31</v>
      </c>
      <c r="E20" s="14" t="s">
        <v>29</v>
      </c>
      <c r="F20" s="13"/>
      <c r="G20" s="15">
        <v>131</v>
      </c>
      <c r="H20" s="15">
        <v>41</v>
      </c>
      <c r="I20" s="15">
        <v>3</v>
      </c>
      <c r="J20" s="16">
        <f t="shared" si="4"/>
        <v>131.68416666666667</v>
      </c>
      <c r="K20" s="15">
        <v>311</v>
      </c>
      <c r="L20" s="15">
        <v>41</v>
      </c>
      <c r="M20" s="15">
        <v>1</v>
      </c>
      <c r="N20" s="17">
        <f t="shared" si="0"/>
        <v>311.68361111111113</v>
      </c>
      <c r="O20" s="16">
        <f>MOD((J20-J21),360)</f>
        <v>178.48083333333335</v>
      </c>
      <c r="P20" s="16">
        <f>MOD((N20-N21),360)</f>
        <v>178.48027777777781</v>
      </c>
      <c r="Q20" s="122">
        <f>AVERAGE(O20:P22)</f>
        <v>178.48062500000003</v>
      </c>
      <c r="R20" s="118">
        <f>Q20-O20</f>
        <v>-2.08333333318933E-4</v>
      </c>
      <c r="S20" s="118">
        <f>Q20-P20</f>
        <v>3.4722222221716947E-4</v>
      </c>
      <c r="T20" s="18">
        <f t="shared" ref="T20" si="8">R20*3600</f>
        <v>-0.7499999999481588</v>
      </c>
      <c r="U20" s="18">
        <f>S20*3600</f>
        <v>1.2499999999818101</v>
      </c>
      <c r="V20" s="19">
        <v>89</v>
      </c>
      <c r="W20" s="19">
        <v>23</v>
      </c>
      <c r="X20" s="19">
        <v>52</v>
      </c>
      <c r="Y20" s="16">
        <f t="shared" si="5"/>
        <v>89.39777777777779</v>
      </c>
      <c r="Z20" s="19">
        <v>270</v>
      </c>
      <c r="AA20" s="19">
        <v>36</v>
      </c>
      <c r="AB20" s="19">
        <v>8</v>
      </c>
      <c r="AC20" s="16">
        <f t="shared" si="2"/>
        <v>270.60222222222222</v>
      </c>
      <c r="AD20" s="118">
        <f>Y20-Y21</f>
        <v>1.2713888888889073</v>
      </c>
      <c r="AE20" s="118">
        <f>AC21-AC20</f>
        <v>1.2713888888889073</v>
      </c>
      <c r="AF20" s="118">
        <f>AVERAGE(AD20:AE23)</f>
        <v>1.2708333333333321</v>
      </c>
      <c r="AG20" s="118">
        <f>AF20-AD20</f>
        <v>-5.5555555557518232E-4</v>
      </c>
      <c r="AH20" s="120">
        <f>AF20-AE20</f>
        <v>-5.5555555557518232E-4</v>
      </c>
      <c r="AI20" s="121">
        <f t="shared" ref="AI20:AJ20" si="9">AG20*3600</f>
        <v>-2.0000000000706564</v>
      </c>
      <c r="AJ20" s="121">
        <f t="shared" si="9"/>
        <v>-2.0000000000706564</v>
      </c>
      <c r="AK20" s="20"/>
      <c r="AL20" s="11"/>
      <c r="AM20" s="11"/>
      <c r="AN20" s="11"/>
      <c r="AO20" s="11"/>
      <c r="AP20" s="11"/>
      <c r="AQ20" s="11"/>
      <c r="AR20" s="11"/>
    </row>
    <row r="21" spans="1:44" ht="15.75" customHeight="1" x14ac:dyDescent="0.35">
      <c r="A21" s="1"/>
      <c r="B21" s="1"/>
      <c r="C21" s="22"/>
      <c r="D21" s="22"/>
      <c r="E21" s="23" t="s">
        <v>33</v>
      </c>
      <c r="F21" s="22"/>
      <c r="G21" s="24">
        <v>313</v>
      </c>
      <c r="H21" s="24">
        <v>12</v>
      </c>
      <c r="I21" s="24">
        <v>12</v>
      </c>
      <c r="J21" s="25">
        <f t="shared" si="4"/>
        <v>313.20333333333332</v>
      </c>
      <c r="K21" s="24">
        <v>133</v>
      </c>
      <c r="L21" s="24">
        <v>12</v>
      </c>
      <c r="M21" s="24">
        <v>12</v>
      </c>
      <c r="N21" s="26">
        <f t="shared" si="0"/>
        <v>133.20333333333332</v>
      </c>
      <c r="O21" s="27"/>
      <c r="P21" s="27"/>
      <c r="Q21" s="100"/>
      <c r="R21" s="103"/>
      <c r="S21" s="103"/>
      <c r="T21" s="27"/>
      <c r="U21" s="27"/>
      <c r="V21" s="28">
        <v>88</v>
      </c>
      <c r="W21" s="28">
        <v>7</v>
      </c>
      <c r="X21" s="28">
        <v>35</v>
      </c>
      <c r="Y21" s="29">
        <f t="shared" si="5"/>
        <v>88.126388888888883</v>
      </c>
      <c r="Z21" s="28">
        <v>271</v>
      </c>
      <c r="AA21" s="28">
        <v>52</v>
      </c>
      <c r="AB21" s="28">
        <v>25</v>
      </c>
      <c r="AC21" s="25">
        <f t="shared" si="2"/>
        <v>271.87361111111113</v>
      </c>
      <c r="AD21" s="103"/>
      <c r="AE21" s="103"/>
      <c r="AF21" s="119"/>
      <c r="AG21" s="103"/>
      <c r="AH21" s="103"/>
      <c r="AI21" s="103"/>
      <c r="AJ21" s="103"/>
      <c r="AK21" s="30"/>
      <c r="AL21" s="1"/>
      <c r="AM21" s="1"/>
      <c r="AN21" s="1"/>
      <c r="AO21" s="1"/>
      <c r="AP21" s="1"/>
      <c r="AQ21" s="1"/>
      <c r="AR21" s="1"/>
    </row>
    <row r="22" spans="1:44" ht="15.75" customHeight="1" x14ac:dyDescent="0.35">
      <c r="A22" s="1"/>
      <c r="B22" s="1"/>
      <c r="C22" s="22"/>
      <c r="D22" s="22"/>
      <c r="E22" s="23" t="s">
        <v>29</v>
      </c>
      <c r="F22" s="22"/>
      <c r="G22" s="24">
        <v>131</v>
      </c>
      <c r="H22" s="24">
        <v>41</v>
      </c>
      <c r="I22" s="24">
        <v>3</v>
      </c>
      <c r="J22" s="25">
        <f t="shared" si="4"/>
        <v>131.68416666666667</v>
      </c>
      <c r="K22" s="24">
        <v>311</v>
      </c>
      <c r="L22" s="24">
        <v>41</v>
      </c>
      <c r="M22" s="24">
        <v>2</v>
      </c>
      <c r="N22" s="26">
        <f t="shared" si="0"/>
        <v>311.68388888888887</v>
      </c>
      <c r="O22" s="25">
        <f>MOD((J22-J23),360)</f>
        <v>178.48083333333335</v>
      </c>
      <c r="P22" s="25">
        <f>MOD((N22-N23),360)</f>
        <v>178.48055555555555</v>
      </c>
      <c r="Q22" s="100"/>
      <c r="R22" s="118">
        <f>Q20-O22</f>
        <v>-2.08333333318933E-4</v>
      </c>
      <c r="S22" s="118">
        <f>Q20-P22</f>
        <v>6.9444444477539946E-5</v>
      </c>
      <c r="T22" s="27">
        <f t="shared" ref="T22:U22" si="10">R22*3600</f>
        <v>-0.7499999999481588</v>
      </c>
      <c r="U22" s="27">
        <f t="shared" si="10"/>
        <v>0.25000000011914381</v>
      </c>
      <c r="V22" s="28">
        <v>89</v>
      </c>
      <c r="W22" s="28">
        <v>23</v>
      </c>
      <c r="X22" s="28">
        <v>50</v>
      </c>
      <c r="Y22" s="29">
        <f t="shared" si="5"/>
        <v>89.397222222222226</v>
      </c>
      <c r="Z22" s="28">
        <v>270</v>
      </c>
      <c r="AA22" s="28">
        <v>36</v>
      </c>
      <c r="AB22" s="28">
        <v>10</v>
      </c>
      <c r="AC22" s="25">
        <f t="shared" si="2"/>
        <v>270.60277777777782</v>
      </c>
      <c r="AD22" s="118">
        <f>Y22-Y23</f>
        <v>1.2702777777777925</v>
      </c>
      <c r="AE22" s="118">
        <f>AC23-AC22</f>
        <v>1.2702777777777214</v>
      </c>
      <c r="AF22" s="119"/>
      <c r="AG22" s="118">
        <f>AF20-AD22</f>
        <v>5.5555555553965519E-4</v>
      </c>
      <c r="AH22" s="120">
        <f>AF20-AE22</f>
        <v>5.5555555561070946E-4</v>
      </c>
      <c r="AI22" s="121">
        <f>AG22*3600</f>
        <v>1.9999999999427587</v>
      </c>
      <c r="AJ22" s="121">
        <f>AH22*3600</f>
        <v>2.0000000001985541</v>
      </c>
      <c r="AK22" s="30"/>
      <c r="AL22" s="1"/>
      <c r="AM22" s="1"/>
      <c r="AN22" s="1"/>
      <c r="AO22" s="1"/>
      <c r="AP22" s="1"/>
      <c r="AQ22" s="1"/>
      <c r="AR22" s="1"/>
    </row>
    <row r="23" spans="1:44" ht="15.75" customHeight="1" x14ac:dyDescent="0.35">
      <c r="A23" s="1"/>
      <c r="B23" s="1"/>
      <c r="C23" s="22"/>
      <c r="D23" s="22"/>
      <c r="E23" s="23" t="s">
        <v>33</v>
      </c>
      <c r="F23" s="22"/>
      <c r="G23" s="24">
        <v>313</v>
      </c>
      <c r="H23" s="24">
        <v>12</v>
      </c>
      <c r="I23" s="24">
        <v>12</v>
      </c>
      <c r="J23" s="25">
        <f t="shared" si="4"/>
        <v>313.20333333333332</v>
      </c>
      <c r="K23" s="24">
        <v>133</v>
      </c>
      <c r="L23" s="24">
        <v>12</v>
      </c>
      <c r="M23" s="24">
        <v>12</v>
      </c>
      <c r="N23" s="26">
        <f t="shared" si="0"/>
        <v>133.20333333333332</v>
      </c>
      <c r="O23" s="25"/>
      <c r="P23" s="25"/>
      <c r="Q23" s="110"/>
      <c r="R23" s="103"/>
      <c r="S23" s="103"/>
      <c r="T23" s="27"/>
      <c r="U23" s="27"/>
      <c r="V23" s="28">
        <v>88</v>
      </c>
      <c r="W23" s="28">
        <v>7</v>
      </c>
      <c r="X23" s="28">
        <v>37</v>
      </c>
      <c r="Y23" s="29">
        <f t="shared" si="5"/>
        <v>88.126944444444433</v>
      </c>
      <c r="Z23" s="28">
        <v>271</v>
      </c>
      <c r="AA23" s="28">
        <v>52</v>
      </c>
      <c r="AB23" s="28">
        <v>23</v>
      </c>
      <c r="AC23" s="25">
        <f t="shared" si="2"/>
        <v>271.87305555555554</v>
      </c>
      <c r="AD23" s="103"/>
      <c r="AE23" s="103"/>
      <c r="AF23" s="103"/>
      <c r="AG23" s="103"/>
      <c r="AH23" s="103"/>
      <c r="AI23" s="103"/>
      <c r="AJ23" s="103"/>
      <c r="AK23" s="30"/>
      <c r="AL23" s="1"/>
      <c r="AM23" s="1"/>
      <c r="AN23" s="1"/>
      <c r="AO23" s="1"/>
      <c r="AP23" s="1"/>
      <c r="AQ23" s="1"/>
      <c r="AR23" s="1"/>
    </row>
    <row r="24" spans="1:44" s="21" customFormat="1" ht="15.75" customHeight="1" x14ac:dyDescent="0.35">
      <c r="A24" s="11"/>
      <c r="B24" s="11"/>
      <c r="C24" s="13">
        <v>1.611</v>
      </c>
      <c r="D24" s="13" t="s">
        <v>33</v>
      </c>
      <c r="E24" s="14" t="s">
        <v>31</v>
      </c>
      <c r="F24" s="13"/>
      <c r="G24" s="15">
        <v>0</v>
      </c>
      <c r="H24" s="15">
        <v>13</v>
      </c>
      <c r="I24" s="15">
        <v>37</v>
      </c>
      <c r="J24" s="16">
        <f t="shared" si="4"/>
        <v>0.22694444444444445</v>
      </c>
      <c r="K24" s="15">
        <v>180</v>
      </c>
      <c r="L24" s="15">
        <v>13</v>
      </c>
      <c r="M24" s="15">
        <v>38</v>
      </c>
      <c r="N24" s="17">
        <f t="shared" si="0"/>
        <v>180.22722222222222</v>
      </c>
      <c r="O24" s="25">
        <f t="shared" ref="O24:O42" si="11">MOD((J24-J25),360)</f>
        <v>174.56972222222223</v>
      </c>
      <c r="P24" s="25">
        <f t="shared" ref="P24:P42" si="12">MOD((N24-N25),360)</f>
        <v>174.57027777777779</v>
      </c>
      <c r="Q24" s="122">
        <f>AVERAGE(O24:P26)</f>
        <v>174.56986111111109</v>
      </c>
      <c r="R24" s="118">
        <f>Q24-O24</f>
        <v>1.3888888886981476E-4</v>
      </c>
      <c r="S24" s="118">
        <f>Q24-P24</f>
        <v>-4.1666666669470942E-4</v>
      </c>
      <c r="T24" s="18">
        <f t="shared" ref="T24" si="13">R24*3600</f>
        <v>0.49999999993133315</v>
      </c>
      <c r="U24" s="18">
        <f>S24*3600</f>
        <v>-1.5000000001009539</v>
      </c>
      <c r="V24" s="19">
        <v>88</v>
      </c>
      <c r="W24" s="19">
        <v>7</v>
      </c>
      <c r="X24" s="19">
        <v>39</v>
      </c>
      <c r="Y24" s="16">
        <f t="shared" si="5"/>
        <v>88.127499999999998</v>
      </c>
      <c r="Z24" s="31">
        <v>271</v>
      </c>
      <c r="AA24" s="19">
        <v>52</v>
      </c>
      <c r="AB24" s="31">
        <v>21</v>
      </c>
      <c r="AC24" s="16">
        <f t="shared" si="2"/>
        <v>271.8725</v>
      </c>
      <c r="AD24" s="118">
        <f>Y24-Y25</f>
        <v>-0.18222222222222229</v>
      </c>
      <c r="AE24" s="118">
        <f>AC25-AC24</f>
        <v>-0.18222222222220807</v>
      </c>
      <c r="AF24" s="118">
        <f>AVERAGE(AD24:AE27)</f>
        <v>-0.18208333333333826</v>
      </c>
      <c r="AG24" s="118">
        <f>AF24-AD24</f>
        <v>1.3888888888402562E-4</v>
      </c>
      <c r="AH24" s="120">
        <f>AF24-AE24</f>
        <v>1.3888888886981476E-4</v>
      </c>
      <c r="AI24" s="121">
        <f t="shared" ref="AI24" si="14">AG24*3600</f>
        <v>0.49999999998249223</v>
      </c>
      <c r="AJ24" s="121">
        <f>AH24*3600</f>
        <v>0.49999999993133315</v>
      </c>
      <c r="AK24" s="20"/>
      <c r="AL24" s="11"/>
      <c r="AM24" s="11"/>
      <c r="AN24" s="11"/>
      <c r="AO24" s="11"/>
      <c r="AP24" s="11"/>
      <c r="AQ24" s="11"/>
      <c r="AR24" s="11"/>
    </row>
    <row r="25" spans="1:44" ht="15.75" customHeight="1" x14ac:dyDescent="0.35">
      <c r="A25" s="1"/>
      <c r="B25" s="1"/>
      <c r="C25" s="22"/>
      <c r="D25" s="22"/>
      <c r="E25" s="23" t="s">
        <v>34</v>
      </c>
      <c r="F25" s="22"/>
      <c r="G25" s="24">
        <v>185</v>
      </c>
      <c r="H25" s="24">
        <v>39</v>
      </c>
      <c r="I25" s="24">
        <v>26</v>
      </c>
      <c r="J25" s="25">
        <f t="shared" si="4"/>
        <v>185.65722222222223</v>
      </c>
      <c r="K25" s="24">
        <v>5</v>
      </c>
      <c r="L25" s="24">
        <v>39</v>
      </c>
      <c r="M25" s="24">
        <v>25</v>
      </c>
      <c r="N25" s="26">
        <f t="shared" si="0"/>
        <v>5.656944444444445</v>
      </c>
      <c r="O25" s="25"/>
      <c r="P25" s="25"/>
      <c r="Q25" s="100"/>
      <c r="R25" s="103"/>
      <c r="S25" s="103"/>
      <c r="T25" s="27"/>
      <c r="U25" s="27"/>
      <c r="V25" s="28">
        <v>88</v>
      </c>
      <c r="W25" s="28">
        <v>18</v>
      </c>
      <c r="X25" s="28">
        <v>35</v>
      </c>
      <c r="Y25" s="29">
        <f t="shared" si="5"/>
        <v>88.30972222222222</v>
      </c>
      <c r="Z25" s="32">
        <v>271</v>
      </c>
      <c r="AA25" s="28">
        <v>41</v>
      </c>
      <c r="AB25" s="32">
        <v>25</v>
      </c>
      <c r="AC25" s="25">
        <f t="shared" si="2"/>
        <v>271.69027777777779</v>
      </c>
      <c r="AD25" s="103"/>
      <c r="AE25" s="103"/>
      <c r="AF25" s="119"/>
      <c r="AG25" s="103"/>
      <c r="AH25" s="103"/>
      <c r="AI25" s="103"/>
      <c r="AJ25" s="103"/>
      <c r="AK25" s="30"/>
      <c r="AL25" s="1"/>
      <c r="AM25" s="1"/>
      <c r="AN25" s="1"/>
      <c r="AO25" s="1"/>
      <c r="AP25" s="1"/>
      <c r="AQ25" s="1"/>
      <c r="AR25" s="1"/>
    </row>
    <row r="26" spans="1:44" ht="15.75" customHeight="1" x14ac:dyDescent="0.35">
      <c r="A26" s="1"/>
      <c r="B26" s="1"/>
      <c r="C26" s="22"/>
      <c r="D26" s="22"/>
      <c r="E26" s="23" t="s">
        <v>31</v>
      </c>
      <c r="F26" s="22"/>
      <c r="G26" s="24">
        <v>0</v>
      </c>
      <c r="H26" s="24">
        <v>13</v>
      </c>
      <c r="I26" s="24">
        <v>37</v>
      </c>
      <c r="J26" s="25">
        <f t="shared" si="4"/>
        <v>0.22694444444444445</v>
      </c>
      <c r="K26" s="24">
        <v>180</v>
      </c>
      <c r="L26" s="24">
        <v>13</v>
      </c>
      <c r="M26" s="24">
        <v>38</v>
      </c>
      <c r="N26" s="26">
        <f t="shared" si="0"/>
        <v>180.22722222222222</v>
      </c>
      <c r="O26" s="25">
        <f t="shared" si="11"/>
        <v>174.56944444444446</v>
      </c>
      <c r="P26" s="25">
        <f t="shared" si="12"/>
        <v>174.57</v>
      </c>
      <c r="Q26" s="100"/>
      <c r="R26" s="118">
        <f>Q24-O26</f>
        <v>4.16666666637866E-4</v>
      </c>
      <c r="S26" s="118">
        <f>Q24-P26</f>
        <v>-1.3888888889823647E-4</v>
      </c>
      <c r="T26" s="27">
        <f t="shared" ref="T26:U26" si="15">R26*3600</f>
        <v>1.4999999998963176</v>
      </c>
      <c r="U26" s="27">
        <f t="shared" si="15"/>
        <v>-0.5000000000336513</v>
      </c>
      <c r="V26" s="28">
        <v>88</v>
      </c>
      <c r="W26" s="28">
        <v>7</v>
      </c>
      <c r="X26" s="28">
        <v>35</v>
      </c>
      <c r="Y26" s="29">
        <f t="shared" si="5"/>
        <v>88.126388888888883</v>
      </c>
      <c r="Z26" s="32">
        <v>271</v>
      </c>
      <c r="AA26" s="28">
        <v>52</v>
      </c>
      <c r="AB26" s="32">
        <v>25</v>
      </c>
      <c r="AC26" s="25">
        <f t="shared" si="2"/>
        <v>271.87361111111113</v>
      </c>
      <c r="AD26" s="118">
        <f>Y26-Y27</f>
        <v>-0.18194444444445423</v>
      </c>
      <c r="AE26" s="118">
        <f>AC27-AC26</f>
        <v>-0.18194444444446844</v>
      </c>
      <c r="AF26" s="119"/>
      <c r="AG26" s="118">
        <f>AF24-AD26</f>
        <v>-1.3888888888402562E-4</v>
      </c>
      <c r="AH26" s="120">
        <f>AF24-AE26</f>
        <v>-1.3888888886981476E-4</v>
      </c>
      <c r="AI26" s="121">
        <f t="shared" ref="AI26:AJ26" si="16">AG26*3600</f>
        <v>-0.49999999998249223</v>
      </c>
      <c r="AJ26" s="121">
        <f t="shared" si="16"/>
        <v>-0.49999999993133315</v>
      </c>
      <c r="AK26" s="30"/>
      <c r="AL26" s="1"/>
      <c r="AM26" s="1"/>
      <c r="AN26" s="1"/>
      <c r="AO26" s="1"/>
      <c r="AP26" s="1"/>
      <c r="AQ26" s="1"/>
      <c r="AR26" s="1"/>
    </row>
    <row r="27" spans="1:44" ht="15.75" customHeight="1" x14ac:dyDescent="0.35">
      <c r="A27" s="1"/>
      <c r="B27" s="1"/>
      <c r="C27" s="33"/>
      <c r="D27" s="33"/>
      <c r="E27" s="34" t="s">
        <v>34</v>
      </c>
      <c r="F27" s="33"/>
      <c r="G27" s="24">
        <v>185</v>
      </c>
      <c r="H27" s="24">
        <v>39</v>
      </c>
      <c r="I27" s="24">
        <v>27</v>
      </c>
      <c r="J27" s="35">
        <f t="shared" si="4"/>
        <v>185.6575</v>
      </c>
      <c r="K27" s="24">
        <v>5</v>
      </c>
      <c r="L27" s="24">
        <v>39</v>
      </c>
      <c r="M27" s="24">
        <v>26</v>
      </c>
      <c r="N27" s="36">
        <f t="shared" si="0"/>
        <v>5.6572222222222228</v>
      </c>
      <c r="O27" s="25"/>
      <c r="P27" s="25"/>
      <c r="Q27" s="100"/>
      <c r="R27" s="119"/>
      <c r="S27" s="119"/>
      <c r="T27" s="37"/>
      <c r="U27" s="37"/>
      <c r="V27" s="28">
        <v>88</v>
      </c>
      <c r="W27" s="28">
        <v>18</v>
      </c>
      <c r="X27" s="28">
        <v>30</v>
      </c>
      <c r="Y27" s="29">
        <f t="shared" si="5"/>
        <v>88.308333333333337</v>
      </c>
      <c r="Z27" s="32">
        <v>271</v>
      </c>
      <c r="AA27" s="28">
        <v>41</v>
      </c>
      <c r="AB27" s="32">
        <v>30</v>
      </c>
      <c r="AC27" s="35">
        <f t="shared" si="2"/>
        <v>271.69166666666666</v>
      </c>
      <c r="AD27" s="103"/>
      <c r="AE27" s="119"/>
      <c r="AF27" s="119"/>
      <c r="AG27" s="119"/>
      <c r="AH27" s="119"/>
      <c r="AI27" s="119"/>
      <c r="AJ27" s="119"/>
      <c r="AK27" s="30"/>
      <c r="AL27" s="1"/>
      <c r="AM27" s="1"/>
      <c r="AN27" s="1"/>
      <c r="AO27" s="1"/>
      <c r="AP27" s="1"/>
      <c r="AQ27" s="1"/>
      <c r="AR27" s="1"/>
    </row>
    <row r="28" spans="1:44" s="21" customFormat="1" ht="15.75" customHeight="1" x14ac:dyDescent="0.35">
      <c r="A28" s="11"/>
      <c r="B28" s="11"/>
      <c r="C28" s="18">
        <v>1.5569999999999999</v>
      </c>
      <c r="D28" s="18" t="s">
        <v>34</v>
      </c>
      <c r="E28" s="38" t="s">
        <v>33</v>
      </c>
      <c r="F28" s="18"/>
      <c r="G28" s="15">
        <v>88</v>
      </c>
      <c r="H28" s="15">
        <v>53</v>
      </c>
      <c r="I28" s="15">
        <v>15</v>
      </c>
      <c r="J28" s="18">
        <f t="shared" si="4"/>
        <v>88.887500000000003</v>
      </c>
      <c r="K28" s="15">
        <v>268</v>
      </c>
      <c r="L28" s="15">
        <v>53</v>
      </c>
      <c r="M28" s="15">
        <v>16</v>
      </c>
      <c r="N28" s="18">
        <f t="shared" si="0"/>
        <v>268.88777777777779</v>
      </c>
      <c r="O28" s="25">
        <f t="shared" si="11"/>
        <v>96.053611111111138</v>
      </c>
      <c r="P28" s="25">
        <f t="shared" si="12"/>
        <v>96.054166666666674</v>
      </c>
      <c r="Q28" s="120">
        <f>AVERAGE(O28:P30)</f>
        <v>96.05402777777779</v>
      </c>
      <c r="R28" s="120">
        <f>Q28-O28</f>
        <v>4.1666666665207686E-4</v>
      </c>
      <c r="S28" s="120">
        <f>Q28-P28</f>
        <v>-1.3888888888402562E-4</v>
      </c>
      <c r="T28" s="18">
        <f t="shared" ref="T28:U28" si="17">R28*3600</f>
        <v>1.4999999999474767</v>
      </c>
      <c r="U28" s="18">
        <f t="shared" si="17"/>
        <v>-0.49999999998249223</v>
      </c>
      <c r="V28" s="19">
        <v>88</v>
      </c>
      <c r="W28" s="19">
        <v>18</v>
      </c>
      <c r="X28" s="19">
        <v>40</v>
      </c>
      <c r="Y28" s="16">
        <f t="shared" si="5"/>
        <v>88.311111111111103</v>
      </c>
      <c r="Z28" s="31">
        <v>271</v>
      </c>
      <c r="AA28" s="19">
        <v>41</v>
      </c>
      <c r="AB28" s="31">
        <v>20</v>
      </c>
      <c r="AC28" s="18">
        <f t="shared" si="2"/>
        <v>271.68888888888887</v>
      </c>
      <c r="AD28" s="120">
        <f>Y28-Y29</f>
        <v>1.0855555555555441</v>
      </c>
      <c r="AE28" s="123">
        <f>AC29-AC28</f>
        <v>1.0855555555555725</v>
      </c>
      <c r="AF28" s="120">
        <f>AVERAGE(AD28:AE31)</f>
        <v>1.0849999999999866</v>
      </c>
      <c r="AG28" s="120">
        <f>AF28-AD28</f>
        <v>-5.5555555555741876E-4</v>
      </c>
      <c r="AH28" s="120">
        <f>AF28-AE28</f>
        <v>-5.5555555558584047E-4</v>
      </c>
      <c r="AI28" s="121">
        <f t="shared" ref="AI28:AJ28" si="18">AG28*3600</f>
        <v>-2.0000000000067075</v>
      </c>
      <c r="AJ28" s="121">
        <f t="shared" si="18"/>
        <v>-2.0000000001090257</v>
      </c>
      <c r="AK28" s="11"/>
      <c r="AL28" s="11"/>
      <c r="AM28" s="11"/>
      <c r="AN28" s="11"/>
      <c r="AO28" s="11"/>
      <c r="AP28" s="11"/>
      <c r="AQ28" s="11"/>
      <c r="AR28" s="11"/>
    </row>
    <row r="29" spans="1:44" ht="15.75" customHeight="1" x14ac:dyDescent="0.35">
      <c r="A29" s="1"/>
      <c r="B29" s="1"/>
      <c r="C29" s="27"/>
      <c r="D29" s="27"/>
      <c r="E29" s="39" t="s">
        <v>35</v>
      </c>
      <c r="F29" s="27"/>
      <c r="G29" s="24">
        <v>352</v>
      </c>
      <c r="H29" s="24">
        <v>50</v>
      </c>
      <c r="I29" s="24">
        <v>2</v>
      </c>
      <c r="J29" s="27">
        <f t="shared" si="4"/>
        <v>352.83388888888885</v>
      </c>
      <c r="K29" s="24">
        <v>172</v>
      </c>
      <c r="L29" s="24">
        <v>50</v>
      </c>
      <c r="M29" s="24">
        <v>1</v>
      </c>
      <c r="N29" s="27">
        <f t="shared" si="0"/>
        <v>172.83361111111111</v>
      </c>
      <c r="O29" s="25"/>
      <c r="P29" s="25"/>
      <c r="Q29" s="119"/>
      <c r="R29" s="103"/>
      <c r="S29" s="103"/>
      <c r="T29" s="27"/>
      <c r="U29" s="27"/>
      <c r="V29" s="28">
        <v>87</v>
      </c>
      <c r="W29" s="28">
        <v>13</v>
      </c>
      <c r="X29" s="28">
        <v>32</v>
      </c>
      <c r="Y29" s="29">
        <f t="shared" si="5"/>
        <v>87.225555555555559</v>
      </c>
      <c r="Z29" s="32">
        <v>272</v>
      </c>
      <c r="AA29" s="28">
        <v>46</v>
      </c>
      <c r="AB29" s="32">
        <v>28</v>
      </c>
      <c r="AC29" s="27">
        <f t="shared" si="2"/>
        <v>272.77444444444444</v>
      </c>
      <c r="AD29" s="103"/>
      <c r="AE29" s="103"/>
      <c r="AF29" s="119"/>
      <c r="AG29" s="103"/>
      <c r="AH29" s="103"/>
      <c r="AI29" s="103"/>
      <c r="AJ29" s="103"/>
      <c r="AK29" s="1"/>
      <c r="AL29" s="1"/>
      <c r="AM29" s="1"/>
      <c r="AN29" s="1"/>
      <c r="AO29" s="1"/>
      <c r="AP29" s="1"/>
      <c r="AQ29" s="1"/>
      <c r="AR29" s="1"/>
    </row>
    <row r="30" spans="1:44" ht="15.75" customHeight="1" x14ac:dyDescent="0.35">
      <c r="A30" s="1"/>
      <c r="B30" s="1"/>
      <c r="C30" s="27"/>
      <c r="D30" s="27"/>
      <c r="E30" s="39" t="s">
        <v>33</v>
      </c>
      <c r="F30" s="27"/>
      <c r="G30" s="24">
        <v>88</v>
      </c>
      <c r="H30" s="24">
        <v>53</v>
      </c>
      <c r="I30" s="24">
        <v>16</v>
      </c>
      <c r="J30" s="27">
        <f t="shared" si="4"/>
        <v>88.887777777777785</v>
      </c>
      <c r="K30" s="24">
        <v>268</v>
      </c>
      <c r="L30" s="24">
        <v>53</v>
      </c>
      <c r="M30" s="24">
        <v>17</v>
      </c>
      <c r="N30" s="27">
        <f t="shared" si="0"/>
        <v>268.88805555555552</v>
      </c>
      <c r="O30" s="25">
        <f t="shared" si="11"/>
        <v>96.053888888888935</v>
      </c>
      <c r="P30" s="25">
        <f t="shared" si="12"/>
        <v>96.054444444444414</v>
      </c>
      <c r="Q30" s="119"/>
      <c r="R30" s="120">
        <f>Q28-O30</f>
        <v>1.3888888885560391E-4</v>
      </c>
      <c r="S30" s="120">
        <f>Q28-P30</f>
        <v>-4.1666666662365515E-4</v>
      </c>
      <c r="T30" s="27">
        <f t="shared" ref="T30:U34" si="19">R30*3600</f>
        <v>0.49999999988017407</v>
      </c>
      <c r="U30" s="27">
        <f t="shared" si="19"/>
        <v>-1.4999999998451585</v>
      </c>
      <c r="V30" s="28">
        <v>88</v>
      </c>
      <c r="W30" s="28">
        <v>18</v>
      </c>
      <c r="X30" s="28">
        <v>38</v>
      </c>
      <c r="Y30" s="29">
        <f t="shared" si="5"/>
        <v>88.310555555555553</v>
      </c>
      <c r="Z30" s="32">
        <v>271</v>
      </c>
      <c r="AA30" s="28">
        <v>41</v>
      </c>
      <c r="AB30" s="32">
        <v>22</v>
      </c>
      <c r="AC30" s="27">
        <f t="shared" si="2"/>
        <v>271.68944444444446</v>
      </c>
      <c r="AD30" s="120">
        <f>Y30-Y31</f>
        <v>1.0844444444444434</v>
      </c>
      <c r="AE30" s="121">
        <f>AC31-AC30</f>
        <v>1.0844444444443866</v>
      </c>
      <c r="AF30" s="119"/>
      <c r="AG30" s="120">
        <f>AF28-AD30</f>
        <v>5.555555555432079E-4</v>
      </c>
      <c r="AH30" s="120">
        <f>AF28-AE30</f>
        <v>5.5555555560005132E-4</v>
      </c>
      <c r="AI30" s="121">
        <f>AG30*3600</f>
        <v>1.9999999999555484</v>
      </c>
      <c r="AJ30" s="121">
        <f t="shared" ref="AI30:AJ34" si="20">AH30*3600</f>
        <v>2.0000000001601848</v>
      </c>
      <c r="AK30" s="1"/>
      <c r="AL30" s="1"/>
      <c r="AM30" s="1"/>
      <c r="AN30" s="1"/>
      <c r="AO30" s="1"/>
      <c r="AP30" s="1"/>
      <c r="AQ30" s="1"/>
      <c r="AR30" s="1"/>
    </row>
    <row r="31" spans="1:44" ht="15.75" customHeight="1" x14ac:dyDescent="0.35">
      <c r="A31" s="1"/>
      <c r="B31" s="1"/>
      <c r="C31" s="37"/>
      <c r="D31" s="37"/>
      <c r="E31" s="40" t="s">
        <v>35</v>
      </c>
      <c r="F31" s="37"/>
      <c r="G31" s="24">
        <v>352</v>
      </c>
      <c r="H31" s="24">
        <v>50</v>
      </c>
      <c r="I31" s="24">
        <v>2</v>
      </c>
      <c r="J31" s="37">
        <f t="shared" si="4"/>
        <v>352.83388888888885</v>
      </c>
      <c r="K31" s="24">
        <v>172</v>
      </c>
      <c r="L31" s="24">
        <v>50</v>
      </c>
      <c r="M31" s="24">
        <v>1</v>
      </c>
      <c r="N31" s="37">
        <f t="shared" si="0"/>
        <v>172.83361111111111</v>
      </c>
      <c r="O31" s="25"/>
      <c r="P31" s="25"/>
      <c r="Q31" s="119"/>
      <c r="R31" s="119"/>
      <c r="S31" s="119"/>
      <c r="T31" s="27"/>
      <c r="U31" s="27"/>
      <c r="V31" s="28">
        <v>87</v>
      </c>
      <c r="W31" s="28">
        <v>13</v>
      </c>
      <c r="X31" s="41">
        <v>34</v>
      </c>
      <c r="Y31" s="29">
        <f t="shared" si="5"/>
        <v>87.226111111111109</v>
      </c>
      <c r="Z31" s="32">
        <v>272</v>
      </c>
      <c r="AA31" s="28">
        <v>46</v>
      </c>
      <c r="AB31" s="32">
        <v>26</v>
      </c>
      <c r="AC31" s="37">
        <f t="shared" si="2"/>
        <v>272.77388888888885</v>
      </c>
      <c r="AD31" s="119"/>
      <c r="AE31" s="119"/>
      <c r="AF31" s="119"/>
      <c r="AG31" s="119"/>
      <c r="AH31" s="119"/>
      <c r="AI31" s="119"/>
      <c r="AJ31" s="119"/>
      <c r="AK31" s="1"/>
      <c r="AL31" s="1"/>
      <c r="AM31" s="1"/>
      <c r="AN31" s="1"/>
      <c r="AO31" s="1"/>
      <c r="AP31" s="1"/>
      <c r="AQ31" s="1"/>
      <c r="AR31" s="1"/>
    </row>
    <row r="32" spans="1:44" s="21" customFormat="1" ht="15.75" customHeight="1" x14ac:dyDescent="0.35">
      <c r="A32" s="11"/>
      <c r="B32" s="11"/>
      <c r="C32" s="42">
        <v>1.57</v>
      </c>
      <c r="D32" s="43" t="s">
        <v>35</v>
      </c>
      <c r="E32" s="43" t="s">
        <v>34</v>
      </c>
      <c r="F32" s="42"/>
      <c r="G32" s="15">
        <v>188</v>
      </c>
      <c r="H32" s="15">
        <v>54</v>
      </c>
      <c r="I32" s="15">
        <v>5</v>
      </c>
      <c r="J32" s="44">
        <f t="shared" si="4"/>
        <v>188.9013888888889</v>
      </c>
      <c r="K32" s="15">
        <v>8</v>
      </c>
      <c r="L32" s="15">
        <v>54</v>
      </c>
      <c r="M32" s="15">
        <v>4</v>
      </c>
      <c r="N32" s="44">
        <f t="shared" si="0"/>
        <v>8.9011111111111116</v>
      </c>
      <c r="O32" s="25">
        <f t="shared" si="11"/>
        <v>89.427222222222241</v>
      </c>
      <c r="P32" s="25">
        <f t="shared" si="12"/>
        <v>89.426666666666677</v>
      </c>
      <c r="Q32" s="120">
        <f>AVERAGE(O32:P34)</f>
        <v>89.427013888888908</v>
      </c>
      <c r="R32" s="120">
        <f>Q32-O32</f>
        <v>-2.0833333333314386E-4</v>
      </c>
      <c r="S32" s="120">
        <f>Q32-P32</f>
        <v>3.4722222223138033E-4</v>
      </c>
      <c r="T32" s="18">
        <f>R32*3600</f>
        <v>-0.74999999999931788</v>
      </c>
      <c r="U32" s="18">
        <f t="shared" si="19"/>
        <v>1.2500000000329692</v>
      </c>
      <c r="V32" s="19">
        <v>87</v>
      </c>
      <c r="W32" s="19">
        <v>13</v>
      </c>
      <c r="X32" s="19">
        <v>30</v>
      </c>
      <c r="Y32" s="16">
        <f t="shared" si="5"/>
        <v>87.225000000000009</v>
      </c>
      <c r="Z32" s="31">
        <v>272</v>
      </c>
      <c r="AA32" s="19">
        <v>46</v>
      </c>
      <c r="AB32" s="31">
        <v>30</v>
      </c>
      <c r="AC32" s="44">
        <f t="shared" si="2"/>
        <v>272.77499999999998</v>
      </c>
      <c r="AD32" s="120">
        <f>Y32-Y33</f>
        <v>-0.62972222222221319</v>
      </c>
      <c r="AE32" s="121">
        <f>AC33-AC32</f>
        <v>-0.62972222222219898</v>
      </c>
      <c r="AF32" s="120">
        <f>AVERAGE(AD32:AE35)</f>
        <v>-0.62958333333332561</v>
      </c>
      <c r="AG32" s="120">
        <f>AF32-AD32</f>
        <v>1.3888888888757833E-4</v>
      </c>
      <c r="AH32" s="120">
        <f>AF32-AE32</f>
        <v>1.3888888887336748E-4</v>
      </c>
      <c r="AI32" s="121">
        <f t="shared" si="20"/>
        <v>0.499999999995282</v>
      </c>
      <c r="AJ32" s="121">
        <f>AH32*3600</f>
        <v>0.49999999994412292</v>
      </c>
      <c r="AK32" s="11"/>
      <c r="AL32" s="11"/>
      <c r="AM32" s="11"/>
      <c r="AN32" s="11"/>
      <c r="AO32" s="11"/>
      <c r="AP32" s="11"/>
      <c r="AQ32" s="11"/>
      <c r="AR32" s="11"/>
    </row>
    <row r="33" spans="1:44" ht="15.75" customHeight="1" x14ac:dyDescent="0.35">
      <c r="A33" s="1"/>
      <c r="B33" s="1"/>
      <c r="C33" s="45"/>
      <c r="D33" s="45"/>
      <c r="E33" s="46" t="s">
        <v>36</v>
      </c>
      <c r="F33" s="45"/>
      <c r="G33" s="24">
        <v>99</v>
      </c>
      <c r="H33" s="24">
        <v>28</v>
      </c>
      <c r="I33" s="24">
        <v>27</v>
      </c>
      <c r="J33" s="37">
        <f t="shared" si="4"/>
        <v>99.474166666666662</v>
      </c>
      <c r="K33" s="24">
        <v>279</v>
      </c>
      <c r="L33" s="24">
        <v>28</v>
      </c>
      <c r="M33" s="24">
        <v>28</v>
      </c>
      <c r="N33" s="37">
        <f t="shared" si="0"/>
        <v>279.47444444444443</v>
      </c>
      <c r="O33" s="25"/>
      <c r="P33" s="25"/>
      <c r="Q33" s="119"/>
      <c r="R33" s="119"/>
      <c r="S33" s="119"/>
      <c r="T33" s="27"/>
      <c r="U33" s="27"/>
      <c r="V33" s="28">
        <v>87</v>
      </c>
      <c r="W33" s="28">
        <v>51</v>
      </c>
      <c r="X33" s="28">
        <v>17</v>
      </c>
      <c r="Y33" s="29">
        <f t="shared" si="5"/>
        <v>87.854722222222222</v>
      </c>
      <c r="Z33" s="32">
        <v>272</v>
      </c>
      <c r="AA33" s="28">
        <v>8</v>
      </c>
      <c r="AB33" s="32">
        <v>43</v>
      </c>
      <c r="AC33" s="37">
        <f t="shared" si="2"/>
        <v>272.14527777777778</v>
      </c>
      <c r="AD33" s="119"/>
      <c r="AE33" s="119"/>
      <c r="AF33" s="119"/>
      <c r="AG33" s="119"/>
      <c r="AH33" s="119"/>
      <c r="AI33" s="119"/>
      <c r="AJ33" s="119"/>
      <c r="AK33" s="1"/>
      <c r="AL33" s="1"/>
      <c r="AM33" s="1"/>
      <c r="AN33" s="1"/>
      <c r="AO33" s="1"/>
      <c r="AP33" s="1"/>
      <c r="AQ33" s="1"/>
      <c r="AR33" s="1"/>
    </row>
    <row r="34" spans="1:44" ht="15.75" customHeight="1" x14ac:dyDescent="0.35">
      <c r="A34" s="1"/>
      <c r="B34" s="1"/>
      <c r="C34" s="45"/>
      <c r="D34" s="45"/>
      <c r="E34" s="46" t="s">
        <v>34</v>
      </c>
      <c r="F34" s="45"/>
      <c r="G34" s="24">
        <v>188</v>
      </c>
      <c r="H34" s="24">
        <v>54</v>
      </c>
      <c r="I34" s="24">
        <v>4</v>
      </c>
      <c r="J34" s="37">
        <f t="shared" si="4"/>
        <v>188.90111111111111</v>
      </c>
      <c r="K34" s="24">
        <v>8</v>
      </c>
      <c r="L34" s="24">
        <v>54</v>
      </c>
      <c r="M34" s="24">
        <v>5</v>
      </c>
      <c r="N34" s="37">
        <f t="shared" si="0"/>
        <v>8.9013888888888886</v>
      </c>
      <c r="O34" s="25">
        <f t="shared" si="11"/>
        <v>89.427222222222213</v>
      </c>
      <c r="P34" s="25">
        <f t="shared" si="12"/>
        <v>89.426944444444473</v>
      </c>
      <c r="Q34" s="119"/>
      <c r="R34" s="120">
        <f t="shared" ref="R34" si="21">Q32-O34</f>
        <v>-2.0833333330472215E-4</v>
      </c>
      <c r="S34" s="120">
        <f t="shared" ref="S34" si="22">Q32-P34</f>
        <v>6.9444444434907382E-5</v>
      </c>
      <c r="T34" s="27">
        <f t="shared" si="19"/>
        <v>-0.74999999989699973</v>
      </c>
      <c r="U34" s="27">
        <f t="shared" si="19"/>
        <v>0.24999999996566658</v>
      </c>
      <c r="V34" s="28">
        <v>87</v>
      </c>
      <c r="W34" s="28">
        <v>13</v>
      </c>
      <c r="X34" s="28">
        <v>32</v>
      </c>
      <c r="Y34" s="29">
        <f t="shared" si="5"/>
        <v>87.225555555555559</v>
      </c>
      <c r="Z34" s="32">
        <v>272</v>
      </c>
      <c r="AA34" s="28">
        <v>46</v>
      </c>
      <c r="AB34" s="32">
        <v>28</v>
      </c>
      <c r="AC34" s="37">
        <f t="shared" si="2"/>
        <v>272.77444444444444</v>
      </c>
      <c r="AD34" s="120">
        <f t="shared" ref="AD34" si="23">Y34-Y35</f>
        <v>-0.62944444444443093</v>
      </c>
      <c r="AE34" s="121">
        <f t="shared" ref="AE34" si="24">AC35-AC34</f>
        <v>-0.62944444444445935</v>
      </c>
      <c r="AF34" s="119"/>
      <c r="AG34" s="120">
        <f>AF32-AD34</f>
        <v>-1.3888888889468376E-4</v>
      </c>
      <c r="AH34" s="120">
        <f t="shared" ref="AH34" si="25">AF32-AE34</f>
        <v>-1.3888888886626205E-4</v>
      </c>
      <c r="AI34" s="121">
        <f t="shared" si="20"/>
        <v>-0.50000000002086153</v>
      </c>
      <c r="AJ34" s="121">
        <f>AH34*3600</f>
        <v>-0.49999999991854338</v>
      </c>
      <c r="AK34" s="1"/>
      <c r="AL34" s="1"/>
      <c r="AM34" s="1"/>
      <c r="AN34" s="1"/>
      <c r="AO34" s="1"/>
      <c r="AP34" s="1"/>
      <c r="AQ34" s="1"/>
      <c r="AR34" s="1"/>
    </row>
    <row r="35" spans="1:44" ht="15.75" customHeight="1" x14ac:dyDescent="0.35">
      <c r="A35" s="1"/>
      <c r="B35" s="1"/>
      <c r="C35" s="45"/>
      <c r="D35" s="45"/>
      <c r="E35" s="46" t="s">
        <v>36</v>
      </c>
      <c r="F35" s="45"/>
      <c r="G35" s="24">
        <v>99</v>
      </c>
      <c r="H35" s="24">
        <v>28</v>
      </c>
      <c r="I35" s="24">
        <v>26</v>
      </c>
      <c r="J35" s="47">
        <f t="shared" si="4"/>
        <v>99.473888888888894</v>
      </c>
      <c r="K35" s="24">
        <v>279</v>
      </c>
      <c r="L35" s="24">
        <v>28</v>
      </c>
      <c r="M35" s="24">
        <v>28</v>
      </c>
      <c r="N35" s="47">
        <f t="shared" si="0"/>
        <v>279.47444444444443</v>
      </c>
      <c r="O35" s="25"/>
      <c r="P35" s="25"/>
      <c r="Q35" s="124"/>
      <c r="R35" s="124"/>
      <c r="S35" s="124"/>
      <c r="T35" s="47"/>
      <c r="U35" s="47"/>
      <c r="V35" s="28">
        <v>87</v>
      </c>
      <c r="W35" s="28">
        <v>51</v>
      </c>
      <c r="X35" s="28">
        <v>18</v>
      </c>
      <c r="Y35" s="29">
        <f t="shared" si="5"/>
        <v>87.85499999999999</v>
      </c>
      <c r="Z35" s="32">
        <v>272</v>
      </c>
      <c r="AA35" s="28">
        <v>8</v>
      </c>
      <c r="AB35" s="32">
        <v>42</v>
      </c>
      <c r="AC35" s="47">
        <f t="shared" si="2"/>
        <v>272.14499999999998</v>
      </c>
      <c r="AD35" s="124"/>
      <c r="AE35" s="124"/>
      <c r="AF35" s="124"/>
      <c r="AG35" s="124"/>
      <c r="AH35" s="124"/>
      <c r="AI35" s="124"/>
      <c r="AJ35" s="124"/>
      <c r="AK35" s="1"/>
      <c r="AL35" s="1"/>
      <c r="AM35" s="1"/>
      <c r="AN35" s="1"/>
      <c r="AO35" s="1"/>
      <c r="AP35" s="1"/>
      <c r="AQ35" s="1"/>
      <c r="AR35" s="1"/>
    </row>
    <row r="36" spans="1:44" s="21" customFormat="1" ht="15.75" customHeight="1" x14ac:dyDescent="0.35">
      <c r="A36" s="11"/>
      <c r="B36" s="11"/>
      <c r="C36" s="18">
        <v>1.5980000000000001</v>
      </c>
      <c r="D36" s="18" t="s">
        <v>36</v>
      </c>
      <c r="E36" s="18" t="s">
        <v>35</v>
      </c>
      <c r="F36" s="18"/>
      <c r="G36" s="15">
        <v>302</v>
      </c>
      <c r="H36" s="15">
        <v>37</v>
      </c>
      <c r="I36" s="15">
        <v>33</v>
      </c>
      <c r="J36" s="18">
        <f t="shared" si="4"/>
        <v>302.62583333333333</v>
      </c>
      <c r="K36" s="15">
        <v>122</v>
      </c>
      <c r="L36" s="15">
        <v>37</v>
      </c>
      <c r="M36" s="15">
        <v>33</v>
      </c>
      <c r="N36" s="18">
        <f t="shared" si="0"/>
        <v>122.62583333333333</v>
      </c>
      <c r="O36" s="25">
        <f t="shared" si="11"/>
        <v>180.06944444444446</v>
      </c>
      <c r="P36" s="25">
        <f t="shared" si="12"/>
        <v>180.06944444444446</v>
      </c>
      <c r="Q36" s="120">
        <f>AVERAGE(O36:P38)</f>
        <v>180.06951388888891</v>
      </c>
      <c r="R36" s="120">
        <f>Q36-O36</f>
        <v>6.9444444449118237E-5</v>
      </c>
      <c r="S36" s="120">
        <f>Q36-P36</f>
        <v>6.9444444449118237E-5</v>
      </c>
      <c r="T36" s="18">
        <f>R36*3600</f>
        <v>0.25000000001682565</v>
      </c>
      <c r="U36" s="18">
        <f t="shared" ref="U36" si="26">S36*3600</f>
        <v>0.25000000001682565</v>
      </c>
      <c r="V36" s="19">
        <v>87</v>
      </c>
      <c r="W36" s="19">
        <v>51</v>
      </c>
      <c r="X36" s="19">
        <v>16</v>
      </c>
      <c r="Y36" s="16">
        <f t="shared" si="5"/>
        <v>87.854444444444439</v>
      </c>
      <c r="Z36" s="31">
        <v>272</v>
      </c>
      <c r="AA36" s="19">
        <v>8</v>
      </c>
      <c r="AB36" s="31">
        <v>44</v>
      </c>
      <c r="AC36" s="18">
        <f t="shared" si="2"/>
        <v>272.14555555555557</v>
      </c>
      <c r="AD36" s="120">
        <f>Y36-Y37</f>
        <v>-0.59361111111111597</v>
      </c>
      <c r="AE36" s="123">
        <f>AC37-AC36</f>
        <v>-0.59361111111110176</v>
      </c>
      <c r="AF36" s="120">
        <f>AVERAGE(AD36:AE39)</f>
        <v>-0.59305555555555145</v>
      </c>
      <c r="AG36" s="120">
        <f>AF36-AD36</f>
        <v>5.5555555556452418E-4</v>
      </c>
      <c r="AH36" s="120">
        <f>AF36-AE36</f>
        <v>5.5555555555031333E-4</v>
      </c>
      <c r="AI36" s="121">
        <f t="shared" ref="AI36:AJ36" si="27">AG36*3600</f>
        <v>2.0000000000322871</v>
      </c>
      <c r="AJ36" s="121">
        <f t="shared" si="27"/>
        <v>1.999999999981128</v>
      </c>
      <c r="AK36" s="11"/>
      <c r="AL36" s="11"/>
      <c r="AM36" s="11"/>
      <c r="AN36" s="11"/>
      <c r="AO36" s="11"/>
      <c r="AP36" s="11"/>
      <c r="AQ36" s="11"/>
      <c r="AR36" s="11"/>
    </row>
    <row r="37" spans="1:44" ht="15.75" customHeight="1" x14ac:dyDescent="0.35">
      <c r="A37" s="1"/>
      <c r="B37" s="1"/>
      <c r="C37" s="27"/>
      <c r="D37" s="27"/>
      <c r="E37" s="27" t="s">
        <v>30</v>
      </c>
      <c r="F37" s="27"/>
      <c r="G37" s="24">
        <v>122</v>
      </c>
      <c r="H37" s="24">
        <v>33</v>
      </c>
      <c r="I37" s="24">
        <v>23</v>
      </c>
      <c r="J37" s="27">
        <f t="shared" si="4"/>
        <v>122.55638888888889</v>
      </c>
      <c r="K37" s="24">
        <v>302</v>
      </c>
      <c r="L37" s="24">
        <v>33</v>
      </c>
      <c r="M37" s="24">
        <v>23</v>
      </c>
      <c r="N37" s="27">
        <f t="shared" si="0"/>
        <v>302.55638888888888</v>
      </c>
      <c r="O37" s="25"/>
      <c r="P37" s="25"/>
      <c r="Q37" s="125"/>
      <c r="R37" s="103"/>
      <c r="S37" s="103"/>
      <c r="T37" s="27"/>
      <c r="U37" s="27"/>
      <c r="V37" s="28">
        <v>88</v>
      </c>
      <c r="W37" s="28">
        <v>26</v>
      </c>
      <c r="X37" s="28">
        <v>53</v>
      </c>
      <c r="Y37" s="29">
        <f t="shared" si="5"/>
        <v>88.448055555555555</v>
      </c>
      <c r="Z37" s="32">
        <v>271</v>
      </c>
      <c r="AA37" s="28">
        <v>33</v>
      </c>
      <c r="AB37" s="32">
        <v>7</v>
      </c>
      <c r="AC37" s="27">
        <f t="shared" si="2"/>
        <v>271.55194444444447</v>
      </c>
      <c r="AD37" s="103"/>
      <c r="AE37" s="103"/>
      <c r="AF37" s="119"/>
      <c r="AG37" s="103"/>
      <c r="AH37" s="103"/>
      <c r="AI37" s="103"/>
      <c r="AJ37" s="103"/>
      <c r="AK37" s="1"/>
      <c r="AL37" s="1"/>
      <c r="AM37" s="1"/>
      <c r="AN37" s="1"/>
      <c r="AO37" s="1"/>
      <c r="AP37" s="1"/>
      <c r="AQ37" s="1"/>
      <c r="AR37" s="1"/>
    </row>
    <row r="38" spans="1:44" ht="15.75" customHeight="1" x14ac:dyDescent="0.35">
      <c r="A38" s="1"/>
      <c r="B38" s="1"/>
      <c r="C38" s="27"/>
      <c r="D38" s="27"/>
      <c r="E38" s="27" t="s">
        <v>35</v>
      </c>
      <c r="F38" s="27"/>
      <c r="G38" s="24">
        <v>302</v>
      </c>
      <c r="H38" s="24">
        <v>37</v>
      </c>
      <c r="I38" s="24">
        <v>33</v>
      </c>
      <c r="J38" s="27">
        <f t="shared" si="4"/>
        <v>302.62583333333333</v>
      </c>
      <c r="K38" s="24">
        <v>122</v>
      </c>
      <c r="L38" s="24">
        <v>37</v>
      </c>
      <c r="M38" s="24">
        <v>34</v>
      </c>
      <c r="N38" s="27">
        <f t="shared" si="0"/>
        <v>122.6261111111111</v>
      </c>
      <c r="O38" s="25">
        <f t="shared" si="11"/>
        <v>180.06944444444446</v>
      </c>
      <c r="P38" s="25">
        <f t="shared" si="12"/>
        <v>180.06972222222223</v>
      </c>
      <c r="Q38" s="125"/>
      <c r="R38" s="120">
        <f>Q36-O38</f>
        <v>6.9444444449118237E-5</v>
      </c>
      <c r="S38" s="120">
        <f>Q36-P38</f>
        <v>-2.08333333318933E-4</v>
      </c>
      <c r="T38" s="27">
        <f t="shared" ref="T38" si="28">R38*3600</f>
        <v>0.25000000001682565</v>
      </c>
      <c r="U38" s="27">
        <f>S38*3600</f>
        <v>-0.7499999999481588</v>
      </c>
      <c r="V38" s="28">
        <v>87</v>
      </c>
      <c r="W38" s="28">
        <v>51</v>
      </c>
      <c r="X38" s="28">
        <v>18</v>
      </c>
      <c r="Y38" s="29">
        <f t="shared" si="5"/>
        <v>87.85499999999999</v>
      </c>
      <c r="Z38" s="32">
        <v>272</v>
      </c>
      <c r="AA38" s="28">
        <v>8</v>
      </c>
      <c r="AB38" s="32">
        <v>42</v>
      </c>
      <c r="AC38" s="27">
        <f t="shared" si="2"/>
        <v>272.14499999999998</v>
      </c>
      <c r="AD38" s="120">
        <f>Y38-Y39</f>
        <v>-0.59250000000001535</v>
      </c>
      <c r="AE38" s="121">
        <f>AC39-AC38</f>
        <v>-0.59249999999997272</v>
      </c>
      <c r="AF38" s="119"/>
      <c r="AG38" s="120">
        <f>AF36-AD38</f>
        <v>-5.5555555553610247E-4</v>
      </c>
      <c r="AH38" s="120">
        <f>AF36-AE38</f>
        <v>-5.5555555557873504E-4</v>
      </c>
      <c r="AI38" s="121">
        <f t="shared" ref="AI38:AJ38" si="29">AG38*3600</f>
        <v>-1.9999999999299689</v>
      </c>
      <c r="AJ38" s="121">
        <f t="shared" si="29"/>
        <v>-2.0000000000834461</v>
      </c>
      <c r="AK38" s="1"/>
      <c r="AL38" s="1"/>
      <c r="AM38" s="1"/>
      <c r="AN38" s="1"/>
      <c r="AO38" s="1"/>
      <c r="AP38" s="1"/>
      <c r="AQ38" s="1"/>
      <c r="AR38" s="1"/>
    </row>
    <row r="39" spans="1:44" ht="15.75" customHeight="1" x14ac:dyDescent="0.35">
      <c r="A39" s="1"/>
      <c r="B39" s="1"/>
      <c r="C39" s="37"/>
      <c r="D39" s="37"/>
      <c r="E39" s="37" t="s">
        <v>30</v>
      </c>
      <c r="F39" s="37"/>
      <c r="G39" s="24">
        <v>122</v>
      </c>
      <c r="H39" s="24">
        <v>33</v>
      </c>
      <c r="I39" s="24">
        <v>23</v>
      </c>
      <c r="J39" s="37">
        <f t="shared" si="4"/>
        <v>122.55638888888889</v>
      </c>
      <c r="K39" s="24">
        <v>302</v>
      </c>
      <c r="L39" s="24">
        <v>33</v>
      </c>
      <c r="M39" s="24">
        <v>23</v>
      </c>
      <c r="N39" s="37">
        <f t="shared" si="0"/>
        <v>302.55638888888888</v>
      </c>
      <c r="O39" s="25"/>
      <c r="P39" s="25"/>
      <c r="Q39" s="125"/>
      <c r="R39" s="119"/>
      <c r="S39" s="119"/>
      <c r="T39" s="27"/>
      <c r="U39" s="27"/>
      <c r="V39" s="28">
        <v>88</v>
      </c>
      <c r="W39" s="28">
        <v>26</v>
      </c>
      <c r="X39" s="41">
        <v>51</v>
      </c>
      <c r="Y39" s="29">
        <f t="shared" si="5"/>
        <v>88.447500000000005</v>
      </c>
      <c r="Z39" s="32">
        <v>271</v>
      </c>
      <c r="AA39" s="28">
        <v>33</v>
      </c>
      <c r="AB39" s="32">
        <v>9</v>
      </c>
      <c r="AC39" s="37">
        <f t="shared" si="2"/>
        <v>271.55250000000001</v>
      </c>
      <c r="AD39" s="119"/>
      <c r="AE39" s="119"/>
      <c r="AF39" s="119"/>
      <c r="AG39" s="119"/>
      <c r="AH39" s="119"/>
      <c r="AI39" s="119"/>
      <c r="AJ39" s="119"/>
      <c r="AK39" s="1"/>
      <c r="AL39" s="1"/>
      <c r="AM39" s="1"/>
      <c r="AN39" s="1"/>
      <c r="AO39" s="1"/>
      <c r="AP39" s="1"/>
      <c r="AQ39" s="1"/>
      <c r="AR39" s="1"/>
    </row>
    <row r="40" spans="1:44" s="21" customFormat="1" ht="15.75" customHeight="1" x14ac:dyDescent="0.35">
      <c r="A40" s="11"/>
      <c r="B40" s="11"/>
      <c r="C40" s="42">
        <v>1.6180000000000001</v>
      </c>
      <c r="D40" s="43" t="s">
        <v>30</v>
      </c>
      <c r="E40" s="43" t="s">
        <v>36</v>
      </c>
      <c r="F40" s="42"/>
      <c r="G40" s="15">
        <v>144</v>
      </c>
      <c r="H40" s="15">
        <v>48</v>
      </c>
      <c r="I40" s="15">
        <v>33</v>
      </c>
      <c r="J40" s="44">
        <f t="shared" si="4"/>
        <v>144.80916666666667</v>
      </c>
      <c r="K40" s="15">
        <v>324</v>
      </c>
      <c r="L40" s="15">
        <v>48</v>
      </c>
      <c r="M40" s="15">
        <v>34</v>
      </c>
      <c r="N40" s="44">
        <f t="shared" si="0"/>
        <v>324.80944444444447</v>
      </c>
      <c r="O40" s="25">
        <f t="shared" si="11"/>
        <v>132.12694444444446</v>
      </c>
      <c r="P40" s="25">
        <f t="shared" si="12"/>
        <v>132.12694444444446</v>
      </c>
      <c r="Q40" s="120">
        <f>AVERAGE(O40:P42)</f>
        <v>132.12708333333336</v>
      </c>
      <c r="R40" s="120">
        <f>Q40-O40</f>
        <v>1.3888888889823647E-4</v>
      </c>
      <c r="S40" s="120">
        <f>Q40-P40</f>
        <v>1.3888888889823647E-4</v>
      </c>
      <c r="T40" s="18">
        <f>R40*3600</f>
        <v>0.5000000000336513</v>
      </c>
      <c r="U40" s="18">
        <f t="shared" ref="U40" si="30">S40*3600</f>
        <v>0.5000000000336513</v>
      </c>
      <c r="V40" s="19">
        <v>88</v>
      </c>
      <c r="W40" s="19">
        <v>28</v>
      </c>
      <c r="X40" s="19">
        <v>25</v>
      </c>
      <c r="Y40" s="16">
        <f t="shared" si="5"/>
        <v>88.473611111111111</v>
      </c>
      <c r="Z40" s="31">
        <v>271</v>
      </c>
      <c r="AA40" s="19">
        <v>31</v>
      </c>
      <c r="AB40" s="31">
        <v>35</v>
      </c>
      <c r="AC40" s="44">
        <f t="shared" si="2"/>
        <v>271.52638888888885</v>
      </c>
      <c r="AD40" s="120">
        <f>Y40-Y41</f>
        <v>-0.98305555555555202</v>
      </c>
      <c r="AE40" s="121">
        <f t="shared" ref="AE40" si="31">AC41-AC40</f>
        <v>-0.98305555555549518</v>
      </c>
      <c r="AF40" s="120">
        <f>AVERAGE(AD40:AE43)</f>
        <v>-0.98263888888886086</v>
      </c>
      <c r="AG40" s="120">
        <f>AF40-AD40</f>
        <v>4.1666666669115671E-4</v>
      </c>
      <c r="AH40" s="120">
        <f>AF40-AE40</f>
        <v>4.1666666663431329E-4</v>
      </c>
      <c r="AI40" s="121">
        <f t="shared" ref="AI40:AJ40" si="32">AG40*3600</f>
        <v>1.5000000000881641</v>
      </c>
      <c r="AJ40" s="121">
        <f t="shared" si="32"/>
        <v>1.4999999998835278</v>
      </c>
      <c r="AK40" s="11"/>
      <c r="AL40" s="11"/>
      <c r="AM40" s="11"/>
      <c r="AN40" s="11"/>
      <c r="AO40" s="11"/>
      <c r="AP40" s="11"/>
      <c r="AQ40" s="11"/>
      <c r="AR40" s="11"/>
    </row>
    <row r="41" spans="1:44" ht="15.75" customHeight="1" x14ac:dyDescent="0.35">
      <c r="A41" s="1"/>
      <c r="B41" s="1"/>
      <c r="C41" s="45"/>
      <c r="D41" s="45"/>
      <c r="E41" s="46" t="s">
        <v>29</v>
      </c>
      <c r="F41" s="45"/>
      <c r="G41" s="24">
        <v>12</v>
      </c>
      <c r="H41" s="24">
        <v>40</v>
      </c>
      <c r="I41" s="24">
        <v>56</v>
      </c>
      <c r="J41" s="37">
        <f t="shared" si="4"/>
        <v>12.682222222222222</v>
      </c>
      <c r="K41" s="24">
        <v>192</v>
      </c>
      <c r="L41" s="24">
        <v>40</v>
      </c>
      <c r="M41" s="24">
        <v>57</v>
      </c>
      <c r="N41" s="37">
        <f t="shared" si="0"/>
        <v>192.6825</v>
      </c>
      <c r="O41" s="25"/>
      <c r="P41" s="25"/>
      <c r="Q41" s="119"/>
      <c r="R41" s="119"/>
      <c r="S41" s="119"/>
      <c r="T41" s="27"/>
      <c r="U41" s="27"/>
      <c r="V41" s="28">
        <v>89</v>
      </c>
      <c r="W41" s="28">
        <v>27</v>
      </c>
      <c r="X41" s="28">
        <v>24</v>
      </c>
      <c r="Y41" s="29">
        <f t="shared" si="5"/>
        <v>89.456666666666663</v>
      </c>
      <c r="Z41" s="32">
        <v>270</v>
      </c>
      <c r="AA41" s="28">
        <v>32</v>
      </c>
      <c r="AB41" s="32">
        <v>36</v>
      </c>
      <c r="AC41" s="37">
        <f t="shared" si="2"/>
        <v>270.54333333333335</v>
      </c>
      <c r="AD41" s="119"/>
      <c r="AE41" s="119"/>
      <c r="AF41" s="119"/>
      <c r="AG41" s="119"/>
      <c r="AH41" s="119"/>
      <c r="AI41" s="119"/>
      <c r="AJ41" s="119"/>
      <c r="AK41" s="1"/>
      <c r="AL41" s="1"/>
      <c r="AM41" s="1"/>
      <c r="AN41" s="1"/>
      <c r="AO41" s="1"/>
      <c r="AP41" s="1"/>
      <c r="AQ41" s="1"/>
      <c r="AR41" s="1"/>
    </row>
    <row r="42" spans="1:44" ht="15.75" customHeight="1" x14ac:dyDescent="0.35">
      <c r="A42" s="1"/>
      <c r="B42" s="1"/>
      <c r="C42" s="45"/>
      <c r="D42" s="45"/>
      <c r="E42" s="46" t="s">
        <v>36</v>
      </c>
      <c r="F42" s="45"/>
      <c r="G42" s="24">
        <v>144</v>
      </c>
      <c r="H42" s="24">
        <v>48</v>
      </c>
      <c r="I42" s="24">
        <v>34</v>
      </c>
      <c r="J42" s="37">
        <f t="shared" si="4"/>
        <v>144.80944444444447</v>
      </c>
      <c r="K42" s="24">
        <v>324</v>
      </c>
      <c r="L42" s="24">
        <v>48</v>
      </c>
      <c r="M42" s="24">
        <v>35</v>
      </c>
      <c r="N42" s="37">
        <f t="shared" si="0"/>
        <v>324.80972222222221</v>
      </c>
      <c r="O42" s="25">
        <f t="shared" si="11"/>
        <v>132.12722222222226</v>
      </c>
      <c r="P42" s="25">
        <f t="shared" si="12"/>
        <v>132.1272222222222</v>
      </c>
      <c r="Q42" s="119"/>
      <c r="R42" s="120">
        <f t="shared" ref="R42" si="33">Q40-O42</f>
        <v>-1.3888888889823647E-4</v>
      </c>
      <c r="S42" s="120">
        <f t="shared" ref="S42" si="34">Q40-P42</f>
        <v>-1.3888888884139305E-4</v>
      </c>
      <c r="T42" s="27">
        <f t="shared" ref="T42:U42" si="35">R42*3600</f>
        <v>-0.5000000000336513</v>
      </c>
      <c r="U42" s="27">
        <f t="shared" si="35"/>
        <v>-0.499999999829015</v>
      </c>
      <c r="V42" s="28">
        <v>88</v>
      </c>
      <c r="W42" s="28">
        <v>28</v>
      </c>
      <c r="X42" s="28">
        <v>24</v>
      </c>
      <c r="Y42" s="29">
        <f t="shared" si="5"/>
        <v>88.473333333333329</v>
      </c>
      <c r="Z42" s="32">
        <v>271</v>
      </c>
      <c r="AA42" s="28">
        <v>31</v>
      </c>
      <c r="AB42" s="32">
        <v>36</v>
      </c>
      <c r="AC42" s="37">
        <f t="shared" si="2"/>
        <v>271.52666666666664</v>
      </c>
      <c r="AD42" s="120">
        <f>Y42-Y43</f>
        <v>-0.98222222222223365</v>
      </c>
      <c r="AE42" s="121">
        <f t="shared" ref="AE42" si="36">AC43-AC42</f>
        <v>-0.9822222222221626</v>
      </c>
      <c r="AF42" s="119"/>
      <c r="AG42" s="120">
        <f>AF40-AD42</f>
        <v>-4.1666666662720786E-4</v>
      </c>
      <c r="AH42" s="120">
        <f>AF40-AE42</f>
        <v>-4.1666666669826213E-4</v>
      </c>
      <c r="AI42" s="121">
        <f t="shared" ref="AI42:AJ42" si="37">AG42*3600</f>
        <v>-1.4999999998579483</v>
      </c>
      <c r="AJ42" s="121">
        <f t="shared" si="37"/>
        <v>-1.5000000001137437</v>
      </c>
      <c r="AK42" s="1"/>
      <c r="AL42" s="1"/>
      <c r="AM42" s="1"/>
      <c r="AN42" s="1"/>
      <c r="AO42" s="1"/>
      <c r="AP42" s="1"/>
      <c r="AQ42" s="1"/>
      <c r="AR42" s="1"/>
    </row>
    <row r="43" spans="1:44" ht="15.75" customHeight="1" x14ac:dyDescent="0.35">
      <c r="A43" s="1"/>
      <c r="B43" s="1"/>
      <c r="C43" s="45"/>
      <c r="D43" s="45"/>
      <c r="E43" s="46" t="s">
        <v>29</v>
      </c>
      <c r="F43" s="45"/>
      <c r="G43" s="24">
        <v>12</v>
      </c>
      <c r="H43" s="24">
        <v>40</v>
      </c>
      <c r="I43" s="24">
        <v>56</v>
      </c>
      <c r="J43" s="47">
        <f t="shared" si="4"/>
        <v>12.682222222222222</v>
      </c>
      <c r="K43" s="24">
        <v>192</v>
      </c>
      <c r="L43" s="24">
        <v>40</v>
      </c>
      <c r="M43" s="24">
        <v>57</v>
      </c>
      <c r="N43" s="47">
        <f t="shared" si="0"/>
        <v>192.6825</v>
      </c>
      <c r="O43" s="25"/>
      <c r="P43" s="25"/>
      <c r="Q43" s="124"/>
      <c r="R43" s="124"/>
      <c r="S43" s="124"/>
      <c r="T43" s="47"/>
      <c r="U43" s="47"/>
      <c r="V43" s="28">
        <v>89</v>
      </c>
      <c r="W43" s="28">
        <v>27</v>
      </c>
      <c r="X43" s="28">
        <v>20</v>
      </c>
      <c r="Y43" s="29">
        <f t="shared" si="5"/>
        <v>89.455555555555563</v>
      </c>
      <c r="Z43" s="32">
        <v>270</v>
      </c>
      <c r="AA43" s="28">
        <v>32</v>
      </c>
      <c r="AB43" s="32">
        <v>40</v>
      </c>
      <c r="AC43" s="47">
        <f t="shared" si="2"/>
        <v>270.54444444444448</v>
      </c>
      <c r="AD43" s="124"/>
      <c r="AE43" s="124"/>
      <c r="AF43" s="124"/>
      <c r="AG43" s="124"/>
      <c r="AH43" s="124"/>
      <c r="AI43" s="124"/>
      <c r="AJ43" s="124"/>
      <c r="AK43" s="1"/>
      <c r="AL43" s="1"/>
      <c r="AM43" s="1"/>
      <c r="AN43" s="1"/>
      <c r="AO43" s="1"/>
      <c r="AP43" s="1"/>
      <c r="AQ43" s="1"/>
      <c r="AR43" s="1"/>
    </row>
    <row r="44" spans="1:44" ht="15.75" customHeight="1" x14ac:dyDescent="0.35">
      <c r="A44" s="1"/>
      <c r="B44" s="1"/>
      <c r="C44" s="4"/>
      <c r="D44" s="4"/>
      <c r="E44" s="48"/>
      <c r="F44" s="4"/>
      <c r="G44" s="49"/>
      <c r="H44" s="49"/>
      <c r="I44" s="49"/>
      <c r="J44" s="4"/>
      <c r="K44" s="49"/>
      <c r="L44" s="49"/>
      <c r="M44" s="49"/>
      <c r="N44" s="4"/>
      <c r="O44" s="50"/>
      <c r="P44" s="50"/>
      <c r="Q44" s="51"/>
      <c r="R44" s="51"/>
      <c r="S44" s="51"/>
      <c r="T44" s="4"/>
      <c r="U44" s="4"/>
      <c r="V44" s="52"/>
      <c r="W44" s="52"/>
      <c r="X44" s="52"/>
      <c r="Y44" s="50"/>
      <c r="Z44" s="53"/>
      <c r="AA44" s="52"/>
      <c r="AB44" s="53"/>
      <c r="AC44" s="4"/>
      <c r="AD44" s="51"/>
      <c r="AE44" s="51"/>
      <c r="AF44" s="51"/>
      <c r="AG44" s="51"/>
      <c r="AH44" s="51"/>
      <c r="AI44" s="51"/>
      <c r="AJ44" s="51"/>
      <c r="AK44" s="1"/>
      <c r="AL44" s="1"/>
      <c r="AM44" s="1"/>
      <c r="AN44" s="1"/>
      <c r="AO44" s="1"/>
      <c r="AP44" s="1"/>
      <c r="AQ44" s="1"/>
      <c r="AR44" s="1"/>
    </row>
    <row r="45" spans="1:44" ht="15.75" customHeight="1" x14ac:dyDescent="0.35">
      <c r="A45" s="1"/>
      <c r="B45" s="1"/>
      <c r="C45" s="4"/>
      <c r="D45" s="4"/>
      <c r="E45" s="48"/>
      <c r="F45" s="4"/>
      <c r="G45" s="49"/>
      <c r="H45" s="49"/>
      <c r="I45" s="49"/>
      <c r="J45" s="4"/>
      <c r="K45" s="49"/>
      <c r="L45" s="49"/>
      <c r="M45" s="49"/>
      <c r="N45" s="4"/>
      <c r="O45" s="50"/>
      <c r="P45" s="50"/>
      <c r="Q45" s="51"/>
      <c r="R45" s="51"/>
      <c r="S45" s="51"/>
      <c r="T45" s="4"/>
      <c r="U45" s="4"/>
      <c r="V45" s="52"/>
      <c r="W45" s="52"/>
      <c r="X45" s="52"/>
      <c r="Y45" s="50"/>
      <c r="Z45" s="53"/>
      <c r="AA45" s="52"/>
      <c r="AB45" s="53"/>
      <c r="AC45" s="4"/>
      <c r="AD45" s="51"/>
      <c r="AE45" s="51"/>
      <c r="AF45" s="51"/>
      <c r="AG45" s="51"/>
      <c r="AH45" s="51"/>
      <c r="AI45" s="51"/>
      <c r="AJ45" s="51"/>
      <c r="AK45" s="1"/>
      <c r="AL45" s="1"/>
      <c r="AM45" s="1"/>
      <c r="AN45" s="1"/>
      <c r="AO45" s="1"/>
      <c r="AP45" s="1"/>
      <c r="AQ45" s="1"/>
      <c r="AR45" s="1"/>
    </row>
    <row r="46" spans="1:44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54"/>
      <c r="X46" s="1"/>
      <c r="Y46" s="3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.75" customHeight="1" x14ac:dyDescent="0.35">
      <c r="A47" s="1"/>
      <c r="B47" s="1"/>
      <c r="C47" s="126" t="s">
        <v>37</v>
      </c>
      <c r="D47" s="127"/>
      <c r="E47" s="128" t="s">
        <v>38</v>
      </c>
      <c r="F47" s="128" t="s">
        <v>11</v>
      </c>
      <c r="G47" s="126" t="s">
        <v>39</v>
      </c>
      <c r="H47" s="130"/>
      <c r="I47" s="127"/>
      <c r="J47" s="131" t="s">
        <v>40</v>
      </c>
      <c r="K47" s="126" t="s">
        <v>41</v>
      </c>
      <c r="L47" s="133"/>
      <c r="M47" s="134"/>
      <c r="N47" s="131" t="s">
        <v>40</v>
      </c>
      <c r="O47" s="1"/>
      <c r="P47" s="136" t="s">
        <v>37</v>
      </c>
      <c r="Q47" s="114"/>
      <c r="R47" s="142" t="s">
        <v>38</v>
      </c>
      <c r="S47" s="140" t="s">
        <v>42</v>
      </c>
      <c r="T47" s="140" t="s">
        <v>43</v>
      </c>
      <c r="U47" s="140" t="s">
        <v>44</v>
      </c>
      <c r="V47" s="140" t="s">
        <v>45</v>
      </c>
      <c r="W47" s="140" t="s">
        <v>46</v>
      </c>
      <c r="X47" s="140" t="s">
        <v>47</v>
      </c>
      <c r="Y47" s="141" t="s">
        <v>27</v>
      </c>
      <c r="Z47" s="142" t="s">
        <v>17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.75" customHeight="1" x14ac:dyDescent="0.35">
      <c r="A48" s="1"/>
      <c r="B48" s="1"/>
      <c r="C48" s="55" t="s">
        <v>20</v>
      </c>
      <c r="D48" s="55" t="s">
        <v>48</v>
      </c>
      <c r="E48" s="129"/>
      <c r="F48" s="129"/>
      <c r="G48" s="55" t="s">
        <v>49</v>
      </c>
      <c r="H48" s="55" t="s">
        <v>50</v>
      </c>
      <c r="I48" s="55" t="s">
        <v>51</v>
      </c>
      <c r="J48" s="132"/>
      <c r="K48" s="55" t="s">
        <v>49</v>
      </c>
      <c r="L48" s="55" t="s">
        <v>50</v>
      </c>
      <c r="M48" s="55" t="s">
        <v>51</v>
      </c>
      <c r="N48" s="135"/>
      <c r="O48" s="1"/>
      <c r="P48" s="56" t="s">
        <v>20</v>
      </c>
      <c r="Q48" s="56" t="s">
        <v>48</v>
      </c>
      <c r="R48" s="103"/>
      <c r="S48" s="103"/>
      <c r="T48" s="103"/>
      <c r="U48" s="103"/>
      <c r="V48" s="103"/>
      <c r="W48" s="103"/>
      <c r="X48" s="103"/>
      <c r="Y48" s="103"/>
      <c r="Z48" s="103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s="21" customFormat="1" ht="15.75" customHeight="1" x14ac:dyDescent="0.35">
      <c r="A49" s="11"/>
      <c r="B49" s="11"/>
      <c r="C49" s="18" t="s">
        <v>29</v>
      </c>
      <c r="D49" s="18">
        <v>1.4910000000000001</v>
      </c>
      <c r="E49" s="14" t="s">
        <v>30</v>
      </c>
      <c r="F49" s="18"/>
      <c r="G49" s="57">
        <v>4.0999999999999996</v>
      </c>
      <c r="H49" s="57">
        <v>3.7</v>
      </c>
      <c r="I49" s="57">
        <v>3.3</v>
      </c>
      <c r="J49" s="13">
        <f t="shared" ref="J49:J76" si="38">(G49-I49)*100*SIN(RADIANS(Y16))</f>
        <v>79.996399290219131</v>
      </c>
      <c r="K49" s="57">
        <v>4.0999999999999996</v>
      </c>
      <c r="L49" s="57">
        <v>3.7</v>
      </c>
      <c r="M49" s="57">
        <v>3.3</v>
      </c>
      <c r="N49" s="13">
        <f t="shared" ref="N49:N76" si="39">-(K49-M49)*100*SIN(RADIANS(AC16))</f>
        <v>79.996399290219131</v>
      </c>
      <c r="O49" s="11"/>
      <c r="P49" s="121" t="s">
        <v>29</v>
      </c>
      <c r="Q49" s="18"/>
      <c r="R49" s="14" t="s">
        <v>30</v>
      </c>
      <c r="S49" s="13">
        <f t="shared" ref="S49:S76" si="40">J49</f>
        <v>79.996399290219131</v>
      </c>
      <c r="T49" s="13">
        <f t="shared" ref="T49:T76" si="41">N49</f>
        <v>79.996399290219131</v>
      </c>
      <c r="U49" s="16">
        <f>AVERAGE(S49,T49,S51,T51)</f>
        <v>79.996402968137289</v>
      </c>
      <c r="V49" s="58">
        <f t="shared" ref="V49:V76" si="42">S49</f>
        <v>79.996399290219131</v>
      </c>
      <c r="W49" s="120">
        <f t="shared" ref="W49:X49" si="43">AVERAGE(U49:U52)</f>
        <v>66.996711901515397</v>
      </c>
      <c r="X49" s="120">
        <f t="shared" si="43"/>
        <v>66.996710757725864</v>
      </c>
      <c r="Y49" s="120">
        <f>AVERAGE(W49:X49)</f>
        <v>66.996711329620638</v>
      </c>
      <c r="Z49" s="137">
        <f>(W49-X49)/Y49</f>
        <v>1.7072323547245163E-8</v>
      </c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15.75" customHeight="1" x14ac:dyDescent="0.35">
      <c r="A50" s="1"/>
      <c r="B50" s="1"/>
      <c r="C50" s="27"/>
      <c r="D50" s="27"/>
      <c r="E50" s="23" t="s">
        <v>31</v>
      </c>
      <c r="F50" s="27"/>
      <c r="G50" s="59">
        <v>3.97</v>
      </c>
      <c r="H50" s="59">
        <v>3.7</v>
      </c>
      <c r="I50" s="59">
        <v>3.43</v>
      </c>
      <c r="J50" s="22">
        <f t="shared" si="38"/>
        <v>53.997022673852584</v>
      </c>
      <c r="K50" s="59">
        <v>3.97</v>
      </c>
      <c r="L50" s="59">
        <v>3.7</v>
      </c>
      <c r="M50" s="59">
        <v>3.43</v>
      </c>
      <c r="N50" s="22">
        <f t="shared" si="39"/>
        <v>53.997022673852577</v>
      </c>
      <c r="O50" s="1"/>
      <c r="P50" s="119"/>
      <c r="Q50" s="27"/>
      <c r="R50" s="23" t="s">
        <v>31</v>
      </c>
      <c r="S50" s="22">
        <f t="shared" si="40"/>
        <v>53.997022673852584</v>
      </c>
      <c r="T50" s="22">
        <f t="shared" si="41"/>
        <v>53.997022673852577</v>
      </c>
      <c r="U50" s="25">
        <f>S50</f>
        <v>53.997022673852584</v>
      </c>
      <c r="V50" s="60">
        <f t="shared" si="42"/>
        <v>53.997022673852584</v>
      </c>
      <c r="W50" s="119"/>
      <c r="X50" s="119"/>
      <c r="Y50" s="119"/>
      <c r="Z50" s="119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5.75" customHeight="1" x14ac:dyDescent="0.35">
      <c r="A51" s="1"/>
      <c r="B51" s="1"/>
      <c r="C51" s="27"/>
      <c r="D51" s="27"/>
      <c r="E51" s="23" t="s">
        <v>30</v>
      </c>
      <c r="F51" s="27"/>
      <c r="G51" s="59">
        <v>4.0999999999999996</v>
      </c>
      <c r="H51" s="59">
        <v>3.7</v>
      </c>
      <c r="I51" s="59">
        <v>3.3</v>
      </c>
      <c r="J51" s="22">
        <f t="shared" si="38"/>
        <v>79.996406646055462</v>
      </c>
      <c r="K51" s="59">
        <v>4.0999999999999996</v>
      </c>
      <c r="L51" s="59">
        <v>3.7</v>
      </c>
      <c r="M51" s="59">
        <v>3.3</v>
      </c>
      <c r="N51" s="22">
        <f>-(K51-M51)*100*SIN(RADIANS(AC18))</f>
        <v>79.996406646055462</v>
      </c>
      <c r="O51" s="1"/>
      <c r="P51" s="119"/>
      <c r="Q51" s="27"/>
      <c r="R51" s="23" t="s">
        <v>30</v>
      </c>
      <c r="S51" s="22">
        <f t="shared" si="40"/>
        <v>79.996406646055462</v>
      </c>
      <c r="T51" s="22">
        <f t="shared" si="41"/>
        <v>79.996406646055462</v>
      </c>
      <c r="U51" s="25">
        <f t="shared" ref="U51:U52" si="44">T49</f>
        <v>79.996399290219131</v>
      </c>
      <c r="V51" s="60">
        <f t="shared" si="42"/>
        <v>79.996406646055462</v>
      </c>
      <c r="W51" s="119"/>
      <c r="X51" s="119"/>
      <c r="Y51" s="119"/>
      <c r="Z51" s="119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5.75" customHeight="1" x14ac:dyDescent="0.35">
      <c r="A52" s="1"/>
      <c r="B52" s="1"/>
      <c r="C52" s="27"/>
      <c r="D52" s="27"/>
      <c r="E52" s="23" t="s">
        <v>31</v>
      </c>
      <c r="F52" s="27"/>
      <c r="G52" s="59">
        <v>3.97</v>
      </c>
      <c r="H52" s="59">
        <v>3.7</v>
      </c>
      <c r="I52" s="59">
        <v>3.43</v>
      </c>
      <c r="J52" s="22">
        <f t="shared" si="38"/>
        <v>53.99701442077626</v>
      </c>
      <c r="K52" s="59">
        <v>3.97</v>
      </c>
      <c r="L52" s="59">
        <v>3.7</v>
      </c>
      <c r="M52" s="59">
        <v>3.43</v>
      </c>
      <c r="N52" s="22">
        <f>-(K52-M52)*100*SIN(RADIANS(AC19))</f>
        <v>53.99701442077626</v>
      </c>
      <c r="O52" s="1"/>
      <c r="P52" s="103"/>
      <c r="Q52" s="27"/>
      <c r="R52" s="23" t="s">
        <v>31</v>
      </c>
      <c r="S52" s="22">
        <f t="shared" si="40"/>
        <v>53.99701442077626</v>
      </c>
      <c r="T52" s="22">
        <f t="shared" si="41"/>
        <v>53.99701442077626</v>
      </c>
      <c r="U52" s="25">
        <f t="shared" si="44"/>
        <v>53.997022673852577</v>
      </c>
      <c r="V52" s="60">
        <f t="shared" si="42"/>
        <v>53.99701442077626</v>
      </c>
      <c r="W52" s="103"/>
      <c r="X52" s="103"/>
      <c r="Y52" s="103"/>
      <c r="Z52" s="10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s="21" customFormat="1" ht="15.75" customHeight="1" x14ac:dyDescent="0.35">
      <c r="A53" s="11"/>
      <c r="B53" s="11"/>
      <c r="C53" s="18" t="s">
        <v>31</v>
      </c>
      <c r="D53" s="58">
        <v>1.522</v>
      </c>
      <c r="E53" s="14" t="s">
        <v>29</v>
      </c>
      <c r="F53" s="18"/>
      <c r="G53" s="57">
        <v>3.97</v>
      </c>
      <c r="H53" s="57">
        <v>3.7</v>
      </c>
      <c r="I53" s="57">
        <v>3.43</v>
      </c>
      <c r="J53" s="13">
        <f t="shared" si="38"/>
        <v>53.997017173070866</v>
      </c>
      <c r="K53" s="57">
        <v>3.97</v>
      </c>
      <c r="L53" s="57">
        <v>3.7</v>
      </c>
      <c r="M53" s="57">
        <v>3.43</v>
      </c>
      <c r="N53" s="13">
        <f t="shared" si="39"/>
        <v>53.997017173070866</v>
      </c>
      <c r="O53" s="11"/>
      <c r="P53" s="121" t="s">
        <v>31</v>
      </c>
      <c r="Q53" s="18"/>
      <c r="R53" s="14" t="s">
        <v>29</v>
      </c>
      <c r="S53" s="13">
        <f t="shared" si="40"/>
        <v>53.997017173070866</v>
      </c>
      <c r="T53" s="13">
        <f t="shared" si="41"/>
        <v>53.997017173070866</v>
      </c>
      <c r="U53" s="16">
        <f t="shared" ref="U53:U54" si="45">S53</f>
        <v>53.997017173070866</v>
      </c>
      <c r="V53" s="58">
        <f t="shared" si="42"/>
        <v>53.997017173070866</v>
      </c>
      <c r="W53" s="120">
        <f t="shared" ref="W53" si="46">AVERAGE(U53:U56)</f>
        <v>55.983007835308698</v>
      </c>
      <c r="X53" s="120">
        <f>AVERAGE(V53:V56)</f>
        <v>55.983007835308698</v>
      </c>
      <c r="Y53" s="120">
        <f t="shared" ref="Y53" si="47">AVERAGE(W53:X53)</f>
        <v>55.983007835308698</v>
      </c>
      <c r="Z53" s="137">
        <f>(W53-X53)/Y53</f>
        <v>0</v>
      </c>
      <c r="AA53" s="11"/>
      <c r="AB53" s="61"/>
      <c r="AC53" s="61" t="s">
        <v>52</v>
      </c>
      <c r="AD53" s="6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ht="15.75" customHeight="1" x14ac:dyDescent="0.35">
      <c r="A54" s="1"/>
      <c r="B54" s="1"/>
      <c r="C54" s="27"/>
      <c r="D54" s="27"/>
      <c r="E54" s="23" t="s">
        <v>33</v>
      </c>
      <c r="F54" s="27"/>
      <c r="G54" s="59">
        <v>3.99</v>
      </c>
      <c r="H54" s="59">
        <v>3.7</v>
      </c>
      <c r="I54" s="59">
        <v>3.41</v>
      </c>
      <c r="J54" s="22">
        <f t="shared" si="38"/>
        <v>57.968992058308679</v>
      </c>
      <c r="K54" s="59">
        <v>3.99</v>
      </c>
      <c r="L54" s="59">
        <v>3.7</v>
      </c>
      <c r="M54" s="59">
        <v>3.41</v>
      </c>
      <c r="N54" s="22">
        <f t="shared" si="39"/>
        <v>57.968992058308679</v>
      </c>
      <c r="O54" s="1"/>
      <c r="P54" s="119"/>
      <c r="Q54" s="27"/>
      <c r="R54" s="23" t="s">
        <v>33</v>
      </c>
      <c r="S54" s="22">
        <f t="shared" si="40"/>
        <v>57.968992058308679</v>
      </c>
      <c r="T54" s="22">
        <f t="shared" si="41"/>
        <v>57.968992058308679</v>
      </c>
      <c r="U54" s="25">
        <f t="shared" si="45"/>
        <v>57.968992058308679</v>
      </c>
      <c r="V54" s="60">
        <f t="shared" si="42"/>
        <v>57.968992058308679</v>
      </c>
      <c r="W54" s="119"/>
      <c r="X54" s="119"/>
      <c r="Y54" s="119"/>
      <c r="Z54" s="119"/>
      <c r="AA54" s="1"/>
      <c r="AB54" s="4"/>
      <c r="AC54" s="138">
        <f>1/3000</f>
        <v>3.3333333333333332E-4</v>
      </c>
      <c r="AD54" s="13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5.75" customHeight="1" x14ac:dyDescent="0.35">
      <c r="A55" s="62"/>
      <c r="B55" s="62"/>
      <c r="C55" s="63"/>
      <c r="D55" s="63"/>
      <c r="E55" s="23" t="s">
        <v>29</v>
      </c>
      <c r="F55" s="63"/>
      <c r="G55" s="59">
        <v>3.97</v>
      </c>
      <c r="H55" s="59">
        <v>3.7</v>
      </c>
      <c r="I55" s="59">
        <v>3.43</v>
      </c>
      <c r="J55" s="63">
        <f t="shared" si="38"/>
        <v>53.997011667212476</v>
      </c>
      <c r="K55" s="59">
        <v>3.97</v>
      </c>
      <c r="L55" s="59">
        <v>3.7</v>
      </c>
      <c r="M55" s="59">
        <v>3.43</v>
      </c>
      <c r="N55" s="63">
        <f t="shared" si="39"/>
        <v>53.997011667212476</v>
      </c>
      <c r="O55" s="62"/>
      <c r="P55" s="119"/>
      <c r="Q55" s="27"/>
      <c r="R55" s="23" t="s">
        <v>29</v>
      </c>
      <c r="S55" s="63">
        <f t="shared" si="40"/>
        <v>53.997011667212476</v>
      </c>
      <c r="T55" s="63">
        <f t="shared" si="41"/>
        <v>53.997011667212476</v>
      </c>
      <c r="U55" s="64">
        <f t="shared" ref="U55:U56" si="48">T55</f>
        <v>53.997011667212476</v>
      </c>
      <c r="V55" s="64">
        <f t="shared" si="42"/>
        <v>53.997011667212476</v>
      </c>
      <c r="W55" s="119"/>
      <c r="X55" s="119"/>
      <c r="Y55" s="119"/>
      <c r="Z55" s="119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</row>
    <row r="56" spans="1:44" ht="15.75" customHeight="1" x14ac:dyDescent="0.35">
      <c r="A56" s="1"/>
      <c r="B56" s="1"/>
      <c r="C56" s="27"/>
      <c r="D56" s="27"/>
      <c r="E56" s="23" t="s">
        <v>33</v>
      </c>
      <c r="F56" s="27"/>
      <c r="G56" s="59">
        <v>3.99</v>
      </c>
      <c r="H56" s="59">
        <v>3.7</v>
      </c>
      <c r="I56" s="59">
        <v>3.41</v>
      </c>
      <c r="J56" s="22">
        <f t="shared" si="38"/>
        <v>57.969010442642769</v>
      </c>
      <c r="K56" s="59">
        <v>3.99</v>
      </c>
      <c r="L56" s="59">
        <v>3.7</v>
      </c>
      <c r="M56" s="59">
        <v>3.41</v>
      </c>
      <c r="N56" s="22">
        <f t="shared" si="39"/>
        <v>57.969010442642769</v>
      </c>
      <c r="O56" s="1"/>
      <c r="P56" s="103"/>
      <c r="Q56" s="27"/>
      <c r="R56" s="23" t="s">
        <v>33</v>
      </c>
      <c r="S56" s="22">
        <f t="shared" si="40"/>
        <v>57.969010442642769</v>
      </c>
      <c r="T56" s="22">
        <f t="shared" si="41"/>
        <v>57.969010442642769</v>
      </c>
      <c r="U56" s="25">
        <f t="shared" si="48"/>
        <v>57.969010442642769</v>
      </c>
      <c r="V56" s="60">
        <f t="shared" si="42"/>
        <v>57.969010442642769</v>
      </c>
      <c r="W56" s="103"/>
      <c r="X56" s="103"/>
      <c r="Y56" s="103"/>
      <c r="Z56" s="103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s="21" customFormat="1" ht="15.75" customHeight="1" x14ac:dyDescent="0.35">
      <c r="A57" s="11"/>
      <c r="B57" s="11"/>
      <c r="C57" s="18" t="s">
        <v>33</v>
      </c>
      <c r="D57" s="18">
        <v>1.611</v>
      </c>
      <c r="E57" s="14" t="s">
        <v>31</v>
      </c>
      <c r="F57" s="18"/>
      <c r="G57" s="57">
        <v>3.99</v>
      </c>
      <c r="H57" s="57">
        <v>3.7</v>
      </c>
      <c r="I57" s="57">
        <v>3.41</v>
      </c>
      <c r="J57" s="13">
        <f t="shared" si="38"/>
        <v>57.969028821526742</v>
      </c>
      <c r="K57" s="57">
        <v>3.99</v>
      </c>
      <c r="L57" s="57">
        <v>3.7</v>
      </c>
      <c r="M57" s="57">
        <v>3.4</v>
      </c>
      <c r="N57" s="13">
        <f t="shared" si="39"/>
        <v>58.968494835691018</v>
      </c>
      <c r="O57" s="11"/>
      <c r="P57" s="121" t="s">
        <v>33</v>
      </c>
      <c r="Q57" s="18"/>
      <c r="R57" s="14" t="s">
        <v>31</v>
      </c>
      <c r="S57" s="13">
        <f t="shared" si="40"/>
        <v>57.969028821526742</v>
      </c>
      <c r="T57" s="13">
        <f t="shared" si="41"/>
        <v>58.968494835691018</v>
      </c>
      <c r="U57" s="16">
        <f t="shared" ref="U57:U58" si="49">S57</f>
        <v>57.969028821526742</v>
      </c>
      <c r="V57" s="58">
        <f t="shared" si="42"/>
        <v>57.969028821526742</v>
      </c>
      <c r="W57" s="120">
        <f t="shared" ref="W57:X57" si="50">AVERAGE(U57:U60)</f>
        <v>66.468174794338481</v>
      </c>
      <c r="X57" s="120">
        <f t="shared" si="50"/>
        <v>66.468174794338481</v>
      </c>
      <c r="Y57" s="120">
        <f t="shared" ref="Y57" si="51">AVERAGE(W57:X57)</f>
        <v>66.468174794338481</v>
      </c>
      <c r="Z57" s="102">
        <f>(W57-X57)/Y57</f>
        <v>0</v>
      </c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15.75" customHeight="1" x14ac:dyDescent="0.35">
      <c r="A58" s="1"/>
      <c r="B58" s="1"/>
      <c r="C58" s="27"/>
      <c r="D58" s="27"/>
      <c r="E58" s="23" t="s">
        <v>34</v>
      </c>
      <c r="F58" s="27"/>
      <c r="G58" s="59">
        <v>4.0750000000000002</v>
      </c>
      <c r="H58" s="59">
        <v>3.7</v>
      </c>
      <c r="I58" s="59">
        <v>3.3250000000000002</v>
      </c>
      <c r="J58" s="22">
        <f t="shared" si="38"/>
        <v>74.967365972968693</v>
      </c>
      <c r="K58" s="59">
        <v>4.0750000000000002</v>
      </c>
      <c r="L58" s="59">
        <v>3.7</v>
      </c>
      <c r="M58" s="59">
        <v>3.3250000000000002</v>
      </c>
      <c r="N58" s="22">
        <f t="shared" si="39"/>
        <v>74.967365972968693</v>
      </c>
      <c r="O58" s="1"/>
      <c r="P58" s="119"/>
      <c r="Q58" s="27"/>
      <c r="R58" s="23" t="s">
        <v>34</v>
      </c>
      <c r="S58" s="22">
        <f t="shared" si="40"/>
        <v>74.967365972968693</v>
      </c>
      <c r="T58" s="22">
        <f t="shared" si="41"/>
        <v>74.967365972968693</v>
      </c>
      <c r="U58" s="25">
        <f t="shared" si="49"/>
        <v>74.967365972968693</v>
      </c>
      <c r="V58" s="60">
        <f t="shared" si="42"/>
        <v>74.967365972968693</v>
      </c>
      <c r="W58" s="119"/>
      <c r="X58" s="119"/>
      <c r="Y58" s="119"/>
      <c r="Z58" s="119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5.75" customHeight="1" x14ac:dyDescent="0.35">
      <c r="A59" s="1"/>
      <c r="B59" s="1"/>
      <c r="C59" s="27"/>
      <c r="D59" s="27"/>
      <c r="E59" s="23" t="s">
        <v>31</v>
      </c>
      <c r="F59" s="27"/>
      <c r="G59" s="59">
        <v>3.99</v>
      </c>
      <c r="H59" s="59">
        <v>3.7</v>
      </c>
      <c r="I59" s="59">
        <v>3.41</v>
      </c>
      <c r="J59" s="22">
        <f t="shared" si="38"/>
        <v>57.968992058308679</v>
      </c>
      <c r="K59" s="59">
        <v>3.99</v>
      </c>
      <c r="L59" s="59">
        <v>3.7</v>
      </c>
      <c r="M59" s="59">
        <v>3.41</v>
      </c>
      <c r="N59" s="22">
        <f t="shared" si="39"/>
        <v>57.968992058308679</v>
      </c>
      <c r="O59" s="1"/>
      <c r="P59" s="119"/>
      <c r="Q59" s="27"/>
      <c r="R59" s="23" t="s">
        <v>31</v>
      </c>
      <c r="S59" s="22">
        <f t="shared" si="40"/>
        <v>57.968992058308679</v>
      </c>
      <c r="T59" s="22">
        <f t="shared" si="41"/>
        <v>57.968992058308679</v>
      </c>
      <c r="U59" s="25">
        <f t="shared" ref="U59:U76" si="52">T59</f>
        <v>57.968992058308679</v>
      </c>
      <c r="V59" s="60">
        <f t="shared" si="42"/>
        <v>57.968992058308679</v>
      </c>
      <c r="W59" s="119"/>
      <c r="X59" s="119"/>
      <c r="Y59" s="119"/>
      <c r="Z59" s="119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5.75" customHeight="1" x14ac:dyDescent="0.35">
      <c r="A60" s="1"/>
      <c r="B60" s="1"/>
      <c r="C60" s="27"/>
      <c r="D60" s="27"/>
      <c r="E60" s="34" t="s">
        <v>34</v>
      </c>
      <c r="F60" s="27"/>
      <c r="G60" s="59">
        <v>4.0750000000000002</v>
      </c>
      <c r="H60" s="59">
        <v>3.7</v>
      </c>
      <c r="I60" s="59">
        <v>3.3250000000000002</v>
      </c>
      <c r="J60" s="22">
        <f t="shared" si="38"/>
        <v>74.967312324549781</v>
      </c>
      <c r="K60" s="59">
        <v>4.0750000000000002</v>
      </c>
      <c r="L60" s="59">
        <v>3.7</v>
      </c>
      <c r="M60" s="59">
        <v>3.3250000000000002</v>
      </c>
      <c r="N60" s="22">
        <f t="shared" si="39"/>
        <v>74.967312324549781</v>
      </c>
      <c r="O60" s="1"/>
      <c r="P60" s="103"/>
      <c r="Q60" s="27"/>
      <c r="R60" s="34" t="s">
        <v>34</v>
      </c>
      <c r="S60" s="22">
        <f t="shared" si="40"/>
        <v>74.967312324549781</v>
      </c>
      <c r="T60" s="22">
        <f t="shared" si="41"/>
        <v>74.967312324549781</v>
      </c>
      <c r="U60" s="25">
        <f t="shared" si="52"/>
        <v>74.967312324549781</v>
      </c>
      <c r="V60" s="60">
        <f t="shared" si="42"/>
        <v>74.967312324549781</v>
      </c>
      <c r="W60" s="103"/>
      <c r="X60" s="103"/>
      <c r="Y60" s="103"/>
      <c r="Z60" s="103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s="21" customFormat="1" ht="15.75" customHeight="1" x14ac:dyDescent="0.35">
      <c r="A61" s="11"/>
      <c r="B61" s="11"/>
      <c r="C61" s="18" t="s">
        <v>34</v>
      </c>
      <c r="D61" s="18">
        <v>1.5569999999999999</v>
      </c>
      <c r="E61" s="38" t="s">
        <v>33</v>
      </c>
      <c r="F61" s="18"/>
      <c r="G61" s="57">
        <v>4.0750000000000002</v>
      </c>
      <c r="H61" s="57">
        <v>3.7</v>
      </c>
      <c r="I61" s="57">
        <v>3.3250000000000002</v>
      </c>
      <c r="J61" s="18">
        <f t="shared" si="38"/>
        <v>74.967419577335974</v>
      </c>
      <c r="K61" s="57">
        <v>4.0750000000000002</v>
      </c>
      <c r="L61" s="57">
        <v>3.7</v>
      </c>
      <c r="M61" s="57">
        <v>3.3250000000000002</v>
      </c>
      <c r="N61" s="13">
        <f t="shared" si="39"/>
        <v>74.967419577335974</v>
      </c>
      <c r="O61" s="11"/>
      <c r="P61" s="121" t="s">
        <v>34</v>
      </c>
      <c r="Q61" s="18"/>
      <c r="R61" s="38" t="s">
        <v>33</v>
      </c>
      <c r="S61" s="13">
        <f t="shared" si="40"/>
        <v>74.967419577335974</v>
      </c>
      <c r="T61" s="13">
        <f t="shared" si="41"/>
        <v>74.967419577335974</v>
      </c>
      <c r="U61" s="18">
        <f t="shared" si="52"/>
        <v>74.967419577335974</v>
      </c>
      <c r="V61" s="18">
        <f t="shared" si="42"/>
        <v>74.967419577335974</v>
      </c>
      <c r="W61" s="121">
        <f t="shared" ref="W61:X61" si="53">AVERAGE(U61:U64)</f>
        <v>65.201183123122476</v>
      </c>
      <c r="X61" s="120">
        <f t="shared" si="53"/>
        <v>65.201183123122476</v>
      </c>
      <c r="Y61" s="120">
        <f t="shared" ref="Y61" si="54">AVERAGE(W61:X61)</f>
        <v>65.201183123122476</v>
      </c>
      <c r="Z61" s="102">
        <f>(W61-X61)/Y61</f>
        <v>0</v>
      </c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15.75" customHeight="1" x14ac:dyDescent="0.35">
      <c r="A62" s="1"/>
      <c r="B62" s="1"/>
      <c r="C62" s="27"/>
      <c r="D62" s="27"/>
      <c r="E62" s="39" t="s">
        <v>35</v>
      </c>
      <c r="F62" s="27"/>
      <c r="G62" s="59">
        <v>3.98</v>
      </c>
      <c r="H62" s="59">
        <v>3.7</v>
      </c>
      <c r="I62" s="59">
        <v>3.4249999999999998</v>
      </c>
      <c r="J62" s="27">
        <f t="shared" si="38"/>
        <v>55.434944364228564</v>
      </c>
      <c r="K62" s="59">
        <v>3.98</v>
      </c>
      <c r="L62" s="59">
        <v>3.7</v>
      </c>
      <c r="M62" s="59">
        <v>3.4249999999999998</v>
      </c>
      <c r="N62" s="22">
        <f t="shared" si="39"/>
        <v>55.434944364228564</v>
      </c>
      <c r="O62" s="1"/>
      <c r="P62" s="119"/>
      <c r="Q62" s="27"/>
      <c r="R62" s="39" t="s">
        <v>35</v>
      </c>
      <c r="S62" s="22">
        <f t="shared" si="40"/>
        <v>55.434944364228564</v>
      </c>
      <c r="T62" s="22">
        <f t="shared" si="41"/>
        <v>55.434944364228564</v>
      </c>
      <c r="U62" s="27">
        <f t="shared" si="52"/>
        <v>55.434944364228564</v>
      </c>
      <c r="V62" s="65">
        <f t="shared" si="42"/>
        <v>55.434944364228564</v>
      </c>
      <c r="W62" s="119"/>
      <c r="X62" s="119"/>
      <c r="Y62" s="119"/>
      <c r="Z62" s="119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5.75" customHeight="1" x14ac:dyDescent="0.35">
      <c r="A63" s="1"/>
      <c r="B63" s="1"/>
      <c r="C63" s="27"/>
      <c r="D63" s="27"/>
      <c r="E63" s="39" t="s">
        <v>33</v>
      </c>
      <c r="F63" s="27"/>
      <c r="G63" s="59">
        <v>4.0750000000000002</v>
      </c>
      <c r="H63" s="59">
        <v>3.7</v>
      </c>
      <c r="I63" s="59">
        <v>3.3250000000000002</v>
      </c>
      <c r="J63" s="27">
        <f t="shared" si="38"/>
        <v>74.967398140875261</v>
      </c>
      <c r="K63" s="59">
        <v>4.0750000000000002</v>
      </c>
      <c r="L63" s="59">
        <v>3.7</v>
      </c>
      <c r="M63" s="59">
        <v>3.3250000000000002</v>
      </c>
      <c r="N63" s="22">
        <f t="shared" si="39"/>
        <v>74.967398140875261</v>
      </c>
      <c r="O63" s="1"/>
      <c r="P63" s="119"/>
      <c r="Q63" s="27"/>
      <c r="R63" s="39" t="s">
        <v>33</v>
      </c>
      <c r="S63" s="22">
        <f t="shared" si="40"/>
        <v>74.967398140875261</v>
      </c>
      <c r="T63" s="22">
        <f t="shared" si="41"/>
        <v>74.967398140875261</v>
      </c>
      <c r="U63" s="27">
        <f t="shared" si="52"/>
        <v>74.967398140875261</v>
      </c>
      <c r="V63" s="27">
        <f t="shared" si="42"/>
        <v>74.967398140875261</v>
      </c>
      <c r="W63" s="119"/>
      <c r="X63" s="119"/>
      <c r="Y63" s="119"/>
      <c r="Z63" s="119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5.75" customHeight="1" x14ac:dyDescent="0.35">
      <c r="A64" s="1"/>
      <c r="B64" s="1"/>
      <c r="C64" s="27"/>
      <c r="D64" s="27"/>
      <c r="E64" s="40" t="s">
        <v>35</v>
      </c>
      <c r="F64" s="27"/>
      <c r="G64" s="59">
        <v>3.98</v>
      </c>
      <c r="H64" s="59">
        <v>3.7</v>
      </c>
      <c r="I64" s="59">
        <v>3.4249999999999998</v>
      </c>
      <c r="J64" s="27">
        <f t="shared" si="38"/>
        <v>55.434970410050092</v>
      </c>
      <c r="K64" s="59">
        <v>3.98</v>
      </c>
      <c r="L64" s="59">
        <v>3.7</v>
      </c>
      <c r="M64" s="59">
        <v>3.4249999999999998</v>
      </c>
      <c r="N64" s="22">
        <f t="shared" si="39"/>
        <v>55.434970410050092</v>
      </c>
      <c r="O64" s="1"/>
      <c r="P64" s="103"/>
      <c r="Q64" s="27"/>
      <c r="R64" s="40" t="s">
        <v>35</v>
      </c>
      <c r="S64" s="22">
        <f t="shared" si="40"/>
        <v>55.434970410050092</v>
      </c>
      <c r="T64" s="22">
        <f t="shared" si="41"/>
        <v>55.434970410050092</v>
      </c>
      <c r="U64" s="27">
        <f t="shared" si="52"/>
        <v>55.434970410050092</v>
      </c>
      <c r="V64" s="27">
        <f t="shared" si="42"/>
        <v>55.434970410050092</v>
      </c>
      <c r="W64" s="103"/>
      <c r="X64" s="103"/>
      <c r="Y64" s="103"/>
      <c r="Z64" s="103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s="21" customFormat="1" ht="15.75" customHeight="1" x14ac:dyDescent="0.35">
      <c r="A65" s="11"/>
      <c r="B65" s="11"/>
      <c r="C65" s="38" t="s">
        <v>35</v>
      </c>
      <c r="D65" s="18">
        <v>1.57</v>
      </c>
      <c r="E65" s="43" t="s">
        <v>34</v>
      </c>
      <c r="F65" s="18"/>
      <c r="G65" s="57">
        <v>3.98</v>
      </c>
      <c r="H65" s="57">
        <v>3.7</v>
      </c>
      <c r="I65" s="57">
        <v>3.4249999999999998</v>
      </c>
      <c r="J65" s="18">
        <f t="shared" si="38"/>
        <v>55.434918313195162</v>
      </c>
      <c r="K65" s="57">
        <v>3.98</v>
      </c>
      <c r="L65" s="57">
        <v>3.7</v>
      </c>
      <c r="M65" s="57">
        <v>3.4249999999999998</v>
      </c>
      <c r="N65" s="13">
        <f t="shared" si="39"/>
        <v>55.434918313195162</v>
      </c>
      <c r="O65" s="11"/>
      <c r="P65" s="121" t="s">
        <v>35</v>
      </c>
      <c r="Q65" s="18"/>
      <c r="R65" s="43" t="s">
        <v>34</v>
      </c>
      <c r="S65" s="13">
        <f t="shared" si="40"/>
        <v>55.434918313195162</v>
      </c>
      <c r="T65" s="13">
        <f t="shared" si="41"/>
        <v>55.434918313195162</v>
      </c>
      <c r="U65" s="18">
        <f t="shared" si="52"/>
        <v>55.434918313195162</v>
      </c>
      <c r="V65" s="18">
        <f t="shared" si="42"/>
        <v>55.434918313195162</v>
      </c>
      <c r="W65" s="121">
        <f t="shared" ref="W65:X65" si="55">AVERAGE(U65:U68)</f>
        <v>55.198194079843866</v>
      </c>
      <c r="X65" s="120">
        <f t="shared" si="55"/>
        <v>55.198194079843866</v>
      </c>
      <c r="Y65" s="120">
        <f t="shared" ref="Y65" si="56">AVERAGE(W65:X65)</f>
        <v>55.198194079843866</v>
      </c>
      <c r="Z65" s="102">
        <f>(W65-X65)/Y65</f>
        <v>0</v>
      </c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15.75" customHeight="1" x14ac:dyDescent="0.35">
      <c r="A66" s="1"/>
      <c r="B66" s="1"/>
      <c r="C66" s="27"/>
      <c r="D66" s="27"/>
      <c r="E66" s="46" t="s">
        <v>36</v>
      </c>
      <c r="F66" s="27"/>
      <c r="G66" s="59">
        <v>3.98</v>
      </c>
      <c r="H66" s="59">
        <v>3.7</v>
      </c>
      <c r="I66" s="59">
        <v>3.43</v>
      </c>
      <c r="J66" s="27">
        <f t="shared" si="38"/>
        <v>54.961451830535403</v>
      </c>
      <c r="K66" s="59">
        <v>3.98</v>
      </c>
      <c r="L66" s="59">
        <v>3.7</v>
      </c>
      <c r="M66" s="59">
        <v>3.43</v>
      </c>
      <c r="N66" s="22">
        <f t="shared" si="39"/>
        <v>54.961451830535403</v>
      </c>
      <c r="O66" s="1"/>
      <c r="P66" s="119"/>
      <c r="Q66" s="27"/>
      <c r="R66" s="46" t="s">
        <v>36</v>
      </c>
      <c r="S66" s="22">
        <f t="shared" si="40"/>
        <v>54.961451830535403</v>
      </c>
      <c r="T66" s="22">
        <f t="shared" si="41"/>
        <v>54.961451830535403</v>
      </c>
      <c r="U66" s="27">
        <f t="shared" si="52"/>
        <v>54.961451830535403</v>
      </c>
      <c r="V66" s="27">
        <f t="shared" si="42"/>
        <v>54.961451830535403</v>
      </c>
      <c r="W66" s="119"/>
      <c r="X66" s="119"/>
      <c r="Y66" s="119"/>
      <c r="Z66" s="119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5.75" customHeight="1" x14ac:dyDescent="0.35">
      <c r="A67" s="1"/>
      <c r="B67" s="1"/>
      <c r="C67" s="27"/>
      <c r="D67" s="27"/>
      <c r="E67" s="46" t="s">
        <v>34</v>
      </c>
      <c r="F67" s="27"/>
      <c r="G67" s="59">
        <v>3.98</v>
      </c>
      <c r="H67" s="59">
        <v>3.7</v>
      </c>
      <c r="I67" s="59">
        <v>3.4249999999999998</v>
      </c>
      <c r="J67" s="27">
        <f t="shared" si="38"/>
        <v>55.434944364228564</v>
      </c>
      <c r="K67" s="59">
        <v>3.98</v>
      </c>
      <c r="L67" s="59">
        <v>3.7</v>
      </c>
      <c r="M67" s="59">
        <v>3.4249999999999998</v>
      </c>
      <c r="N67" s="22">
        <f t="shared" si="39"/>
        <v>55.434944364228564</v>
      </c>
      <c r="O67" s="1"/>
      <c r="P67" s="119"/>
      <c r="Q67" s="27"/>
      <c r="R67" s="46" t="s">
        <v>34</v>
      </c>
      <c r="S67" s="22">
        <f t="shared" si="40"/>
        <v>55.434944364228564</v>
      </c>
      <c r="T67" s="22">
        <f t="shared" si="41"/>
        <v>55.434944364228564</v>
      </c>
      <c r="U67" s="27">
        <f t="shared" si="52"/>
        <v>55.434944364228564</v>
      </c>
      <c r="V67" s="27">
        <f t="shared" si="42"/>
        <v>55.434944364228564</v>
      </c>
      <c r="W67" s="119"/>
      <c r="X67" s="119"/>
      <c r="Y67" s="119"/>
      <c r="Z67" s="119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5.75" customHeight="1" x14ac:dyDescent="0.35">
      <c r="A68" s="1"/>
      <c r="B68" s="1"/>
      <c r="C68" s="27"/>
      <c r="D68" s="27"/>
      <c r="E68" s="46" t="s">
        <v>36</v>
      </c>
      <c r="F68" s="27"/>
      <c r="G68" s="59">
        <v>3.98</v>
      </c>
      <c r="H68" s="59">
        <v>3.7</v>
      </c>
      <c r="I68" s="59">
        <v>3.43</v>
      </c>
      <c r="J68" s="27">
        <f t="shared" si="38"/>
        <v>54.961461811416335</v>
      </c>
      <c r="K68" s="59">
        <v>3.98</v>
      </c>
      <c r="L68" s="59">
        <v>3.7</v>
      </c>
      <c r="M68" s="59">
        <v>3.43</v>
      </c>
      <c r="N68" s="22">
        <f t="shared" si="39"/>
        <v>54.961461811416335</v>
      </c>
      <c r="O68" s="1"/>
      <c r="P68" s="103"/>
      <c r="Q68" s="27"/>
      <c r="R68" s="46" t="s">
        <v>36</v>
      </c>
      <c r="S68" s="22">
        <f t="shared" si="40"/>
        <v>54.961461811416335</v>
      </c>
      <c r="T68" s="22">
        <f t="shared" si="41"/>
        <v>54.961461811416335</v>
      </c>
      <c r="U68" s="27">
        <f t="shared" si="52"/>
        <v>54.961461811416335</v>
      </c>
      <c r="V68" s="27">
        <f t="shared" si="42"/>
        <v>54.961461811416335</v>
      </c>
      <c r="W68" s="103"/>
      <c r="X68" s="103"/>
      <c r="Y68" s="103"/>
      <c r="Z68" s="103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s="21" customFormat="1" ht="15.75" customHeight="1" x14ac:dyDescent="0.35">
      <c r="A69" s="11"/>
      <c r="B69" s="11"/>
      <c r="C69" s="18" t="s">
        <v>36</v>
      </c>
      <c r="D69" s="18">
        <v>1.5980000000000001</v>
      </c>
      <c r="E69" s="18" t="s">
        <v>35</v>
      </c>
      <c r="F69" s="18"/>
      <c r="G69" s="57">
        <v>3.98</v>
      </c>
      <c r="H69" s="57">
        <v>3.7</v>
      </c>
      <c r="I69" s="57">
        <v>3.43</v>
      </c>
      <c r="J69" s="18">
        <f t="shared" si="38"/>
        <v>54.961441848362639</v>
      </c>
      <c r="K69" s="57">
        <v>3.98</v>
      </c>
      <c r="L69" s="57">
        <v>3.7</v>
      </c>
      <c r="M69" s="57">
        <v>3.43</v>
      </c>
      <c r="N69" s="13">
        <f t="shared" si="39"/>
        <v>54.961441848362639</v>
      </c>
      <c r="O69" s="11"/>
      <c r="P69" s="121" t="s">
        <v>36</v>
      </c>
      <c r="Q69" s="18"/>
      <c r="R69" s="18" t="s">
        <v>29</v>
      </c>
      <c r="S69" s="13">
        <f t="shared" si="40"/>
        <v>54.961441848362639</v>
      </c>
      <c r="T69" s="13">
        <f t="shared" si="41"/>
        <v>54.961441848362639</v>
      </c>
      <c r="U69" s="18">
        <f t="shared" si="52"/>
        <v>54.961441848362639</v>
      </c>
      <c r="V69" s="18">
        <f t="shared" si="42"/>
        <v>54.961441848362639</v>
      </c>
      <c r="W69" s="121">
        <f t="shared" ref="W69:X69" si="57">AVERAGE(U69:U72)</f>
        <v>66.466414894856328</v>
      </c>
      <c r="X69" s="120">
        <f t="shared" si="57"/>
        <v>66.466414894856328</v>
      </c>
      <c r="Y69" s="120">
        <f t="shared" ref="Y69" si="58">AVERAGE(W69:X69)</f>
        <v>66.466414894856328</v>
      </c>
      <c r="Z69" s="102">
        <f>(W69-X69)/Y69</f>
        <v>0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15.75" customHeight="1" x14ac:dyDescent="0.35">
      <c r="A70" s="1"/>
      <c r="B70" s="1"/>
      <c r="C70" s="27"/>
      <c r="D70" s="27"/>
      <c r="E70" s="27" t="s">
        <v>30</v>
      </c>
      <c r="F70" s="27"/>
      <c r="G70" s="59">
        <v>4.09</v>
      </c>
      <c r="H70" s="59">
        <v>3.7</v>
      </c>
      <c r="I70" s="59">
        <v>3.31</v>
      </c>
      <c r="J70" s="27">
        <f t="shared" si="38"/>
        <v>77.971388203305139</v>
      </c>
      <c r="K70" s="59">
        <v>4.09</v>
      </c>
      <c r="L70" s="59">
        <v>3.7</v>
      </c>
      <c r="M70" s="59">
        <v>3.31</v>
      </c>
      <c r="N70" s="22">
        <f t="shared" si="39"/>
        <v>77.971388203305139</v>
      </c>
      <c r="O70" s="1"/>
      <c r="P70" s="119"/>
      <c r="Q70" s="27"/>
      <c r="R70" s="27" t="s">
        <v>33</v>
      </c>
      <c r="S70" s="22">
        <f t="shared" si="40"/>
        <v>77.971388203305139</v>
      </c>
      <c r="T70" s="22">
        <f t="shared" si="41"/>
        <v>77.971388203305139</v>
      </c>
      <c r="U70" s="27">
        <f t="shared" si="52"/>
        <v>77.971388203305139</v>
      </c>
      <c r="V70" s="65">
        <f t="shared" si="42"/>
        <v>77.971388203305139</v>
      </c>
      <c r="W70" s="119"/>
      <c r="X70" s="119"/>
      <c r="Y70" s="119"/>
      <c r="Z70" s="119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5.75" customHeight="1" x14ac:dyDescent="0.35">
      <c r="A71" s="1"/>
      <c r="B71" s="1"/>
      <c r="C71" s="27"/>
      <c r="D71" s="27"/>
      <c r="E71" s="27" t="s">
        <v>35</v>
      </c>
      <c r="F71" s="27"/>
      <c r="G71" s="59">
        <v>3.98</v>
      </c>
      <c r="H71" s="59">
        <v>3.7</v>
      </c>
      <c r="I71" s="59">
        <v>3.43</v>
      </c>
      <c r="J71" s="27">
        <f t="shared" si="38"/>
        <v>54.961461811416335</v>
      </c>
      <c r="K71" s="59">
        <v>3.98</v>
      </c>
      <c r="L71" s="59">
        <v>3.7</v>
      </c>
      <c r="M71" s="59">
        <v>3.43</v>
      </c>
      <c r="N71" s="22">
        <f t="shared" si="39"/>
        <v>54.961461811416335</v>
      </c>
      <c r="O71" s="1"/>
      <c r="P71" s="119"/>
      <c r="Q71" s="27"/>
      <c r="R71" s="27" t="s">
        <v>29</v>
      </c>
      <c r="S71" s="22">
        <f t="shared" si="40"/>
        <v>54.961461811416335</v>
      </c>
      <c r="T71" s="22">
        <f t="shared" si="41"/>
        <v>54.961461811416335</v>
      </c>
      <c r="U71" s="27">
        <f t="shared" si="52"/>
        <v>54.961461811416335</v>
      </c>
      <c r="V71" s="27">
        <f t="shared" si="42"/>
        <v>54.961461811416335</v>
      </c>
      <c r="W71" s="119"/>
      <c r="X71" s="119"/>
      <c r="Y71" s="119"/>
      <c r="Z71" s="119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5.75" customHeight="1" x14ac:dyDescent="0.35">
      <c r="A72" s="1"/>
      <c r="B72" s="1"/>
      <c r="C72" s="27"/>
      <c r="D72" s="27"/>
      <c r="E72" s="37" t="s">
        <v>30</v>
      </c>
      <c r="F72" s="27"/>
      <c r="G72" s="59">
        <v>4.09</v>
      </c>
      <c r="H72" s="59">
        <v>3.7</v>
      </c>
      <c r="I72" s="59">
        <v>3.31</v>
      </c>
      <c r="J72" s="27">
        <f t="shared" si="38"/>
        <v>77.971367716341177</v>
      </c>
      <c r="K72" s="59">
        <v>4.09</v>
      </c>
      <c r="L72" s="59">
        <v>3.7</v>
      </c>
      <c r="M72" s="59">
        <v>3.31</v>
      </c>
      <c r="N72" s="22">
        <f t="shared" si="39"/>
        <v>77.971367716341177</v>
      </c>
      <c r="O72" s="1"/>
      <c r="P72" s="103"/>
      <c r="Q72" s="27"/>
      <c r="R72" s="37" t="s">
        <v>33</v>
      </c>
      <c r="S72" s="22">
        <f t="shared" si="40"/>
        <v>77.971367716341177</v>
      </c>
      <c r="T72" s="22">
        <f t="shared" si="41"/>
        <v>77.971367716341177</v>
      </c>
      <c r="U72" s="27">
        <f t="shared" si="52"/>
        <v>77.971367716341177</v>
      </c>
      <c r="V72" s="27">
        <f t="shared" si="42"/>
        <v>77.971367716341177</v>
      </c>
      <c r="W72" s="103"/>
      <c r="X72" s="103"/>
      <c r="Y72" s="103"/>
      <c r="Z72" s="103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s="21" customFormat="1" ht="15.75" customHeight="1" x14ac:dyDescent="0.35">
      <c r="A73" s="11"/>
      <c r="B73" s="11"/>
      <c r="C73" s="38" t="s">
        <v>30</v>
      </c>
      <c r="D73" s="18">
        <v>1.6180000000000001</v>
      </c>
      <c r="E73" s="43" t="s">
        <v>36</v>
      </c>
      <c r="F73" s="18"/>
      <c r="G73" s="57">
        <v>4.09</v>
      </c>
      <c r="H73" s="57">
        <v>3.7</v>
      </c>
      <c r="I73" s="57">
        <v>3.31</v>
      </c>
      <c r="J73" s="18">
        <f t="shared" si="38"/>
        <v>77.972322679138045</v>
      </c>
      <c r="K73" s="57">
        <v>4.09</v>
      </c>
      <c r="L73" s="57">
        <v>3.7</v>
      </c>
      <c r="M73" s="57">
        <v>3.31</v>
      </c>
      <c r="N73" s="13">
        <f t="shared" si="39"/>
        <v>77.972322679138045</v>
      </c>
      <c r="O73" s="11"/>
      <c r="P73" s="121" t="s">
        <v>30</v>
      </c>
      <c r="Q73" s="18"/>
      <c r="R73" s="43" t="s">
        <v>36</v>
      </c>
      <c r="S73" s="13">
        <f t="shared" si="40"/>
        <v>77.972322679138045</v>
      </c>
      <c r="T73" s="13">
        <f t="shared" si="41"/>
        <v>77.972322679138045</v>
      </c>
      <c r="U73" s="18">
        <f t="shared" si="52"/>
        <v>77.972322679138045</v>
      </c>
      <c r="V73" s="18">
        <f t="shared" si="42"/>
        <v>77.972322679138045</v>
      </c>
      <c r="W73" s="121">
        <f t="shared" ref="W73:X73" si="59">AVERAGE(U73:U76)</f>
        <v>79.484334096475109</v>
      </c>
      <c r="X73" s="120">
        <f t="shared" si="59"/>
        <v>79.484334096475109</v>
      </c>
      <c r="Y73" s="120">
        <f t="shared" ref="Y73" si="60">AVERAGE(W73:X73)</f>
        <v>79.484334096475109</v>
      </c>
      <c r="Z73" s="118">
        <f>(W73-X73)/Y73</f>
        <v>0</v>
      </c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15.75" customHeight="1" x14ac:dyDescent="0.35">
      <c r="A74" s="1"/>
      <c r="B74" s="1"/>
      <c r="C74" s="27"/>
      <c r="D74" s="27"/>
      <c r="E74" s="46" t="s">
        <v>29</v>
      </c>
      <c r="F74" s="27"/>
      <c r="G74" s="59">
        <v>4.1100000000000003</v>
      </c>
      <c r="H74" s="59">
        <v>3.7</v>
      </c>
      <c r="I74" s="59">
        <v>3.3</v>
      </c>
      <c r="J74" s="27">
        <f t="shared" si="38"/>
        <v>80.99635800619096</v>
      </c>
      <c r="K74" s="59">
        <v>4.1100000000000003</v>
      </c>
      <c r="L74" s="59">
        <v>3.7</v>
      </c>
      <c r="M74" s="59">
        <v>3.3</v>
      </c>
      <c r="N74" s="22">
        <f t="shared" si="39"/>
        <v>80.99635800619096</v>
      </c>
      <c r="O74" s="1"/>
      <c r="P74" s="119"/>
      <c r="Q74" s="27"/>
      <c r="R74" s="46" t="s">
        <v>29</v>
      </c>
      <c r="S74" s="22">
        <f t="shared" si="40"/>
        <v>80.99635800619096</v>
      </c>
      <c r="T74" s="22">
        <f t="shared" si="41"/>
        <v>80.99635800619096</v>
      </c>
      <c r="U74" s="27">
        <f t="shared" si="52"/>
        <v>80.99635800619096</v>
      </c>
      <c r="V74" s="27">
        <f t="shared" si="42"/>
        <v>80.99635800619096</v>
      </c>
      <c r="W74" s="119"/>
      <c r="X74" s="119"/>
      <c r="Y74" s="119"/>
      <c r="Z74" s="125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5.75" customHeight="1" x14ac:dyDescent="0.35">
      <c r="A75" s="1"/>
      <c r="B75" s="1"/>
      <c r="C75" s="27"/>
      <c r="D75" s="27"/>
      <c r="E75" s="46" t="s">
        <v>36</v>
      </c>
      <c r="F75" s="27"/>
      <c r="G75" s="59">
        <v>4.09</v>
      </c>
      <c r="H75" s="59">
        <v>3.7</v>
      </c>
      <c r="I75" s="59">
        <v>3.31</v>
      </c>
      <c r="J75" s="27">
        <f t="shared" si="38"/>
        <v>77.972312605179326</v>
      </c>
      <c r="K75" s="59">
        <v>4.09</v>
      </c>
      <c r="L75" s="59">
        <v>3.7</v>
      </c>
      <c r="M75" s="59">
        <v>3.31</v>
      </c>
      <c r="N75" s="22">
        <f t="shared" si="39"/>
        <v>77.972312605179326</v>
      </c>
      <c r="O75" s="1"/>
      <c r="P75" s="119"/>
      <c r="Q75" s="27"/>
      <c r="R75" s="46" t="s">
        <v>36</v>
      </c>
      <c r="S75" s="22">
        <f t="shared" si="40"/>
        <v>77.972312605179326</v>
      </c>
      <c r="T75" s="22">
        <f t="shared" si="41"/>
        <v>77.972312605179326</v>
      </c>
      <c r="U75" s="27">
        <f t="shared" si="52"/>
        <v>77.972312605179326</v>
      </c>
      <c r="V75" s="27">
        <f t="shared" si="42"/>
        <v>77.972312605179326</v>
      </c>
      <c r="W75" s="119"/>
      <c r="X75" s="119"/>
      <c r="Y75" s="119"/>
      <c r="Z75" s="125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5.75" customHeight="1" x14ac:dyDescent="0.35">
      <c r="A76" s="1"/>
      <c r="B76" s="1"/>
      <c r="C76" s="27"/>
      <c r="D76" s="27"/>
      <c r="E76" s="46" t="s">
        <v>29</v>
      </c>
      <c r="F76" s="27"/>
      <c r="G76" s="59">
        <v>4.0999999999999996</v>
      </c>
      <c r="H76" s="59">
        <v>3.7</v>
      </c>
      <c r="I76" s="59">
        <v>3.29</v>
      </c>
      <c r="J76" s="27">
        <f t="shared" si="38"/>
        <v>80.99634309539212</v>
      </c>
      <c r="K76" s="59">
        <v>4.0999999999999996</v>
      </c>
      <c r="L76" s="59">
        <v>3.7</v>
      </c>
      <c r="M76" s="59">
        <v>3.29</v>
      </c>
      <c r="N76" s="22">
        <f t="shared" si="39"/>
        <v>80.99634309539212</v>
      </c>
      <c r="O76" s="1"/>
      <c r="P76" s="103"/>
      <c r="Q76" s="27"/>
      <c r="R76" s="46" t="s">
        <v>29</v>
      </c>
      <c r="S76" s="22">
        <f t="shared" si="40"/>
        <v>80.99634309539212</v>
      </c>
      <c r="T76" s="22">
        <f t="shared" si="41"/>
        <v>80.99634309539212</v>
      </c>
      <c r="U76" s="27">
        <f t="shared" si="52"/>
        <v>80.99634309539212</v>
      </c>
      <c r="V76" s="27">
        <f t="shared" si="42"/>
        <v>80.99634309539212</v>
      </c>
      <c r="W76" s="103"/>
      <c r="X76" s="103"/>
      <c r="Y76" s="103"/>
      <c r="Z76" s="143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83">
        <f>AVERAGE(Z49:Z76)</f>
        <v>2.438903363892166E-9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</sheetData>
  <mergeCells count="201">
    <mergeCell ref="P73:P76"/>
    <mergeCell ref="W73:W76"/>
    <mergeCell ref="X73:X76"/>
    <mergeCell ref="Y73:Y76"/>
    <mergeCell ref="Z73:Z76"/>
    <mergeCell ref="P65:P68"/>
    <mergeCell ref="W65:W68"/>
    <mergeCell ref="X65:X68"/>
    <mergeCell ref="Y65:Y68"/>
    <mergeCell ref="Z65:Z68"/>
    <mergeCell ref="P69:P72"/>
    <mergeCell ref="W69:W72"/>
    <mergeCell ref="X69:X72"/>
    <mergeCell ref="Y69:Y72"/>
    <mergeCell ref="Z69:Z72"/>
    <mergeCell ref="P57:P60"/>
    <mergeCell ref="W57:W60"/>
    <mergeCell ref="X57:X60"/>
    <mergeCell ref="Y57:Y60"/>
    <mergeCell ref="Z57:Z60"/>
    <mergeCell ref="P61:P64"/>
    <mergeCell ref="W61:W64"/>
    <mergeCell ref="X61:X64"/>
    <mergeCell ref="Y61:Y64"/>
    <mergeCell ref="Z61:Z64"/>
    <mergeCell ref="P53:P56"/>
    <mergeCell ref="W53:W56"/>
    <mergeCell ref="X53:X56"/>
    <mergeCell ref="Y53:Y56"/>
    <mergeCell ref="Z53:Z56"/>
    <mergeCell ref="AC54:AD54"/>
    <mergeCell ref="X47:X48"/>
    <mergeCell ref="Y47:Y48"/>
    <mergeCell ref="Z47:Z48"/>
    <mergeCell ref="P49:P52"/>
    <mergeCell ref="W49:W52"/>
    <mergeCell ref="X49:X52"/>
    <mergeCell ref="Y49:Y52"/>
    <mergeCell ref="Z49:Z52"/>
    <mergeCell ref="R47:R48"/>
    <mergeCell ref="S47:S48"/>
    <mergeCell ref="T47:T48"/>
    <mergeCell ref="U47:U48"/>
    <mergeCell ref="V47:V48"/>
    <mergeCell ref="W47:W48"/>
    <mergeCell ref="C47:D47"/>
    <mergeCell ref="E47:E48"/>
    <mergeCell ref="F47:F48"/>
    <mergeCell ref="G47:I47"/>
    <mergeCell ref="J47:J48"/>
    <mergeCell ref="K47:M47"/>
    <mergeCell ref="N47:N48"/>
    <mergeCell ref="P47:Q47"/>
    <mergeCell ref="Q40:Q43"/>
    <mergeCell ref="AG40:AG41"/>
    <mergeCell ref="AH40:AH41"/>
    <mergeCell ref="AI40:AI41"/>
    <mergeCell ref="AJ40:AJ41"/>
    <mergeCell ref="R42:R43"/>
    <mergeCell ref="S42:S43"/>
    <mergeCell ref="AD42:AD43"/>
    <mergeCell ref="AE42:AE43"/>
    <mergeCell ref="AG42:AG43"/>
    <mergeCell ref="AH42:AH43"/>
    <mergeCell ref="R40:R41"/>
    <mergeCell ref="S40:S41"/>
    <mergeCell ref="AD40:AD41"/>
    <mergeCell ref="AE40:AE41"/>
    <mergeCell ref="AF40:AF43"/>
    <mergeCell ref="AI42:AI43"/>
    <mergeCell ref="AJ42:AJ43"/>
    <mergeCell ref="AI36:AI37"/>
    <mergeCell ref="AJ36:AJ37"/>
    <mergeCell ref="R38:R39"/>
    <mergeCell ref="S38:S39"/>
    <mergeCell ref="AD38:AD39"/>
    <mergeCell ref="AE38:AE39"/>
    <mergeCell ref="AG38:AG39"/>
    <mergeCell ref="AH38:AH39"/>
    <mergeCell ref="AI38:AI39"/>
    <mergeCell ref="AJ38:AJ39"/>
    <mergeCell ref="Q36:Q39"/>
    <mergeCell ref="R36:R37"/>
    <mergeCell ref="S36:S37"/>
    <mergeCell ref="AD36:AD37"/>
    <mergeCell ref="AE36:AE37"/>
    <mergeCell ref="AF36:AF39"/>
    <mergeCell ref="AG36:AG37"/>
    <mergeCell ref="AH36:AH37"/>
    <mergeCell ref="Q32:Q35"/>
    <mergeCell ref="AG32:AG33"/>
    <mergeCell ref="AH32:AH33"/>
    <mergeCell ref="AI32:AI33"/>
    <mergeCell ref="AJ32:AJ33"/>
    <mergeCell ref="R34:R35"/>
    <mergeCell ref="S34:S35"/>
    <mergeCell ref="AD34:AD35"/>
    <mergeCell ref="AE34:AE35"/>
    <mergeCell ref="AG34:AG35"/>
    <mergeCell ref="AH34:AH35"/>
    <mergeCell ref="R32:R33"/>
    <mergeCell ref="S32:S33"/>
    <mergeCell ref="AD32:AD33"/>
    <mergeCell ref="AE32:AE33"/>
    <mergeCell ref="AF32:AF35"/>
    <mergeCell ref="AI34:AI35"/>
    <mergeCell ref="AJ34:AJ35"/>
    <mergeCell ref="AI28:AI29"/>
    <mergeCell ref="AJ28:AJ29"/>
    <mergeCell ref="R30:R31"/>
    <mergeCell ref="S30:S31"/>
    <mergeCell ref="AD30:AD31"/>
    <mergeCell ref="AE30:AE31"/>
    <mergeCell ref="AG30:AG31"/>
    <mergeCell ref="AH30:AH31"/>
    <mergeCell ref="AI30:AI31"/>
    <mergeCell ref="AJ30:AJ31"/>
    <mergeCell ref="Q28:Q31"/>
    <mergeCell ref="R28:R29"/>
    <mergeCell ref="S28:S29"/>
    <mergeCell ref="AD28:AD29"/>
    <mergeCell ref="AE28:AE29"/>
    <mergeCell ref="AF28:AF31"/>
    <mergeCell ref="AG28:AG29"/>
    <mergeCell ref="AH28:AH29"/>
    <mergeCell ref="Q24:Q27"/>
    <mergeCell ref="AG24:AG25"/>
    <mergeCell ref="AH24:AH25"/>
    <mergeCell ref="AI24:AI25"/>
    <mergeCell ref="AJ24:AJ25"/>
    <mergeCell ref="R26:R27"/>
    <mergeCell ref="S26:S27"/>
    <mergeCell ref="AD26:AD27"/>
    <mergeCell ref="AE26:AE27"/>
    <mergeCell ref="AG26:AG27"/>
    <mergeCell ref="AH26:AH27"/>
    <mergeCell ref="R24:R25"/>
    <mergeCell ref="S24:S25"/>
    <mergeCell ref="AD24:AD25"/>
    <mergeCell ref="AE24:AE25"/>
    <mergeCell ref="AF24:AF27"/>
    <mergeCell ref="AI26:AI27"/>
    <mergeCell ref="AJ26:AJ27"/>
    <mergeCell ref="AJ20:AJ21"/>
    <mergeCell ref="R22:R23"/>
    <mergeCell ref="S22:S23"/>
    <mergeCell ref="AD22:AD23"/>
    <mergeCell ref="AE22:AE23"/>
    <mergeCell ref="AG22:AG23"/>
    <mergeCell ref="AH22:AH23"/>
    <mergeCell ref="AI22:AI23"/>
    <mergeCell ref="AJ22:AJ23"/>
    <mergeCell ref="Q20:Q23"/>
    <mergeCell ref="R20:R21"/>
    <mergeCell ref="S20:S21"/>
    <mergeCell ref="AD20:AD21"/>
    <mergeCell ref="AE20:AE21"/>
    <mergeCell ref="AF20:AF23"/>
    <mergeCell ref="AG20:AG21"/>
    <mergeCell ref="AH20:AH21"/>
    <mergeCell ref="AI20:AI21"/>
    <mergeCell ref="AJ16:AJ17"/>
    <mergeCell ref="R18:R19"/>
    <mergeCell ref="S18:S19"/>
    <mergeCell ref="AD18:AD19"/>
    <mergeCell ref="AE18:AE19"/>
    <mergeCell ref="AG18:AG19"/>
    <mergeCell ref="AH18:AH19"/>
    <mergeCell ref="AI18:AI19"/>
    <mergeCell ref="AJ18:AJ19"/>
    <mergeCell ref="Q16:Q19"/>
    <mergeCell ref="R16:R17"/>
    <mergeCell ref="S16:S17"/>
    <mergeCell ref="AD16:AD17"/>
    <mergeCell ref="AE16:AE17"/>
    <mergeCell ref="AF16:AF19"/>
    <mergeCell ref="AG16:AG17"/>
    <mergeCell ref="AH16:AH17"/>
    <mergeCell ref="AI16:AI17"/>
    <mergeCell ref="G13:U13"/>
    <mergeCell ref="V13:AJ13"/>
    <mergeCell ref="G14:J14"/>
    <mergeCell ref="K14:N14"/>
    <mergeCell ref="O14:Q14"/>
    <mergeCell ref="R14:S14"/>
    <mergeCell ref="T14:U14"/>
    <mergeCell ref="V14:Y14"/>
    <mergeCell ref="Z14:AC14"/>
    <mergeCell ref="AD14:AF14"/>
    <mergeCell ref="AG14:AH14"/>
    <mergeCell ref="AI14:AJ14"/>
    <mergeCell ref="C4:D5"/>
    <mergeCell ref="E4:E5"/>
    <mergeCell ref="C7:C8"/>
    <mergeCell ref="D7:D8"/>
    <mergeCell ref="E7:E8"/>
    <mergeCell ref="C10:D10"/>
    <mergeCell ref="E10:E11"/>
    <mergeCell ref="C11:D11"/>
    <mergeCell ref="C13:D14"/>
    <mergeCell ref="E13:F14"/>
  </mergeCells>
  <pageMargins left="0.7" right="0.7" top="0.75" bottom="0.75" header="0" footer="0"/>
  <pageSetup orientation="landscape" r:id="rId1"/>
  <ignoredErrors>
    <ignoredError sqref="R22:S22 R18:S18 R26:S26 R30:S30 R34:S34 R38:S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CD88-264C-4026-8FB0-3668259AAE54}">
  <dimension ref="B2:R103"/>
  <sheetViews>
    <sheetView zoomScale="80" zoomScaleNormal="84" workbookViewId="0">
      <selection activeCell="N21" sqref="N21"/>
    </sheetView>
  </sheetViews>
  <sheetFormatPr defaultColWidth="14.453125" defaultRowHeight="15" customHeight="1" x14ac:dyDescent="0.35"/>
  <cols>
    <col min="1" max="2" width="8.7265625" customWidth="1"/>
    <col min="3" max="3" width="9.54296875" customWidth="1"/>
    <col min="4" max="4" width="10.54296875" customWidth="1"/>
    <col min="5" max="5" width="12" customWidth="1"/>
    <col min="6" max="6" width="8.7265625" customWidth="1"/>
    <col min="7" max="7" width="10.1796875" customWidth="1"/>
    <col min="8" max="8" width="11.81640625" customWidth="1"/>
    <col min="9" max="9" width="10.81640625" customWidth="1"/>
    <col min="10" max="10" width="10.1796875" customWidth="1"/>
    <col min="11" max="11" width="10.54296875" customWidth="1"/>
    <col min="12" max="12" width="10.453125" customWidth="1"/>
    <col min="13" max="13" width="10.1796875" customWidth="1"/>
    <col min="14" max="17" width="8.7265625" customWidth="1"/>
    <col min="18" max="18" width="22.453125" customWidth="1"/>
  </cols>
  <sheetData>
    <row r="2" spans="2:18" ht="14.5" x14ac:dyDescent="0.35">
      <c r="B2" s="146" t="s">
        <v>53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4"/>
      <c r="Q2" s="147" t="s">
        <v>54</v>
      </c>
      <c r="R2" s="114"/>
    </row>
    <row r="3" spans="2:18" ht="14.5" x14ac:dyDescent="0.35">
      <c r="B3" s="144" t="s">
        <v>20</v>
      </c>
      <c r="C3" s="148" t="s">
        <v>55</v>
      </c>
      <c r="D3" s="144" t="s">
        <v>56</v>
      </c>
      <c r="E3" s="149" t="s">
        <v>57</v>
      </c>
      <c r="F3" s="144" t="s">
        <v>58</v>
      </c>
      <c r="G3" s="144" t="s">
        <v>59</v>
      </c>
      <c r="H3" s="144" t="s">
        <v>60</v>
      </c>
      <c r="I3" s="144" t="s">
        <v>61</v>
      </c>
      <c r="J3" s="148" t="s">
        <v>62</v>
      </c>
      <c r="K3" s="148" t="s">
        <v>63</v>
      </c>
      <c r="L3" s="149" t="s">
        <v>64</v>
      </c>
      <c r="M3" s="149" t="s">
        <v>65</v>
      </c>
      <c r="N3" s="149" t="s">
        <v>66</v>
      </c>
      <c r="O3" s="144" t="s">
        <v>67</v>
      </c>
      <c r="Q3" s="66" t="s">
        <v>68</v>
      </c>
      <c r="R3" s="67">
        <f>SUM(C6:C12)</f>
        <v>900.18791666666675</v>
      </c>
    </row>
    <row r="4" spans="2:18" ht="14.5" x14ac:dyDescent="0.35"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Q4" s="66" t="s">
        <v>69</v>
      </c>
      <c r="R4" s="68">
        <f>(7-2)*180</f>
        <v>900</v>
      </c>
    </row>
    <row r="5" spans="2:18" ht="14.5" x14ac:dyDescent="0.35">
      <c r="B5" s="69" t="s">
        <v>29</v>
      </c>
      <c r="C5" s="66"/>
      <c r="D5" s="66"/>
      <c r="E5" s="66"/>
      <c r="G5" s="66"/>
      <c r="H5" s="66"/>
      <c r="I5" s="66"/>
      <c r="J5" s="66"/>
      <c r="K5" s="66"/>
      <c r="L5" s="66"/>
      <c r="M5" s="66"/>
      <c r="N5" s="66">
        <v>0</v>
      </c>
      <c r="O5" s="66">
        <v>0</v>
      </c>
      <c r="Q5" s="66" t="s">
        <v>70</v>
      </c>
      <c r="R5" s="66">
        <f>2*[1]Theodolite!C4*SQRT([1]Theodolite!C7)</f>
        <v>22.360679774997898</v>
      </c>
    </row>
    <row r="6" spans="2:18" ht="14.5" x14ac:dyDescent="0.35">
      <c r="B6" s="69" t="s">
        <v>31</v>
      </c>
      <c r="C6" s="67">
        <f>Theodolite!Q16</f>
        <v>49.459791666666661</v>
      </c>
      <c r="D6" s="67">
        <f>C16</f>
        <v>2.6845238095250221E-2</v>
      </c>
      <c r="E6" s="67">
        <f>C6-D6</f>
        <v>49.432946428571412</v>
      </c>
      <c r="F6" s="70">
        <f>Theodolite!V49</f>
        <v>79.996399290219131</v>
      </c>
      <c r="G6" s="67">
        <f>Theodolite!J17</f>
        <v>270.32194444444445</v>
      </c>
      <c r="H6" s="66">
        <f>F6*SIN(RADIANS(G6))</f>
        <v>-79.995136428186186</v>
      </c>
      <c r="I6" s="66">
        <f>F6*COS(RADIANS(G6))</f>
        <v>0.44949664743141637</v>
      </c>
      <c r="J6" s="66">
        <f>F6/F14*H14</f>
        <v>-6.8744655932140848</v>
      </c>
      <c r="K6" s="66">
        <f>F6/F14*I14</f>
        <v>4.5893792712548898</v>
      </c>
      <c r="L6" s="66">
        <f>H6-J6</f>
        <v>-73.120670834972103</v>
      </c>
      <c r="M6" s="66">
        <f>I6-K6</f>
        <v>-4.1398826238234729</v>
      </c>
      <c r="N6" s="66">
        <f>N5+L6</f>
        <v>-73.120670834972103</v>
      </c>
      <c r="O6" s="66">
        <f>O5+M6</f>
        <v>-4.1398826238234729</v>
      </c>
      <c r="Q6" s="71" t="s">
        <v>71</v>
      </c>
      <c r="R6" s="72">
        <f>R3-R4</f>
        <v>0.18791666666675155</v>
      </c>
    </row>
    <row r="7" spans="2:18" ht="14.5" x14ac:dyDescent="0.35">
      <c r="B7" s="69" t="s">
        <v>33</v>
      </c>
      <c r="C7" s="67">
        <f>Theodolite!Q20</f>
        <v>178.48062500000003</v>
      </c>
      <c r="D7" s="67">
        <f>C16</f>
        <v>2.6845238095250221E-2</v>
      </c>
      <c r="E7" s="67">
        <f t="shared" ref="E7:E12" si="0">C7-D7</f>
        <v>178.45377976190477</v>
      </c>
      <c r="F7" s="70">
        <f>Theodolite!V53</f>
        <v>53.997017173070866</v>
      </c>
      <c r="G7" s="67">
        <f>(E7+G6)-180</f>
        <v>268.7757242063492</v>
      </c>
      <c r="H7" s="66">
        <f t="shared" ref="H7:H11" si="1">F7*SIN(RADIANS(G7))</f>
        <v>-53.984690765865096</v>
      </c>
      <c r="I7" s="66">
        <f t="shared" ref="I7:I12" si="2">F7*COS(RADIANS(G7))</f>
        <v>-1.1537012190464055</v>
      </c>
      <c r="J7" s="66">
        <f>F7/F14*H14</f>
        <v>-4.6402168095814673</v>
      </c>
      <c r="K7" s="66">
        <f>F7/F14*I14</f>
        <v>3.0977993199999561</v>
      </c>
      <c r="L7" s="66">
        <f t="shared" ref="L7:M12" si="3">H7-J7</f>
        <v>-49.344473956283629</v>
      </c>
      <c r="M7" s="66">
        <f t="shared" si="3"/>
        <v>-4.2515005390463614</v>
      </c>
      <c r="N7" s="66">
        <f t="shared" ref="N7:O12" si="4">N6+L7</f>
        <v>-122.46514479125574</v>
      </c>
      <c r="O7" s="66">
        <f t="shared" si="4"/>
        <v>-8.3913831628698343</v>
      </c>
      <c r="Q7" s="66"/>
      <c r="R7" s="66">
        <f>R6*60</f>
        <v>11.275000000005093</v>
      </c>
    </row>
    <row r="8" spans="2:18" ht="14.5" x14ac:dyDescent="0.35">
      <c r="B8" s="69" t="s">
        <v>34</v>
      </c>
      <c r="C8" s="67">
        <f>Theodolite!Q24</f>
        <v>174.56986111111109</v>
      </c>
      <c r="D8" s="67">
        <f>C16</f>
        <v>2.6845238095250221E-2</v>
      </c>
      <c r="E8" s="67">
        <f t="shared" si="0"/>
        <v>174.54301587301583</v>
      </c>
      <c r="F8" s="73">
        <f>Theodolite!V57</f>
        <v>57.969028821526742</v>
      </c>
      <c r="G8" s="67">
        <f>(E8+G7)-180</f>
        <v>263.31874007936506</v>
      </c>
      <c r="H8" s="66">
        <f t="shared" si="1"/>
        <v>-57.575347038406441</v>
      </c>
      <c r="I8" s="66">
        <f>F8*COS(RADIANS(G8))</f>
        <v>-6.7444581634153726</v>
      </c>
      <c r="J8" s="66">
        <f>F8/F14*H14</f>
        <v>-4.9815503902854426</v>
      </c>
      <c r="K8" s="66">
        <f>F8/F14*I14</f>
        <v>3.3256729253915318</v>
      </c>
      <c r="L8" s="66">
        <f t="shared" si="3"/>
        <v>-52.593796648121</v>
      </c>
      <c r="M8" s="66">
        <f t="shared" si="3"/>
        <v>-10.070131088806905</v>
      </c>
      <c r="N8" s="66">
        <f t="shared" si="4"/>
        <v>-175.05894143937672</v>
      </c>
      <c r="O8" s="66">
        <f t="shared" si="4"/>
        <v>-18.461514251676739</v>
      </c>
      <c r="Q8" s="66"/>
      <c r="R8" s="66">
        <f>R6*3600</f>
        <v>676.50000000030559</v>
      </c>
    </row>
    <row r="9" spans="2:18" ht="14.5" x14ac:dyDescent="0.35">
      <c r="B9" s="74" t="s">
        <v>35</v>
      </c>
      <c r="C9" s="67">
        <f>Theodolite!Q28</f>
        <v>96.05402777777779</v>
      </c>
      <c r="D9" s="67">
        <f>C16</f>
        <v>2.6845238095250221E-2</v>
      </c>
      <c r="E9" s="67">
        <f t="shared" si="0"/>
        <v>96.027182539682542</v>
      </c>
      <c r="F9" s="70">
        <f>Theodolite!V61</f>
        <v>74.967419577335974</v>
      </c>
      <c r="G9" s="67">
        <f>360-(E9+G8)</f>
        <v>0.6540773809524012</v>
      </c>
      <c r="H9" s="66">
        <f t="shared" si="1"/>
        <v>0.85579476959080358</v>
      </c>
      <c r="I9" s="66">
        <f>F9*COS(RADIANS(G9))</f>
        <v>74.962534731668981</v>
      </c>
      <c r="J9" s="66">
        <f>F9/F14*H14</f>
        <v>-6.4423017919439216</v>
      </c>
      <c r="K9" s="66">
        <f>F9/F14*I14</f>
        <v>4.3008675950463688</v>
      </c>
      <c r="L9" s="66">
        <f t="shared" si="3"/>
        <v>7.2980965615347255</v>
      </c>
      <c r="M9" s="66">
        <f t="shared" si="3"/>
        <v>70.661667136622611</v>
      </c>
      <c r="N9" s="66">
        <f t="shared" si="4"/>
        <v>-167.760844877842</v>
      </c>
      <c r="O9" s="66">
        <f t="shared" si="4"/>
        <v>52.200152884945872</v>
      </c>
      <c r="Q9" s="75" t="s">
        <v>72</v>
      </c>
      <c r="R9">
        <f>SQRT((R10^2)+(R11^2))</f>
        <v>27.580543177033476</v>
      </c>
    </row>
    <row r="10" spans="2:18" ht="14.5" x14ac:dyDescent="0.35">
      <c r="B10" s="76" t="s">
        <v>36</v>
      </c>
      <c r="C10" s="67">
        <f>Theodolite!Q32</f>
        <v>89.427013888888908</v>
      </c>
      <c r="D10" s="67">
        <f>C16</f>
        <v>2.6845238095250221E-2</v>
      </c>
      <c r="E10" s="67">
        <f t="shared" si="0"/>
        <v>89.40016865079366</v>
      </c>
      <c r="F10" s="70">
        <f>[2]Theodolite!V65</f>
        <v>54.935504634697885</v>
      </c>
      <c r="G10" s="67">
        <f>180-(E10+G9)</f>
        <v>89.945753968253939</v>
      </c>
      <c r="H10" s="66">
        <f t="shared" si="1"/>
        <v>54.935480013239541</v>
      </c>
      <c r="I10" s="66">
        <f t="shared" si="2"/>
        <v>5.2011382138785207E-2</v>
      </c>
      <c r="J10" s="66">
        <f>F10/F14*H14</f>
        <v>-4.7208654365429386</v>
      </c>
      <c r="K10" s="66">
        <f>F10/F14*I14</f>
        <v>3.1516401796003741</v>
      </c>
      <c r="L10" s="66">
        <f t="shared" si="3"/>
        <v>59.656345449782478</v>
      </c>
      <c r="M10" s="66">
        <f t="shared" si="3"/>
        <v>-3.0996287974615888</v>
      </c>
      <c r="N10" s="66">
        <f t="shared" si="4"/>
        <v>-108.10449942805953</v>
      </c>
      <c r="O10" s="66">
        <f t="shared" si="4"/>
        <v>49.100524087484281</v>
      </c>
      <c r="Q10" s="75" t="s">
        <v>73</v>
      </c>
      <c r="R10">
        <f>H14</f>
        <v>-22.938534585024918</v>
      </c>
    </row>
    <row r="11" spans="2:18" ht="15.75" customHeight="1" x14ac:dyDescent="0.35">
      <c r="B11" s="76" t="s">
        <v>30</v>
      </c>
      <c r="C11" s="67">
        <f>Theodolite!Q36</f>
        <v>180.06951388888891</v>
      </c>
      <c r="D11" s="67">
        <f>C16</f>
        <v>2.6845238095250221E-2</v>
      </c>
      <c r="E11" s="67">
        <f t="shared" si="0"/>
        <v>180.04266865079364</v>
      </c>
      <c r="F11" s="70">
        <f>Theodolite!V69</f>
        <v>54.961441848362639</v>
      </c>
      <c r="G11" s="67">
        <f>(E11+G10)-180</f>
        <v>89.988422619047583</v>
      </c>
      <c r="H11" s="66">
        <f t="shared" si="1"/>
        <v>54.961440726335134</v>
      </c>
      <c r="I11" s="66">
        <f t="shared" si="2"/>
        <v>1.1105696633332041E-2</v>
      </c>
      <c r="J11" s="66">
        <f>F11/F14*H14</f>
        <v>-4.7230943429000272</v>
      </c>
      <c r="K11" s="66">
        <f>F11/F14*I14</f>
        <v>3.1531281929585164</v>
      </c>
      <c r="L11" s="66">
        <f t="shared" si="3"/>
        <v>59.68453506923516</v>
      </c>
      <c r="M11" s="66">
        <f t="shared" si="3"/>
        <v>-3.1420224963251844</v>
      </c>
      <c r="N11" s="66">
        <f t="shared" si="4"/>
        <v>-48.419964358824366</v>
      </c>
      <c r="O11" s="66">
        <f t="shared" si="4"/>
        <v>45.958501591159099</v>
      </c>
      <c r="Q11" s="75" t="s">
        <v>75</v>
      </c>
      <c r="R11">
        <f>I14</f>
        <v>15.313719111692748</v>
      </c>
    </row>
    <row r="12" spans="2:18" ht="15.75" customHeight="1" x14ac:dyDescent="0.35">
      <c r="B12" s="76" t="s">
        <v>29</v>
      </c>
      <c r="C12" s="77">
        <f>Theodolite!Q40</f>
        <v>132.12708333333336</v>
      </c>
      <c r="D12" s="67">
        <f>C16</f>
        <v>2.6845238095250221E-2</v>
      </c>
      <c r="E12" s="67">
        <f t="shared" si="0"/>
        <v>132.1002380952381</v>
      </c>
      <c r="F12" s="70">
        <f>Theodolite!V73</f>
        <v>77.972322679138045</v>
      </c>
      <c r="G12" s="67">
        <f>(E12+G11)-90</f>
        <v>132.08866071428568</v>
      </c>
      <c r="H12" s="66">
        <f>F12*SIN(RADIANS(G12))</f>
        <v>57.863924138267343</v>
      </c>
      <c r="I12" s="66">
        <f t="shared" si="2"/>
        <v>-52.263269963717988</v>
      </c>
      <c r="J12" s="66">
        <f>F12/F14*H14</f>
        <v>-6.7005272016819113</v>
      </c>
      <c r="K12" s="66">
        <f>F12/F14*I14</f>
        <v>4.4732583542542779</v>
      </c>
      <c r="L12" s="66">
        <f>H12-J12</f>
        <v>64.564451339949258</v>
      </c>
      <c r="M12" s="66">
        <f t="shared" si="3"/>
        <v>-56.736528317972265</v>
      </c>
      <c r="N12" s="66">
        <f t="shared" si="4"/>
        <v>16.144486981124892</v>
      </c>
      <c r="O12" s="66">
        <f>O11+M12</f>
        <v>-10.778026726813167</v>
      </c>
      <c r="Q12" s="75"/>
    </row>
    <row r="13" spans="2:18" ht="14.5" x14ac:dyDescent="0.35">
      <c r="B13" s="78" t="s">
        <v>31</v>
      </c>
      <c r="C13" s="79"/>
      <c r="D13" s="79"/>
      <c r="E13" s="79"/>
      <c r="F13" s="66"/>
      <c r="G13" s="67">
        <f>(G12+E12)-180</f>
        <v>84.188898809523778</v>
      </c>
      <c r="H13" s="66"/>
      <c r="I13" s="66"/>
      <c r="J13" s="66"/>
      <c r="K13" s="66"/>
      <c r="L13" s="66"/>
      <c r="M13" s="66"/>
      <c r="N13" s="66"/>
      <c r="O13" s="66"/>
    </row>
    <row r="14" spans="2:18" ht="14.5" x14ac:dyDescent="0.35">
      <c r="B14" s="80" t="s">
        <v>74</v>
      </c>
      <c r="C14" s="67">
        <f>SUM(C6:C12)</f>
        <v>900.18791666666675</v>
      </c>
      <c r="D14" s="68">
        <f>SUM(D6:D9)</f>
        <v>0.10738095238100089</v>
      </c>
      <c r="E14" s="67">
        <f>SUM(E6:E9)</f>
        <v>498.45692460317451</v>
      </c>
      <c r="F14" s="67">
        <f>SUM(F6:F9)</f>
        <v>266.92986486215273</v>
      </c>
      <c r="G14" s="66"/>
      <c r="H14" s="66">
        <f>SUM(H6:H12)</f>
        <v>-22.938534585024918</v>
      </c>
      <c r="I14" s="66">
        <f>SUM(I6:I12)</f>
        <v>15.313719111692748</v>
      </c>
      <c r="J14" s="66">
        <f t="shared" ref="J14:M14" si="5">SUM(J6:J9)</f>
        <v>-22.938534585024918</v>
      </c>
      <c r="K14" s="66">
        <f t="shared" si="5"/>
        <v>15.313719111692745</v>
      </c>
      <c r="L14" s="66">
        <f t="shared" si="5"/>
        <v>-167.760844877842</v>
      </c>
      <c r="M14" s="81">
        <f t="shared" si="5"/>
        <v>52.200152884945872</v>
      </c>
      <c r="N14" s="66"/>
      <c r="O14" s="66"/>
    </row>
    <row r="15" spans="2:18" ht="14.5" x14ac:dyDescent="0.35">
      <c r="C15">
        <f>(7-2)*180</f>
        <v>900</v>
      </c>
      <c r="G15" s="66"/>
    </row>
    <row r="16" spans="2:18" ht="14.5" x14ac:dyDescent="0.35">
      <c r="C16" s="82">
        <f>(C14-C15)/7</f>
        <v>2.6845238095250221E-2</v>
      </c>
    </row>
    <row r="18" spans="6:15" ht="15" customHeight="1" x14ac:dyDescent="0.35">
      <c r="F18">
        <v>1.5</v>
      </c>
      <c r="H18" t="s">
        <v>76</v>
      </c>
      <c r="I18" t="str">
        <f>CONCATENATE(H18,N5,",",O5)</f>
        <v>po 0,0</v>
      </c>
    </row>
    <row r="19" spans="6:15" ht="15" customHeight="1" x14ac:dyDescent="0.35">
      <c r="F19">
        <f>N5/F18</f>
        <v>0</v>
      </c>
      <c r="G19">
        <f>O5/F$18</f>
        <v>0</v>
      </c>
      <c r="H19" t="s">
        <v>76</v>
      </c>
      <c r="I19" t="str">
        <f>CONCATENATE(H19,N6,",",O6)</f>
        <v>po -73,1206708349721,-4,13988262382347</v>
      </c>
    </row>
    <row r="20" spans="6:15" ht="15" customHeight="1" x14ac:dyDescent="0.35">
      <c r="F20">
        <f>N6/F$18</f>
        <v>-48.747113889981399</v>
      </c>
      <c r="G20">
        <f>O6/F$18</f>
        <v>-2.7599217492156485</v>
      </c>
      <c r="H20" t="s">
        <v>76</v>
      </c>
      <c r="I20" t="str">
        <f>CONCATENATE(H20,N7,",",O7)</f>
        <v>po -122,465144791256,-8,39138316286983</v>
      </c>
    </row>
    <row r="21" spans="6:15" ht="15" customHeight="1" x14ac:dyDescent="0.35">
      <c r="F21">
        <f>N7/F$18</f>
        <v>-81.643429860837159</v>
      </c>
      <c r="G21">
        <f>O7/F$18</f>
        <v>-5.5942554419132229</v>
      </c>
      <c r="H21" t="s">
        <v>76</v>
      </c>
      <c r="I21" t="str">
        <f>CONCATENATE(H21,N8,",",O8)</f>
        <v>po -175,058941439377,-18,4615142516767</v>
      </c>
    </row>
    <row r="22" spans="6:15" ht="15" customHeight="1" x14ac:dyDescent="0.35">
      <c r="F22">
        <f>N8/F$18</f>
        <v>-116.70596095958449</v>
      </c>
      <c r="G22">
        <f>O8/F$18</f>
        <v>-12.307676167784493</v>
      </c>
      <c r="H22" t="s">
        <v>76</v>
      </c>
      <c r="I22" t="str">
        <f t="shared" ref="I22:I25" si="6">CONCATENATE(H22,N9,",",O9)</f>
        <v>po -167,760844877842,52,2001528849459</v>
      </c>
    </row>
    <row r="23" spans="6:15" ht="15" customHeight="1" x14ac:dyDescent="0.35">
      <c r="F23">
        <f t="shared" ref="F23:F25" si="7">N9/F$18</f>
        <v>-111.84056325189466</v>
      </c>
      <c r="G23">
        <f t="shared" ref="G23:G25" si="8">O9/F$18</f>
        <v>34.800101923297248</v>
      </c>
      <c r="H23" t="s">
        <v>76</v>
      </c>
      <c r="I23" t="str">
        <f t="shared" si="6"/>
        <v>po -108,10449942806,49,1005240874843</v>
      </c>
    </row>
    <row r="24" spans="6:15" ht="15.75" customHeight="1" x14ac:dyDescent="0.35">
      <c r="F24">
        <f t="shared" si="7"/>
        <v>-72.069666285373017</v>
      </c>
      <c r="G24">
        <f t="shared" si="8"/>
        <v>32.733682724989521</v>
      </c>
      <c r="H24" t="s">
        <v>76</v>
      </c>
      <c r="I24" t="str">
        <f t="shared" si="6"/>
        <v>po -48,4199643588244,45,9585015911591</v>
      </c>
    </row>
    <row r="25" spans="6:15" ht="15.75" customHeight="1" x14ac:dyDescent="0.35">
      <c r="F25">
        <f t="shared" si="7"/>
        <v>-32.279976239216246</v>
      </c>
      <c r="G25">
        <f t="shared" si="8"/>
        <v>30.639001060772731</v>
      </c>
      <c r="H25" t="s">
        <v>76</v>
      </c>
      <c r="I25" t="str">
        <f t="shared" si="6"/>
        <v>po 16,1444869811249,-10,7780267268132</v>
      </c>
      <c r="O25" t="s">
        <v>32</v>
      </c>
    </row>
    <row r="26" spans="6:15" ht="15.75" customHeight="1" x14ac:dyDescent="0.35"/>
    <row r="27" spans="6:15" ht="15.75" customHeight="1" x14ac:dyDescent="0.35"/>
    <row r="28" spans="6:15" ht="15.75" customHeight="1" x14ac:dyDescent="0.35">
      <c r="O28" t="s">
        <v>32</v>
      </c>
    </row>
    <row r="29" spans="6:15" ht="15.75" customHeight="1" x14ac:dyDescent="0.35"/>
    <row r="30" spans="6:15" ht="15.75" customHeight="1" x14ac:dyDescent="0.35"/>
    <row r="31" spans="6:15" ht="15.75" customHeight="1" x14ac:dyDescent="0.35"/>
    <row r="32" spans="6:1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</sheetData>
  <mergeCells count="16">
    <mergeCell ref="O3:O4"/>
    <mergeCell ref="B2:O2"/>
    <mergeCell ref="Q2:R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6293-4B68-45D3-8B23-EC667690052F}">
  <dimension ref="B2:V124"/>
  <sheetViews>
    <sheetView topLeftCell="F6" zoomScale="40" workbookViewId="0">
      <selection activeCell="T36" sqref="T36"/>
    </sheetView>
  </sheetViews>
  <sheetFormatPr defaultColWidth="14.453125" defaultRowHeight="15" customHeight="1" x14ac:dyDescent="0.35"/>
  <cols>
    <col min="1" max="2" width="8.7265625" customWidth="1"/>
    <col min="3" max="3" width="15.81640625" customWidth="1"/>
    <col min="4" max="6" width="8.7265625" customWidth="1"/>
    <col min="20" max="20" width="14.453125" customWidth="1"/>
  </cols>
  <sheetData>
    <row r="2" spans="2:22" ht="15" customHeight="1" x14ac:dyDescent="0.35">
      <c r="B2" s="151" t="s">
        <v>78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4"/>
      <c r="T2" s="84"/>
      <c r="U2" s="84"/>
    </row>
    <row r="3" spans="2:22" ht="15" customHeight="1" x14ac:dyDescent="0.35">
      <c r="B3" s="150" t="s">
        <v>20</v>
      </c>
      <c r="C3" s="151" t="s">
        <v>79</v>
      </c>
      <c r="D3" s="113"/>
      <c r="E3" s="113"/>
      <c r="F3" s="113"/>
      <c r="G3" s="113"/>
      <c r="H3" s="113"/>
      <c r="I3" s="113"/>
      <c r="J3" s="114"/>
      <c r="K3" s="151" t="s">
        <v>80</v>
      </c>
      <c r="L3" s="113"/>
      <c r="M3" s="113"/>
      <c r="N3" s="113"/>
      <c r="O3" s="113"/>
      <c r="P3" s="113"/>
      <c r="Q3" s="113"/>
      <c r="R3" s="114"/>
      <c r="T3" s="151" t="s">
        <v>81</v>
      </c>
      <c r="U3" s="113"/>
      <c r="V3" s="114"/>
    </row>
    <row r="4" spans="2:22" ht="15" customHeight="1" x14ac:dyDescent="0.35">
      <c r="B4" s="103"/>
      <c r="C4" s="85" t="s">
        <v>82</v>
      </c>
      <c r="D4" s="85" t="s">
        <v>49</v>
      </c>
      <c r="E4" s="85" t="s">
        <v>50</v>
      </c>
      <c r="F4" s="85" t="s">
        <v>51</v>
      </c>
      <c r="G4" s="85" t="s">
        <v>58</v>
      </c>
      <c r="H4" s="85" t="s">
        <v>83</v>
      </c>
      <c r="I4" s="85" t="s">
        <v>56</v>
      </c>
      <c r="J4" s="85" t="s">
        <v>84</v>
      </c>
      <c r="K4" s="85" t="s">
        <v>82</v>
      </c>
      <c r="L4" s="85" t="s">
        <v>49</v>
      </c>
      <c r="M4" s="85" t="s">
        <v>50</v>
      </c>
      <c r="N4" s="85" t="s">
        <v>51</v>
      </c>
      <c r="O4" s="85" t="s">
        <v>58</v>
      </c>
      <c r="P4" s="85" t="s">
        <v>83</v>
      </c>
      <c r="Q4" s="85" t="s">
        <v>56</v>
      </c>
      <c r="R4" s="85" t="s">
        <v>84</v>
      </c>
      <c r="T4" s="85" t="s">
        <v>83</v>
      </c>
      <c r="U4" s="85" t="s">
        <v>56</v>
      </c>
      <c r="V4" s="85" t="s">
        <v>85</v>
      </c>
    </row>
    <row r="5" spans="2:22" ht="15" customHeight="1" x14ac:dyDescent="0.35">
      <c r="B5" s="85" t="s">
        <v>29</v>
      </c>
      <c r="C5" s="85"/>
      <c r="D5" s="85">
        <v>2.58</v>
      </c>
      <c r="E5" s="85">
        <v>2.41</v>
      </c>
      <c r="F5" s="86">
        <v>2.2650000000000001</v>
      </c>
      <c r="G5" s="85">
        <f>(D5-F5)*100</f>
        <v>31.499999999999993</v>
      </c>
      <c r="H5" s="85"/>
      <c r="I5" s="85"/>
      <c r="J5" s="85"/>
      <c r="K5" s="85"/>
      <c r="L5" s="85">
        <v>2.6949999999999998</v>
      </c>
      <c r="M5" s="85">
        <v>2.5579999999999998</v>
      </c>
      <c r="N5" s="86">
        <v>2.415</v>
      </c>
      <c r="O5" s="66">
        <f>(L5-N5)*100</f>
        <v>27.999999999999979</v>
      </c>
      <c r="P5" s="66"/>
      <c r="Q5" s="66"/>
      <c r="R5" s="66"/>
      <c r="T5" s="86">
        <f>AVERAGE(H6,P6)</f>
        <v>1.5489999999999999</v>
      </c>
      <c r="U5" s="87">
        <f>AVERAGE(I6,Q6)</f>
        <v>1.0781250000000027E-2</v>
      </c>
      <c r="V5" s="86">
        <f t="shared" ref="V5" si="0">AVERAGE(J6,R6)</f>
        <v>0</v>
      </c>
    </row>
    <row r="6" spans="2:22" ht="15" customHeight="1" x14ac:dyDescent="0.35">
      <c r="B6" s="85"/>
      <c r="C6" s="85" t="s">
        <v>86</v>
      </c>
      <c r="D6" s="85"/>
      <c r="E6" s="85"/>
      <c r="F6" s="85"/>
      <c r="G6" s="86">
        <f>(G5+G7)</f>
        <v>53.499999999999986</v>
      </c>
      <c r="H6" s="85">
        <f>E5-E7</f>
        <v>1.54</v>
      </c>
      <c r="I6" s="87">
        <f>$H$30/$H$31</f>
        <v>6.9375000000000409E-3</v>
      </c>
      <c r="J6" s="86">
        <v>0</v>
      </c>
      <c r="K6" s="85" t="s">
        <v>87</v>
      </c>
      <c r="L6" s="85"/>
      <c r="M6" s="85"/>
      <c r="N6" s="85"/>
      <c r="O6" s="67">
        <f>(O5+O7)</f>
        <v>53.499999999999972</v>
      </c>
      <c r="P6" s="66">
        <f>M5-M7</f>
        <v>1.5579999999999998</v>
      </c>
      <c r="Q6" s="66">
        <f>$P$30/$P$31</f>
        <v>1.4625000000000013E-2</v>
      </c>
      <c r="R6" s="67">
        <v>0</v>
      </c>
      <c r="T6" s="86"/>
      <c r="U6" s="85"/>
      <c r="V6" s="86"/>
    </row>
    <row r="7" spans="2:22" ht="15" customHeight="1" x14ac:dyDescent="0.35">
      <c r="B7" s="85" t="s">
        <v>31</v>
      </c>
      <c r="C7" s="85"/>
      <c r="D7" s="85">
        <v>0.98</v>
      </c>
      <c r="E7" s="85">
        <v>0.87</v>
      </c>
      <c r="F7" s="85">
        <v>0.76</v>
      </c>
      <c r="G7" s="85">
        <f t="shared" ref="G7:G8" si="1">(D7-F7)*100</f>
        <v>21.999999999999996</v>
      </c>
      <c r="H7" s="85"/>
      <c r="I7" s="85"/>
      <c r="J7" s="85"/>
      <c r="K7" s="85"/>
      <c r="L7" s="85">
        <v>1.1299999999999999</v>
      </c>
      <c r="M7" s="85">
        <v>1</v>
      </c>
      <c r="N7" s="85">
        <v>0.875</v>
      </c>
      <c r="O7" s="66">
        <f t="shared" ref="O7:O8" si="2">(L7-N7)*100</f>
        <v>25.499999999999989</v>
      </c>
      <c r="P7" s="66"/>
      <c r="Q7" s="66"/>
      <c r="R7" s="66"/>
      <c r="T7" s="86"/>
      <c r="U7" s="85"/>
      <c r="V7" s="86"/>
    </row>
    <row r="8" spans="2:22" ht="15" customHeight="1" x14ac:dyDescent="0.35">
      <c r="B8" s="85" t="s">
        <v>31</v>
      </c>
      <c r="C8" s="85"/>
      <c r="D8" s="85">
        <v>1.71</v>
      </c>
      <c r="E8" s="85">
        <v>1.61</v>
      </c>
      <c r="F8" s="85">
        <v>1.51</v>
      </c>
      <c r="G8" s="85">
        <f t="shared" si="1"/>
        <v>19.999999999999996</v>
      </c>
      <c r="H8" s="85"/>
      <c r="I8" s="85"/>
      <c r="J8" s="86"/>
      <c r="K8" s="85"/>
      <c r="L8" s="85">
        <v>1.901</v>
      </c>
      <c r="M8" s="85">
        <v>1.7290000000000001</v>
      </c>
      <c r="N8" s="85">
        <v>1.5509999999999999</v>
      </c>
      <c r="O8" s="66">
        <f t="shared" si="2"/>
        <v>35.000000000000007</v>
      </c>
      <c r="P8" s="66"/>
      <c r="Q8" s="66"/>
      <c r="R8" s="66"/>
      <c r="T8" s="86">
        <f>AVERAGE(H9,P9)</f>
        <v>0.18400000000000016</v>
      </c>
      <c r="U8" s="87">
        <f t="shared" ref="U8:V8" si="3">AVERAGE(I9,Q9)</f>
        <v>1.0781250000000027E-2</v>
      </c>
      <c r="V8" s="86">
        <f t="shared" si="3"/>
        <v>1.2187500000000392E-3</v>
      </c>
    </row>
    <row r="9" spans="2:22" ht="15" customHeight="1" x14ac:dyDescent="0.35">
      <c r="B9" s="85"/>
      <c r="C9" s="85" t="s">
        <v>88</v>
      </c>
      <c r="D9" s="85"/>
      <c r="E9" s="85"/>
      <c r="F9" s="85"/>
      <c r="G9" s="86">
        <f>(G8+G10)</f>
        <v>38.000000000000014</v>
      </c>
      <c r="H9" s="88">
        <f>E8-E10</f>
        <v>0.18000000000000016</v>
      </c>
      <c r="I9" s="87">
        <f>$H$30/$H$31</f>
        <v>6.9375000000000409E-3</v>
      </c>
      <c r="J9" s="86">
        <f>J6+(H9-H40)/2-I9</f>
        <v>3.062499999999968E-3</v>
      </c>
      <c r="K9" s="85" t="s">
        <v>89</v>
      </c>
      <c r="L9" s="85"/>
      <c r="M9" s="85"/>
      <c r="N9" s="85"/>
      <c r="O9" s="67">
        <f>(O8+O10)</f>
        <v>58.100000000000016</v>
      </c>
      <c r="P9" s="66">
        <f>M8-M10</f>
        <v>0.18800000000000017</v>
      </c>
      <c r="Q9" s="66">
        <f>$P$30/$P$31</f>
        <v>1.4625000000000013E-2</v>
      </c>
      <c r="R9" s="89">
        <f>R6+(P9-P40)/2-Q9</f>
        <v>-6.2499999999988953E-4</v>
      </c>
      <c r="T9" s="86"/>
      <c r="U9" s="85"/>
      <c r="V9" s="86"/>
    </row>
    <row r="10" spans="2:22" ht="15" customHeight="1" x14ac:dyDescent="0.35">
      <c r="B10" s="85" t="s">
        <v>33</v>
      </c>
      <c r="C10" s="85"/>
      <c r="D10" s="85">
        <v>1.61</v>
      </c>
      <c r="E10" s="85">
        <v>1.43</v>
      </c>
      <c r="F10" s="85">
        <v>1.2450000000000001</v>
      </c>
      <c r="G10" s="85">
        <f>(D10-E10)*100</f>
        <v>18.000000000000014</v>
      </c>
      <c r="H10" s="85"/>
      <c r="I10" s="85"/>
      <c r="J10" s="86"/>
      <c r="K10" s="85"/>
      <c r="L10" s="85">
        <v>1.659</v>
      </c>
      <c r="M10" s="85">
        <v>1.5409999999999999</v>
      </c>
      <c r="N10" s="85">
        <v>1.4279999999999999</v>
      </c>
      <c r="O10" s="66">
        <f t="shared" ref="O10:O11" si="4">(L10-N10)*100</f>
        <v>23.100000000000009</v>
      </c>
      <c r="P10" s="66"/>
      <c r="Q10" s="66"/>
      <c r="R10" s="66"/>
      <c r="T10" s="86"/>
      <c r="U10" s="85"/>
      <c r="V10" s="86"/>
    </row>
    <row r="11" spans="2:22" ht="15" customHeight="1" x14ac:dyDescent="0.35">
      <c r="B11" s="85" t="s">
        <v>33</v>
      </c>
      <c r="C11" s="85"/>
      <c r="D11" s="85">
        <v>1.7</v>
      </c>
      <c r="E11" s="85">
        <v>1.599</v>
      </c>
      <c r="F11" s="85">
        <v>1.4950000000000001</v>
      </c>
      <c r="G11" s="85">
        <f>(D11-F11)*100</f>
        <v>20.499999999999986</v>
      </c>
      <c r="H11" s="85"/>
      <c r="I11" s="85"/>
      <c r="J11" s="86"/>
      <c r="K11" s="85"/>
      <c r="L11" s="85">
        <v>1.7</v>
      </c>
      <c r="M11" s="85">
        <v>1.4650000000000001</v>
      </c>
      <c r="N11" s="85">
        <v>1.23</v>
      </c>
      <c r="O11" s="66">
        <f t="shared" si="4"/>
        <v>47</v>
      </c>
      <c r="P11" s="66"/>
      <c r="Q11" s="66"/>
      <c r="R11" s="66"/>
      <c r="T11" s="86">
        <f>AVERAGE(H12,P12)</f>
        <v>-6.7999999999999949E-2</v>
      </c>
      <c r="U11" s="87">
        <f t="shared" ref="U11:U23" si="5">AVERAGE(I12,Q12)</f>
        <v>1.0781250000000027E-2</v>
      </c>
      <c r="V11" s="86">
        <f>AVERAGE(J12,R12)</f>
        <v>-3.9062500000000014E-2</v>
      </c>
    </row>
    <row r="12" spans="2:22" ht="15" customHeight="1" x14ac:dyDescent="0.35">
      <c r="B12" s="85"/>
      <c r="C12" s="85" t="s">
        <v>90</v>
      </c>
      <c r="D12" s="85"/>
      <c r="E12" s="85"/>
      <c r="F12" s="85"/>
      <c r="G12" s="86">
        <f>(G11+G13)</f>
        <v>74.999999999999972</v>
      </c>
      <c r="H12" s="85">
        <f>E11-E13</f>
        <v>-7.0999999999999952E-2</v>
      </c>
      <c r="I12" s="87">
        <f>$H$30/$H$31</f>
        <v>6.9375000000000409E-3</v>
      </c>
      <c r="J12" s="86">
        <f>J9+(H12-H43)/2-I12</f>
        <v>-3.2875000000000099E-2</v>
      </c>
      <c r="K12" s="85" t="s">
        <v>91</v>
      </c>
      <c r="L12" s="85"/>
      <c r="M12" s="85"/>
      <c r="N12" s="85"/>
      <c r="O12" s="67">
        <f>(O11+O13)</f>
        <v>75.500000000000014</v>
      </c>
      <c r="P12" s="66">
        <f>M11-M13</f>
        <v>-6.4999999999999947E-2</v>
      </c>
      <c r="Q12" s="66">
        <f>$P$30/$P$31</f>
        <v>1.4625000000000013E-2</v>
      </c>
      <c r="R12" s="89">
        <f>R9+(P12-P43)/2-Q12</f>
        <v>-4.5249999999999929E-2</v>
      </c>
      <c r="T12" s="86"/>
      <c r="U12" s="87"/>
      <c r="V12" s="86"/>
    </row>
    <row r="13" spans="2:22" ht="15" customHeight="1" x14ac:dyDescent="0.35">
      <c r="B13" s="85" t="s">
        <v>34</v>
      </c>
      <c r="C13" s="85"/>
      <c r="D13" s="85">
        <v>1.93</v>
      </c>
      <c r="E13" s="85">
        <v>1.67</v>
      </c>
      <c r="F13" s="85">
        <v>1.385</v>
      </c>
      <c r="G13" s="85">
        <f>(D13-F13)*100</f>
        <v>54.499999999999993</v>
      </c>
      <c r="H13" s="85"/>
      <c r="I13" s="87"/>
      <c r="J13" s="86"/>
      <c r="K13" s="85"/>
      <c r="L13" s="85">
        <v>1.675</v>
      </c>
      <c r="M13" s="85">
        <v>1.53</v>
      </c>
      <c r="N13" s="85">
        <v>1.39</v>
      </c>
      <c r="O13" s="66">
        <f>(L13-N13)*100</f>
        <v>28.500000000000014</v>
      </c>
      <c r="P13" s="66"/>
      <c r="Q13" s="66"/>
      <c r="R13" s="89"/>
      <c r="T13" s="86"/>
      <c r="U13" s="87"/>
      <c r="V13" s="86"/>
    </row>
    <row r="14" spans="2:22" ht="15" customHeight="1" x14ac:dyDescent="0.35">
      <c r="B14" s="85" t="s">
        <v>34</v>
      </c>
      <c r="C14" s="85"/>
      <c r="D14" s="85">
        <v>1.369</v>
      </c>
      <c r="E14" s="85">
        <v>1.268</v>
      </c>
      <c r="F14" s="85">
        <v>1.165</v>
      </c>
      <c r="G14" s="85">
        <f>(D14-F14)*100</f>
        <v>20.399999999999995</v>
      </c>
      <c r="H14" s="85"/>
      <c r="I14" s="87"/>
      <c r="J14" s="86"/>
      <c r="K14" s="85"/>
      <c r="L14" s="85">
        <v>1.33</v>
      </c>
      <c r="M14" s="85">
        <v>1.1850000000000001</v>
      </c>
      <c r="N14" s="85">
        <v>1.04</v>
      </c>
      <c r="O14" s="66">
        <f t="shared" ref="O14:O25" si="6">(L14-N14)*100</f>
        <v>29.000000000000004</v>
      </c>
      <c r="P14" s="66"/>
      <c r="Q14" s="66"/>
      <c r="R14" s="89"/>
      <c r="T14" s="86">
        <f t="shared" ref="T14:T26" si="7">AVERAGE(H15,P15)</f>
        <v>-0.41549999999999998</v>
      </c>
      <c r="U14" s="87">
        <f t="shared" si="5"/>
        <v>1.0781250000000027E-2</v>
      </c>
      <c r="V14" s="86">
        <f t="shared" ref="V14:V26" si="8">AVERAGE(J15,R15)</f>
        <v>-0.23109375000000001</v>
      </c>
    </row>
    <row r="15" spans="2:22" ht="15" customHeight="1" x14ac:dyDescent="0.35">
      <c r="B15" s="85"/>
      <c r="C15" s="85" t="s">
        <v>92</v>
      </c>
      <c r="D15" s="85"/>
      <c r="E15" s="85"/>
      <c r="F15" s="85"/>
      <c r="G15" s="85">
        <f>G14+G16</f>
        <v>54.400000000000006</v>
      </c>
      <c r="H15" s="85">
        <f>E14-E16</f>
        <v>-0.41399999999999992</v>
      </c>
      <c r="I15" s="87">
        <f t="shared" ref="I15:I24" si="9">$H$30/$H$31</f>
        <v>6.9375000000000409E-3</v>
      </c>
      <c r="J15" s="86">
        <f>J12+(H15-H46)/2-I15</f>
        <v>-0.22281250000000008</v>
      </c>
      <c r="K15" s="85"/>
      <c r="L15" s="85"/>
      <c r="M15" s="85"/>
      <c r="N15" s="85"/>
      <c r="O15" s="66">
        <f>O14+O16</f>
        <v>54</v>
      </c>
      <c r="P15" s="66">
        <f>M14-M16</f>
        <v>-0.41700000000000004</v>
      </c>
      <c r="Q15" s="66">
        <f t="shared" ref="Q15:Q27" si="10">$P$30/$P$31</f>
        <v>1.4625000000000013E-2</v>
      </c>
      <c r="R15" s="89">
        <f t="shared" ref="R15:R21" si="11">R12+(P15-P46)/2-Q15</f>
        <v>-0.23937499999999995</v>
      </c>
      <c r="T15" s="86"/>
      <c r="U15" s="87"/>
      <c r="V15" s="86"/>
    </row>
    <row r="16" spans="2:22" ht="15" customHeight="1" x14ac:dyDescent="0.35">
      <c r="B16" s="85" t="s">
        <v>35</v>
      </c>
      <c r="C16" s="85"/>
      <c r="D16" s="85">
        <v>1.85</v>
      </c>
      <c r="E16" s="85">
        <v>1.6819999999999999</v>
      </c>
      <c r="F16" s="85">
        <v>1.51</v>
      </c>
      <c r="G16" s="85">
        <f t="shared" ref="G16:G25" si="12">(D16-F16)*100</f>
        <v>34.000000000000007</v>
      </c>
      <c r="H16" s="85"/>
      <c r="I16" s="87"/>
      <c r="J16" s="86"/>
      <c r="K16" s="85"/>
      <c r="L16" s="85">
        <v>1.73</v>
      </c>
      <c r="M16" s="85">
        <v>1.6020000000000001</v>
      </c>
      <c r="N16" s="85">
        <v>1.48</v>
      </c>
      <c r="O16" s="66">
        <f t="shared" si="6"/>
        <v>25</v>
      </c>
      <c r="P16" s="66"/>
      <c r="Q16" s="66"/>
      <c r="R16" s="89"/>
      <c r="T16" s="86"/>
      <c r="U16" s="87"/>
      <c r="V16" s="86"/>
    </row>
    <row r="17" spans="2:22" ht="15" customHeight="1" x14ac:dyDescent="0.35">
      <c r="B17" s="85" t="s">
        <v>35</v>
      </c>
      <c r="C17" s="85"/>
      <c r="D17" s="85">
        <v>1.635</v>
      </c>
      <c r="E17" s="85">
        <v>1.51</v>
      </c>
      <c r="F17" s="85">
        <v>1.4</v>
      </c>
      <c r="G17" s="85">
        <f t="shared" si="12"/>
        <v>23.500000000000011</v>
      </c>
      <c r="H17" s="85"/>
      <c r="I17" s="87"/>
      <c r="J17" s="86"/>
      <c r="K17" s="85"/>
      <c r="L17" s="85">
        <v>1.665</v>
      </c>
      <c r="M17" s="85">
        <v>1.4950000000000001</v>
      </c>
      <c r="N17" s="85">
        <v>1.32</v>
      </c>
      <c r="O17" s="66">
        <f t="shared" si="6"/>
        <v>34.5</v>
      </c>
      <c r="P17" s="66"/>
      <c r="Q17" s="66"/>
      <c r="R17" s="89"/>
      <c r="T17" s="86">
        <f t="shared" si="7"/>
        <v>4.2500000000000093E-2</v>
      </c>
      <c r="U17" s="87">
        <f t="shared" si="5"/>
        <v>1.0781250000000027E-2</v>
      </c>
      <c r="V17" s="86">
        <f t="shared" si="8"/>
        <v>-0.43862500000000004</v>
      </c>
    </row>
    <row r="18" spans="2:22" ht="15" customHeight="1" x14ac:dyDescent="0.35">
      <c r="B18" s="85"/>
      <c r="C18" s="85" t="s">
        <v>110</v>
      </c>
      <c r="D18" s="85"/>
      <c r="E18" s="85"/>
      <c r="F18" s="85"/>
      <c r="G18" s="85">
        <f>G17+G19</f>
        <v>46.000000000000014</v>
      </c>
      <c r="H18" s="85">
        <f>E17-E19</f>
        <v>4.0000000000000036E-2</v>
      </c>
      <c r="I18" s="87">
        <f t="shared" si="9"/>
        <v>6.9375000000000409E-3</v>
      </c>
      <c r="J18" s="86">
        <f>J15+(H18-H49)/2-I18</f>
        <v>-0.41675000000000006</v>
      </c>
      <c r="K18" s="85"/>
      <c r="L18" s="85"/>
      <c r="M18" s="85"/>
      <c r="N18" s="85"/>
      <c r="O18" s="66">
        <f>O17+O19</f>
        <v>54.699999999999996</v>
      </c>
      <c r="P18" s="66">
        <f t="shared" ref="P18:P24" si="13">M17-M19</f>
        <v>4.5000000000000151E-2</v>
      </c>
      <c r="Q18" s="66">
        <f t="shared" si="10"/>
        <v>1.4625000000000013E-2</v>
      </c>
      <c r="R18" s="89">
        <f t="shared" si="11"/>
        <v>-0.46049999999999996</v>
      </c>
      <c r="T18" s="86"/>
      <c r="U18" s="87"/>
      <c r="V18" s="86"/>
    </row>
    <row r="19" spans="2:22" ht="15" customHeight="1" x14ac:dyDescent="0.35">
      <c r="B19" s="85" t="s">
        <v>36</v>
      </c>
      <c r="C19" s="85"/>
      <c r="D19" s="85">
        <v>1.625</v>
      </c>
      <c r="E19" s="85">
        <v>1.47</v>
      </c>
      <c r="F19" s="85">
        <v>1.4</v>
      </c>
      <c r="G19" s="85">
        <f t="shared" si="12"/>
        <v>22.500000000000007</v>
      </c>
      <c r="H19" s="85"/>
      <c r="I19" s="87"/>
      <c r="J19" s="86"/>
      <c r="K19" s="85"/>
      <c r="L19" s="85">
        <v>1.55</v>
      </c>
      <c r="M19" s="85">
        <v>1.45</v>
      </c>
      <c r="N19" s="85">
        <v>1.3480000000000001</v>
      </c>
      <c r="O19" s="66">
        <f t="shared" si="6"/>
        <v>20.199999999999996</v>
      </c>
      <c r="P19" s="66"/>
      <c r="Q19" s="66"/>
      <c r="R19" s="89"/>
      <c r="T19" s="86"/>
      <c r="U19" s="87"/>
      <c r="V19" s="86"/>
    </row>
    <row r="20" spans="2:22" ht="15" customHeight="1" x14ac:dyDescent="0.35">
      <c r="B20" s="85" t="s">
        <v>36</v>
      </c>
      <c r="C20" s="85"/>
      <c r="D20" s="85">
        <v>1.655</v>
      </c>
      <c r="E20" s="85">
        <v>1.5349999999999999</v>
      </c>
      <c r="F20" s="85">
        <v>1.415</v>
      </c>
      <c r="G20" s="85">
        <f t="shared" si="12"/>
        <v>24</v>
      </c>
      <c r="H20" s="85"/>
      <c r="I20" s="87"/>
      <c r="J20" s="86"/>
      <c r="K20" s="85"/>
      <c r="L20" s="85">
        <v>1.675</v>
      </c>
      <c r="M20" s="85">
        <v>1.54</v>
      </c>
      <c r="N20" s="85">
        <v>1.4</v>
      </c>
      <c r="O20" s="66">
        <f t="shared" si="6"/>
        <v>27.500000000000014</v>
      </c>
      <c r="P20" s="66"/>
      <c r="Q20" s="66"/>
      <c r="R20" s="89"/>
      <c r="T20" s="86">
        <f t="shared" si="7"/>
        <v>5.0000000000000044E-3</v>
      </c>
      <c r="U20" s="87">
        <f t="shared" si="5"/>
        <v>1.0781250000000027E-2</v>
      </c>
      <c r="V20" s="86">
        <f t="shared" si="8"/>
        <v>-0.47815625</v>
      </c>
    </row>
    <row r="21" spans="2:22" ht="15" customHeight="1" x14ac:dyDescent="0.35">
      <c r="B21" s="85"/>
      <c r="C21" s="85" t="s">
        <v>111</v>
      </c>
      <c r="D21" s="85"/>
      <c r="E21" s="85"/>
      <c r="F21" s="85"/>
      <c r="G21" s="85">
        <f>G20+G22</f>
        <v>77</v>
      </c>
      <c r="H21" s="85">
        <f>E20-E22</f>
        <v>1.0000000000000009E-2</v>
      </c>
      <c r="I21" s="87">
        <f t="shared" si="9"/>
        <v>6.9375000000000409E-3</v>
      </c>
      <c r="J21" s="86">
        <f t="shared" ref="J21:J24" si="14">J18+(H21-H52)/2-I21</f>
        <v>-0.45118750000000007</v>
      </c>
      <c r="K21" s="85"/>
      <c r="L21" s="85"/>
      <c r="M21" s="85"/>
      <c r="N21" s="85"/>
      <c r="O21" s="66">
        <f>O20+O22</f>
        <v>77.500000000000014</v>
      </c>
      <c r="P21" s="66">
        <f t="shared" si="13"/>
        <v>0</v>
      </c>
      <c r="Q21" s="66">
        <f t="shared" si="10"/>
        <v>1.4625000000000013E-2</v>
      </c>
      <c r="R21" s="89">
        <f t="shared" si="11"/>
        <v>-0.50512499999999994</v>
      </c>
      <c r="T21" s="86"/>
      <c r="U21" s="87"/>
      <c r="V21" s="86"/>
    </row>
    <row r="22" spans="2:22" ht="15" customHeight="1" x14ac:dyDescent="0.35">
      <c r="B22" s="85" t="s">
        <v>30</v>
      </c>
      <c r="C22" s="85"/>
      <c r="D22" s="85">
        <v>1.79</v>
      </c>
      <c r="E22" s="85">
        <v>1.5249999999999999</v>
      </c>
      <c r="F22" s="85">
        <v>1.26</v>
      </c>
      <c r="G22" s="85">
        <f t="shared" si="12"/>
        <v>53</v>
      </c>
      <c r="H22" s="85"/>
      <c r="I22" s="87"/>
      <c r="J22" s="86"/>
      <c r="K22" s="85"/>
      <c r="L22" s="85">
        <v>1.79</v>
      </c>
      <c r="M22" s="85">
        <v>1.54</v>
      </c>
      <c r="N22" s="85">
        <v>1.29</v>
      </c>
      <c r="O22" s="66">
        <f t="shared" si="6"/>
        <v>50</v>
      </c>
      <c r="P22" s="66"/>
      <c r="Q22" s="66"/>
      <c r="R22" s="89"/>
      <c r="T22" s="86"/>
      <c r="U22" s="87"/>
      <c r="V22" s="86"/>
    </row>
    <row r="23" spans="2:22" ht="15" customHeight="1" x14ac:dyDescent="0.35">
      <c r="B23" s="85" t="s">
        <v>30</v>
      </c>
      <c r="C23" s="85"/>
      <c r="D23" s="85">
        <v>1.7490000000000001</v>
      </c>
      <c r="E23" s="85">
        <v>1.659</v>
      </c>
      <c r="F23" s="85">
        <v>1.5680000000000001</v>
      </c>
      <c r="G23" s="85">
        <f t="shared" si="12"/>
        <v>18.100000000000005</v>
      </c>
      <c r="H23" s="85"/>
      <c r="I23" s="87"/>
      <c r="J23" s="86"/>
      <c r="K23" s="85"/>
      <c r="L23" s="85">
        <v>1.548</v>
      </c>
      <c r="M23" s="85">
        <v>1.448</v>
      </c>
      <c r="N23" s="85">
        <v>1.3480000000000001</v>
      </c>
      <c r="O23" s="66">
        <f t="shared" si="6"/>
        <v>19.999999999999996</v>
      </c>
      <c r="P23" s="66"/>
      <c r="Q23" s="66"/>
      <c r="R23" s="89"/>
      <c r="T23" s="86">
        <f t="shared" si="7"/>
        <v>-4.049999999999998E-2</v>
      </c>
      <c r="U23" s="87">
        <f t="shared" si="5"/>
        <v>1.0781250000000027E-2</v>
      </c>
      <c r="V23" s="86">
        <f t="shared" si="8"/>
        <v>-0.41418749999999993</v>
      </c>
    </row>
    <row r="24" spans="2:22" ht="15" customHeight="1" x14ac:dyDescent="0.35">
      <c r="B24" s="85"/>
      <c r="C24" s="85" t="s">
        <v>113</v>
      </c>
      <c r="D24" s="85"/>
      <c r="E24" s="85"/>
      <c r="F24" s="85"/>
      <c r="G24" s="85">
        <f>G23+G25</f>
        <v>43.900000000000006</v>
      </c>
      <c r="H24" s="85">
        <f t="shared" ref="H24" si="15">E23-E25</f>
        <v>-4.0999999999999925E-2</v>
      </c>
      <c r="I24" s="87">
        <f t="shared" si="9"/>
        <v>6.9375000000000409E-3</v>
      </c>
      <c r="J24" s="86">
        <f t="shared" si="14"/>
        <v>-0.38362499999999999</v>
      </c>
      <c r="K24" s="85"/>
      <c r="L24" s="85"/>
      <c r="M24" s="85"/>
      <c r="N24" s="85"/>
      <c r="O24" s="66">
        <f>O23+O25</f>
        <v>41.999999999999993</v>
      </c>
      <c r="P24" s="66">
        <f t="shared" si="13"/>
        <v>-4.0000000000000036E-2</v>
      </c>
      <c r="Q24" s="66">
        <f t="shared" si="10"/>
        <v>1.4625000000000013E-2</v>
      </c>
      <c r="R24" s="89">
        <f>R21+(P24-P55)/2-Q24</f>
        <v>-0.44474999999999987</v>
      </c>
      <c r="T24" s="86"/>
      <c r="U24" s="85"/>
      <c r="V24" s="86"/>
    </row>
    <row r="25" spans="2:22" ht="15" customHeight="1" x14ac:dyDescent="0.35">
      <c r="B25" s="85" t="s">
        <v>112</v>
      </c>
      <c r="C25" s="85"/>
      <c r="D25" s="85">
        <v>1.8280000000000001</v>
      </c>
      <c r="E25" s="85">
        <v>1.7</v>
      </c>
      <c r="F25" s="85">
        <v>1.57</v>
      </c>
      <c r="G25" s="85">
        <f t="shared" si="12"/>
        <v>25.8</v>
      </c>
      <c r="H25" s="85"/>
      <c r="I25" s="87"/>
      <c r="J25" s="86"/>
      <c r="K25" s="85"/>
      <c r="L25" s="85">
        <v>1.599</v>
      </c>
      <c r="M25" s="85">
        <v>1.488</v>
      </c>
      <c r="N25" s="85">
        <v>1.379</v>
      </c>
      <c r="O25" s="66">
        <f t="shared" si="6"/>
        <v>21.999999999999996</v>
      </c>
      <c r="P25" s="66"/>
      <c r="Q25" s="66"/>
      <c r="R25" s="89"/>
      <c r="T25" s="86"/>
      <c r="U25" s="85"/>
      <c r="V25" s="86"/>
    </row>
    <row r="26" spans="2:22" ht="15" customHeight="1" x14ac:dyDescent="0.35">
      <c r="B26" s="85" t="s">
        <v>112</v>
      </c>
      <c r="C26" s="85"/>
      <c r="D26" s="86">
        <v>1.1200000000000001</v>
      </c>
      <c r="E26" s="85">
        <v>1.03</v>
      </c>
      <c r="F26" s="85">
        <v>0.95</v>
      </c>
      <c r="G26" s="85">
        <f t="shared" ref="G26" si="16">(D26-F26)*100</f>
        <v>17.000000000000014</v>
      </c>
      <c r="H26" s="85"/>
      <c r="I26" s="87"/>
      <c r="J26" s="86"/>
      <c r="K26" s="85"/>
      <c r="L26" s="86">
        <v>1.1399999999999999</v>
      </c>
      <c r="M26" s="85">
        <v>1.03</v>
      </c>
      <c r="N26" s="85">
        <v>0.95</v>
      </c>
      <c r="O26" s="66">
        <f t="shared" ref="O26" si="17">(L26-N26)*100</f>
        <v>18.999999999999993</v>
      </c>
      <c r="P26" s="66"/>
      <c r="Q26" s="66"/>
      <c r="R26" s="89"/>
      <c r="T26" s="86">
        <f t="shared" si="7"/>
        <v>-1.1475</v>
      </c>
      <c r="U26" s="87">
        <f t="shared" ref="U26" si="18">AVERAGE(I27,Q27)</f>
        <v>1.0781250000000027E-2</v>
      </c>
      <c r="V26" s="86">
        <f t="shared" si="8"/>
        <v>-0.19121874999999999</v>
      </c>
    </row>
    <row r="27" spans="2:22" ht="15" customHeight="1" x14ac:dyDescent="0.35">
      <c r="B27" s="85"/>
      <c r="C27" s="85" t="s">
        <v>92</v>
      </c>
      <c r="D27" s="85"/>
      <c r="E27" s="85"/>
      <c r="F27" s="85"/>
      <c r="G27" s="85">
        <f>(G26+G28)</f>
        <v>43.000000000000036</v>
      </c>
      <c r="H27" s="85">
        <f>E26-E28</f>
        <v>-1.1500000000000001</v>
      </c>
      <c r="I27" s="87">
        <f>$H$30/$H$31</f>
        <v>6.9375000000000409E-3</v>
      </c>
      <c r="J27" s="86">
        <f>J24+(H27-H58)/2-I27</f>
        <v>-0.19056250000000008</v>
      </c>
      <c r="K27" s="85" t="s">
        <v>93</v>
      </c>
      <c r="L27" s="85"/>
      <c r="M27" s="85"/>
      <c r="N27" s="85"/>
      <c r="O27" s="66">
        <f>(O26+O28)</f>
        <v>39.999999999999986</v>
      </c>
      <c r="P27" s="66">
        <f>M26-M28</f>
        <v>-1.1449999999999998</v>
      </c>
      <c r="Q27" s="66">
        <f t="shared" si="10"/>
        <v>1.4625000000000013E-2</v>
      </c>
      <c r="R27" s="89">
        <f>R24+(P27-P58)/2-Q27</f>
        <v>-0.19187499999999991</v>
      </c>
      <c r="T27" s="1"/>
      <c r="U27" s="1"/>
      <c r="V27" s="1"/>
    </row>
    <row r="28" spans="2:22" ht="15" customHeight="1" x14ac:dyDescent="0.35">
      <c r="B28" s="85" t="s">
        <v>29</v>
      </c>
      <c r="C28" s="85"/>
      <c r="D28" s="85">
        <v>2.31</v>
      </c>
      <c r="E28" s="85">
        <v>2.1800000000000002</v>
      </c>
      <c r="F28" s="85">
        <v>2.0499999999999998</v>
      </c>
      <c r="G28" s="85">
        <f>(D28-F28)*100</f>
        <v>26.000000000000021</v>
      </c>
      <c r="H28" s="85"/>
      <c r="I28" s="85"/>
      <c r="J28" s="85"/>
      <c r="K28" s="85"/>
      <c r="L28" s="85">
        <v>2.2799999999999998</v>
      </c>
      <c r="M28" s="85">
        <v>2.1749999999999998</v>
      </c>
      <c r="N28" s="85">
        <v>2.0699999999999998</v>
      </c>
      <c r="O28" s="66">
        <f>(L28-N28)*100</f>
        <v>20.999999999999996</v>
      </c>
      <c r="P28" s="66"/>
      <c r="Q28" s="66"/>
      <c r="R28" s="66"/>
      <c r="T28" s="1"/>
      <c r="U28" s="1"/>
      <c r="V28" s="1"/>
    </row>
    <row r="29" spans="2:22" ht="15" customHeight="1" x14ac:dyDescent="0.35">
      <c r="B29" s="1"/>
      <c r="C29" s="1"/>
      <c r="D29" s="1"/>
      <c r="E29" s="1"/>
      <c r="F29" s="1"/>
      <c r="G29" s="90" t="s">
        <v>94</v>
      </c>
      <c r="H29" s="1">
        <f>SUM(H6:H27)</f>
        <v>9.4000000000000306E-2</v>
      </c>
      <c r="I29" s="91"/>
      <c r="J29" s="91"/>
      <c r="K29" s="1"/>
      <c r="L29" s="1"/>
      <c r="M29" s="1"/>
      <c r="N29" s="1"/>
      <c r="O29" s="90" t="s">
        <v>94</v>
      </c>
      <c r="P29">
        <f>SUM(P6:P27)</f>
        <v>0.12400000000000033</v>
      </c>
      <c r="T29" s="1"/>
      <c r="U29" s="1"/>
      <c r="V29" s="1"/>
    </row>
    <row r="30" spans="2:22" ht="15" customHeight="1" x14ac:dyDescent="0.35">
      <c r="B30" s="1"/>
      <c r="C30" s="1"/>
      <c r="D30" s="1"/>
      <c r="E30" s="1"/>
      <c r="F30" s="1"/>
      <c r="G30" s="90" t="s">
        <v>95</v>
      </c>
      <c r="H30" s="1">
        <f>(H6-H37)/2+(H9-H40)/2+(H12-H43)/2+(H15-H46)/2+(H18-H49)/2+(H21-H52)/2+(H24-H55)/2+(H27-H58)/2</f>
        <v>5.5500000000000327E-2</v>
      </c>
      <c r="I30" s="91"/>
      <c r="J30" s="91"/>
      <c r="K30" s="1"/>
      <c r="L30" s="1"/>
      <c r="M30" s="1"/>
      <c r="N30" s="1"/>
      <c r="O30" s="90" t="s">
        <v>95</v>
      </c>
      <c r="P30">
        <f>(P6-P37)/2+(P9-P40)/2+(P12-P43)/2+(P15-P46)/2+(P18-P49)/2+(P21-P52)/2+(P24-P55)/2+(P27-P58)/2</f>
        <v>0.1170000000000001</v>
      </c>
      <c r="T30" s="1"/>
      <c r="U30" s="1"/>
      <c r="V30" s="1"/>
    </row>
    <row r="31" spans="2:22" ht="15" customHeight="1" x14ac:dyDescent="0.35">
      <c r="B31" s="1"/>
      <c r="C31" s="1"/>
      <c r="D31" s="1"/>
      <c r="E31" s="1"/>
      <c r="F31" s="1"/>
      <c r="G31" s="90" t="s">
        <v>96</v>
      </c>
      <c r="H31" s="1">
        <v>8</v>
      </c>
      <c r="I31" s="91"/>
      <c r="J31" s="91"/>
      <c r="K31" s="1"/>
      <c r="L31" s="1"/>
      <c r="M31" s="1"/>
      <c r="N31" s="1"/>
      <c r="O31" s="90" t="s">
        <v>96</v>
      </c>
      <c r="P31">
        <v>8</v>
      </c>
      <c r="T31" s="1"/>
      <c r="U31" s="1"/>
      <c r="V31" s="1"/>
    </row>
    <row r="32" spans="2:22" ht="15" customHeight="1" x14ac:dyDescent="0.35">
      <c r="D32" s="84"/>
      <c r="E32" s="1"/>
      <c r="F32" s="84"/>
      <c r="G32" s="84"/>
      <c r="T32" s="1"/>
      <c r="U32" s="1"/>
      <c r="V32" s="1"/>
    </row>
    <row r="33" spans="2:22" ht="15.75" customHeight="1" x14ac:dyDescent="0.35">
      <c r="B33" s="151" t="s">
        <v>97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4"/>
      <c r="T33" s="1"/>
      <c r="U33" s="1"/>
      <c r="V33" s="1"/>
    </row>
    <row r="34" spans="2:22" ht="15.75" customHeight="1" x14ac:dyDescent="0.35">
      <c r="B34" s="150" t="s">
        <v>20</v>
      </c>
      <c r="C34" s="151" t="s">
        <v>79</v>
      </c>
      <c r="D34" s="113"/>
      <c r="E34" s="113"/>
      <c r="F34" s="113"/>
      <c r="G34" s="113"/>
      <c r="H34" s="113"/>
      <c r="I34" s="113"/>
      <c r="J34" s="114"/>
      <c r="K34" s="151" t="s">
        <v>80</v>
      </c>
      <c r="L34" s="113"/>
      <c r="M34" s="113"/>
      <c r="N34" s="113"/>
      <c r="O34" s="113"/>
      <c r="P34" s="113"/>
      <c r="Q34" s="113"/>
      <c r="R34" s="114"/>
      <c r="T34" s="151" t="s">
        <v>98</v>
      </c>
      <c r="U34" s="113"/>
      <c r="V34" s="114"/>
    </row>
    <row r="35" spans="2:22" ht="15.75" customHeight="1" x14ac:dyDescent="0.35">
      <c r="B35" s="103"/>
      <c r="C35" s="85" t="s">
        <v>82</v>
      </c>
      <c r="D35" s="85" t="s">
        <v>49</v>
      </c>
      <c r="E35" s="85" t="s">
        <v>50</v>
      </c>
      <c r="F35" s="85" t="s">
        <v>51</v>
      </c>
      <c r="G35" s="85" t="s">
        <v>58</v>
      </c>
      <c r="H35" s="85" t="s">
        <v>83</v>
      </c>
      <c r="I35" s="85" t="s">
        <v>56</v>
      </c>
      <c r="J35" s="85" t="s">
        <v>85</v>
      </c>
      <c r="K35" s="85" t="s">
        <v>82</v>
      </c>
      <c r="L35" s="85" t="s">
        <v>49</v>
      </c>
      <c r="M35" s="85" t="s">
        <v>50</v>
      </c>
      <c r="N35" s="85" t="s">
        <v>51</v>
      </c>
      <c r="O35" s="85" t="s">
        <v>58</v>
      </c>
      <c r="P35" s="85" t="s">
        <v>83</v>
      </c>
      <c r="Q35" s="85" t="s">
        <v>56</v>
      </c>
      <c r="R35" s="85" t="s">
        <v>85</v>
      </c>
      <c r="T35" s="85" t="s">
        <v>83</v>
      </c>
      <c r="U35" s="85" t="s">
        <v>56</v>
      </c>
      <c r="V35" s="85" t="s">
        <v>85</v>
      </c>
    </row>
    <row r="36" spans="2:22" ht="15.75" customHeight="1" x14ac:dyDescent="0.35">
      <c r="B36" s="85" t="s">
        <v>29</v>
      </c>
      <c r="C36" s="85"/>
      <c r="D36" s="85">
        <v>2.29</v>
      </c>
      <c r="E36" s="85">
        <v>2.1749999999999998</v>
      </c>
      <c r="F36" s="85">
        <v>2.0649999999999999</v>
      </c>
      <c r="G36" s="85">
        <f>(D36-F36)*100</f>
        <v>22.500000000000007</v>
      </c>
      <c r="H36" s="85"/>
      <c r="I36" s="85"/>
      <c r="J36" s="85"/>
      <c r="K36" s="85"/>
      <c r="L36" s="85">
        <v>2.1800000000000002</v>
      </c>
      <c r="M36" s="85">
        <v>2.0449999999999999</v>
      </c>
      <c r="N36" s="85">
        <v>1.91</v>
      </c>
      <c r="O36" s="66">
        <f>(L36-N36)*100</f>
        <v>27.000000000000025</v>
      </c>
      <c r="P36" s="66"/>
      <c r="Q36" s="66"/>
      <c r="R36" s="66"/>
      <c r="T36" s="86">
        <f t="shared" ref="T36:V36" si="19">AVERAGE(H37,P37)</f>
        <v>1.145</v>
      </c>
      <c r="U36" s="85">
        <f t="shared" si="19"/>
        <v>1.0781250000000027E-2</v>
      </c>
      <c r="V36" s="86">
        <f t="shared" si="19"/>
        <v>0</v>
      </c>
    </row>
    <row r="37" spans="2:22" ht="15.75" customHeight="1" x14ac:dyDescent="0.35">
      <c r="B37" s="85"/>
      <c r="C37" s="85" t="s">
        <v>86</v>
      </c>
      <c r="D37" s="85"/>
      <c r="E37" s="85"/>
      <c r="F37" s="85"/>
      <c r="G37" s="86">
        <f>(G36+G38)</f>
        <v>42.699999999999989</v>
      </c>
      <c r="H37" s="85">
        <f>E36-E38</f>
        <v>1.1449999999999998</v>
      </c>
      <c r="I37" s="85">
        <f>$H$30/$H$31</f>
        <v>6.9375000000000409E-3</v>
      </c>
      <c r="J37" s="86">
        <v>0</v>
      </c>
      <c r="K37" s="85" t="s">
        <v>99</v>
      </c>
      <c r="L37" s="85"/>
      <c r="M37" s="85"/>
      <c r="N37" s="85"/>
      <c r="O37" s="66">
        <f>O36+O38</f>
        <v>43.000000000000028</v>
      </c>
      <c r="P37" s="67">
        <f>M36-M38</f>
        <v>1.145</v>
      </c>
      <c r="Q37" s="66">
        <f>$P$30/$P$31</f>
        <v>1.4625000000000013E-2</v>
      </c>
      <c r="R37" s="67">
        <v>0</v>
      </c>
      <c r="T37" s="86"/>
      <c r="U37" s="85"/>
      <c r="V37" s="86"/>
    </row>
    <row r="38" spans="2:22" ht="15.75" customHeight="1" x14ac:dyDescent="0.35">
      <c r="B38" s="85" t="s">
        <v>112</v>
      </c>
      <c r="C38" s="85"/>
      <c r="D38" s="85">
        <v>1.1299999999999999</v>
      </c>
      <c r="E38" s="85">
        <v>1.03</v>
      </c>
      <c r="F38" s="85">
        <v>0.92800000000000005</v>
      </c>
      <c r="G38" s="85">
        <f t="shared" ref="G38:G39" si="20">(D38-F38)*100</f>
        <v>20.199999999999985</v>
      </c>
      <c r="H38" s="85"/>
      <c r="I38" s="85"/>
      <c r="J38" s="85"/>
      <c r="K38" s="85"/>
      <c r="L38" s="85">
        <v>0.98</v>
      </c>
      <c r="M38" s="85">
        <v>0.9</v>
      </c>
      <c r="N38" s="85">
        <v>0.82</v>
      </c>
      <c r="O38" s="66">
        <f t="shared" ref="O38:O59" si="21">(L38-N38)*100</f>
        <v>16.000000000000004</v>
      </c>
      <c r="P38" s="66"/>
      <c r="Q38" s="66"/>
      <c r="R38" s="66"/>
      <c r="T38" s="86"/>
      <c r="U38" s="85"/>
      <c r="V38" s="86"/>
    </row>
    <row r="39" spans="2:22" ht="15.75" customHeight="1" x14ac:dyDescent="0.35">
      <c r="B39" s="85" t="s">
        <v>112</v>
      </c>
      <c r="C39" s="85"/>
      <c r="D39" s="85">
        <v>1.6</v>
      </c>
      <c r="E39" s="85">
        <v>1.4950000000000001</v>
      </c>
      <c r="F39" s="86">
        <v>1.385</v>
      </c>
      <c r="G39" s="86">
        <f t="shared" si="20"/>
        <v>21.500000000000007</v>
      </c>
      <c r="H39" s="85"/>
      <c r="I39" s="85"/>
      <c r="J39" s="86"/>
      <c r="K39" s="85"/>
      <c r="L39" s="85">
        <v>1.79</v>
      </c>
      <c r="M39" s="85">
        <v>1.65</v>
      </c>
      <c r="N39" s="86">
        <v>1.52</v>
      </c>
      <c r="O39" s="66">
        <f t="shared" si="21"/>
        <v>27</v>
      </c>
      <c r="P39" s="66"/>
      <c r="Q39" s="66"/>
      <c r="R39" s="66"/>
      <c r="T39" s="86">
        <f t="shared" ref="T39:V39" si="22">AVERAGE(H40,P40)</f>
        <v>0.16000000000000003</v>
      </c>
      <c r="U39" s="85">
        <f t="shared" si="22"/>
        <v>1.0781250000000027E-2</v>
      </c>
      <c r="V39" s="86">
        <f t="shared" si="22"/>
        <v>-2.2781250000000093E-2</v>
      </c>
    </row>
    <row r="40" spans="2:22" ht="15.75" customHeight="1" x14ac:dyDescent="0.35">
      <c r="B40" s="85"/>
      <c r="C40" s="85" t="s">
        <v>88</v>
      </c>
      <c r="D40" s="85"/>
      <c r="E40" s="85"/>
      <c r="F40" s="85"/>
      <c r="G40" s="86">
        <f>(G39+G41)</f>
        <v>42.5</v>
      </c>
      <c r="H40" s="85">
        <f>E39-E41</f>
        <v>0.16000000000000014</v>
      </c>
      <c r="I40" s="85">
        <f>$H$30/$H$31</f>
        <v>6.9375000000000409E-3</v>
      </c>
      <c r="J40" s="86">
        <f>J37+(H40-H9)/2-I40</f>
        <v>-1.693750000000005E-2</v>
      </c>
      <c r="K40" s="85" t="s">
        <v>100</v>
      </c>
      <c r="L40" s="85"/>
      <c r="M40" s="85"/>
      <c r="N40" s="85"/>
      <c r="O40" s="66">
        <f>O39+O41</f>
        <v>44.000000000000014</v>
      </c>
      <c r="P40" s="67">
        <f>M39-M41</f>
        <v>0.15999999999999992</v>
      </c>
      <c r="Q40" s="66">
        <f t="shared" ref="Q40:Q58" si="23">$P$30/$P$31</f>
        <v>1.4625000000000013E-2</v>
      </c>
      <c r="R40" s="89">
        <f>R37+(P40-P9)/2-Q40</f>
        <v>-2.8625000000000136E-2</v>
      </c>
      <c r="T40" s="86"/>
      <c r="U40" s="85"/>
      <c r="V40" s="86"/>
    </row>
    <row r="41" spans="2:22" ht="15.75" customHeight="1" x14ac:dyDescent="0.35">
      <c r="B41" s="85" t="s">
        <v>30</v>
      </c>
      <c r="C41" s="85"/>
      <c r="D41" s="85">
        <v>1.44</v>
      </c>
      <c r="E41" s="85">
        <v>1.335</v>
      </c>
      <c r="F41" s="85">
        <v>1.23</v>
      </c>
      <c r="G41" s="85">
        <f t="shared" ref="G41:G42" si="24">(D41-F41)*100</f>
        <v>20.999999999999996</v>
      </c>
      <c r="H41" s="85"/>
      <c r="I41" s="85"/>
      <c r="J41" s="86"/>
      <c r="K41" s="85"/>
      <c r="L41" s="85">
        <v>1.58</v>
      </c>
      <c r="M41" s="85">
        <v>1.49</v>
      </c>
      <c r="N41" s="85">
        <v>1.41</v>
      </c>
      <c r="O41" s="66">
        <f t="shared" si="21"/>
        <v>17.000000000000014</v>
      </c>
      <c r="P41" s="66"/>
      <c r="Q41" s="66"/>
      <c r="R41" s="89"/>
      <c r="T41" s="86"/>
      <c r="U41" s="85"/>
      <c r="V41" s="86"/>
    </row>
    <row r="42" spans="2:22" ht="15.75" customHeight="1" x14ac:dyDescent="0.35">
      <c r="B42" s="85" t="s">
        <v>30</v>
      </c>
      <c r="C42" s="85"/>
      <c r="D42" s="85">
        <v>1.5820000000000001</v>
      </c>
      <c r="E42" s="85">
        <v>1.425</v>
      </c>
      <c r="F42" s="85">
        <v>1.2649999999999999</v>
      </c>
      <c r="G42" s="85">
        <f t="shared" si="24"/>
        <v>31.700000000000017</v>
      </c>
      <c r="H42" s="85"/>
      <c r="I42" s="85"/>
      <c r="J42" s="86"/>
      <c r="K42" s="85"/>
      <c r="L42" s="85">
        <v>1.6679999999999999</v>
      </c>
      <c r="M42" s="85">
        <v>1.5</v>
      </c>
      <c r="N42" s="85">
        <v>1.3280000000000001</v>
      </c>
      <c r="O42" s="66">
        <f t="shared" si="21"/>
        <v>33.999999999999986</v>
      </c>
      <c r="P42" s="66"/>
      <c r="Q42" s="66"/>
      <c r="R42" s="89"/>
      <c r="T42" s="86">
        <f t="shared" ref="T42:V57" si="25">AVERAGE(H43,P43)</f>
        <v>-8.999999999999897E-3</v>
      </c>
      <c r="U42" s="85">
        <f t="shared" si="25"/>
        <v>1.0781250000000027E-2</v>
      </c>
      <c r="V42" s="86">
        <f t="shared" si="25"/>
        <v>-4.0625000000000938E-3</v>
      </c>
    </row>
    <row r="43" spans="2:22" ht="15.75" customHeight="1" x14ac:dyDescent="0.35">
      <c r="B43" s="85"/>
      <c r="C43" s="85" t="s">
        <v>90</v>
      </c>
      <c r="D43" s="85"/>
      <c r="E43" s="85"/>
      <c r="F43" s="85"/>
      <c r="G43" s="86">
        <f>(G42+G44)</f>
        <v>77.400000000000034</v>
      </c>
      <c r="H43" s="85">
        <f>E42-E44</f>
        <v>-1.2999999999999901E-2</v>
      </c>
      <c r="I43" s="85">
        <f>$H$30/$H$31</f>
        <v>6.9375000000000409E-3</v>
      </c>
      <c r="J43" s="86">
        <f>J40+(H43-H12)/2-I43</f>
        <v>5.1249999999999352E-3</v>
      </c>
      <c r="K43" s="85" t="s">
        <v>101</v>
      </c>
      <c r="L43" s="85"/>
      <c r="M43" s="85"/>
      <c r="N43" s="85"/>
      <c r="O43" s="66">
        <f>O42+O44</f>
        <v>77.399999999999977</v>
      </c>
      <c r="P43" s="67">
        <f>M42-M44</f>
        <v>-4.9999999999998934E-3</v>
      </c>
      <c r="Q43" s="66">
        <f t="shared" si="23"/>
        <v>1.4625000000000013E-2</v>
      </c>
      <c r="R43" s="89">
        <f>R40+(P43-P12)/2-Q43</f>
        <v>-1.3250000000000123E-2</v>
      </c>
      <c r="T43" s="86"/>
      <c r="U43" s="85"/>
      <c r="V43" s="86"/>
    </row>
    <row r="44" spans="2:22" ht="15.75" customHeight="1" x14ac:dyDescent="0.35">
      <c r="B44" s="85" t="s">
        <v>36</v>
      </c>
      <c r="C44" s="85"/>
      <c r="D44" s="85">
        <v>1.665</v>
      </c>
      <c r="E44" s="85">
        <v>1.4379999999999999</v>
      </c>
      <c r="F44" s="85">
        <v>1.208</v>
      </c>
      <c r="G44" s="85">
        <f>(D44-F44)*100</f>
        <v>45.70000000000001</v>
      </c>
      <c r="H44" s="85"/>
      <c r="I44" s="85"/>
      <c r="J44" s="86"/>
      <c r="K44" s="85"/>
      <c r="L44" s="85">
        <v>1.722</v>
      </c>
      <c r="M44" s="85">
        <v>1.5049999999999999</v>
      </c>
      <c r="N44" s="85">
        <v>1.288</v>
      </c>
      <c r="O44" s="66">
        <f t="shared" si="21"/>
        <v>43.399999999999991</v>
      </c>
      <c r="P44" s="67"/>
      <c r="Q44" s="66"/>
      <c r="R44" s="89"/>
      <c r="T44" s="86"/>
      <c r="U44" s="85"/>
      <c r="V44" s="86"/>
    </row>
    <row r="45" spans="2:22" ht="15.75" customHeight="1" x14ac:dyDescent="0.35">
      <c r="B45" s="85" t="s">
        <v>36</v>
      </c>
      <c r="C45" s="85"/>
      <c r="D45" s="85">
        <v>1.573</v>
      </c>
      <c r="E45" s="85">
        <v>1.47</v>
      </c>
      <c r="F45" s="85">
        <v>1.3680000000000001</v>
      </c>
      <c r="G45" s="85">
        <f t="shared" ref="G45:G56" si="26">(D45-F45)*100</f>
        <v>20.499999999999986</v>
      </c>
      <c r="H45" s="85"/>
      <c r="I45" s="85"/>
      <c r="J45" s="86"/>
      <c r="K45" s="85"/>
      <c r="L45" s="85">
        <v>1.56</v>
      </c>
      <c r="M45" s="85">
        <v>1.4419999999999999</v>
      </c>
      <c r="N45" s="85">
        <v>1.329</v>
      </c>
      <c r="O45" s="66">
        <f t="shared" si="21"/>
        <v>23.100000000000009</v>
      </c>
      <c r="P45" s="67"/>
      <c r="Q45" s="66"/>
      <c r="R45" s="89"/>
      <c r="T45" s="86">
        <f t="shared" si="25"/>
        <v>-5.3000000000000047E-2</v>
      </c>
      <c r="U45" s="85">
        <f t="shared" si="25"/>
        <v>1.0781250000000027E-2</v>
      </c>
      <c r="V45" s="86">
        <f t="shared" si="25"/>
        <v>0.16640624999999984</v>
      </c>
    </row>
    <row r="46" spans="2:22" ht="15.75" customHeight="1" x14ac:dyDescent="0.35">
      <c r="B46" s="85"/>
      <c r="C46" s="85" t="s">
        <v>92</v>
      </c>
      <c r="D46" s="85"/>
      <c r="E46" s="85"/>
      <c r="F46" s="85"/>
      <c r="G46" s="85">
        <f>G45+G47</f>
        <v>54.799999999999983</v>
      </c>
      <c r="H46" s="85">
        <f t="shared" ref="H46:H55" si="27">E45-E47</f>
        <v>-4.8000000000000043E-2</v>
      </c>
      <c r="I46" s="85">
        <f t="shared" ref="I46:I58" si="28">$H$30/$H$31</f>
        <v>6.9375000000000409E-3</v>
      </c>
      <c r="J46" s="86">
        <f t="shared" ref="J46:J58" si="29">J43+(H46-H15)/2-I46</f>
        <v>0.18118749999999983</v>
      </c>
      <c r="K46" s="85"/>
      <c r="L46" s="85"/>
      <c r="M46" s="85"/>
      <c r="N46" s="85"/>
      <c r="O46" s="66">
        <f>O45+O47</f>
        <v>55.099999999999994</v>
      </c>
      <c r="P46" s="67">
        <f t="shared" ref="P46:P58" si="30">M45-M47</f>
        <v>-5.8000000000000052E-2</v>
      </c>
      <c r="Q46" s="66">
        <f t="shared" si="23"/>
        <v>1.4625000000000013E-2</v>
      </c>
      <c r="R46" s="89">
        <f t="shared" ref="R46:R58" si="31">R43+(P46-P15)/2-Q46</f>
        <v>0.15162499999999984</v>
      </c>
      <c r="T46" s="86"/>
      <c r="U46" s="85"/>
      <c r="V46" s="86"/>
    </row>
    <row r="47" spans="2:22" ht="15.75" customHeight="1" x14ac:dyDescent="0.35">
      <c r="B47" s="85" t="s">
        <v>35</v>
      </c>
      <c r="C47" s="85"/>
      <c r="D47" s="85">
        <v>1.6879999999999999</v>
      </c>
      <c r="E47" s="85">
        <v>1.518</v>
      </c>
      <c r="F47" s="85">
        <v>1.345</v>
      </c>
      <c r="G47" s="85">
        <f t="shared" si="26"/>
        <v>34.299999999999997</v>
      </c>
      <c r="H47" s="85"/>
      <c r="I47" s="85"/>
      <c r="J47" s="86"/>
      <c r="K47" s="85"/>
      <c r="L47" s="85">
        <v>1.66</v>
      </c>
      <c r="M47" s="85">
        <v>1.5</v>
      </c>
      <c r="N47" s="85">
        <v>1.34</v>
      </c>
      <c r="O47" s="66">
        <f t="shared" si="21"/>
        <v>31.999999999999986</v>
      </c>
      <c r="P47" s="67"/>
      <c r="Q47" s="66"/>
      <c r="R47" s="89"/>
      <c r="T47" s="86"/>
      <c r="U47" s="85"/>
      <c r="V47" s="86"/>
    </row>
    <row r="48" spans="2:22" ht="15.75" customHeight="1" x14ac:dyDescent="0.35">
      <c r="B48" s="85" t="s">
        <v>35</v>
      </c>
      <c r="C48" s="85"/>
      <c r="D48" s="85">
        <v>1.5580000000000001</v>
      </c>
      <c r="E48" s="85">
        <v>1.456</v>
      </c>
      <c r="F48" s="85">
        <v>1.3580000000000001</v>
      </c>
      <c r="G48" s="85">
        <f t="shared" si="26"/>
        <v>19.999999999999996</v>
      </c>
      <c r="H48" s="85"/>
      <c r="I48" s="85"/>
      <c r="J48" s="86"/>
      <c r="K48" s="85"/>
      <c r="L48" s="85">
        <v>1.722</v>
      </c>
      <c r="M48" s="85">
        <v>1.6080000000000001</v>
      </c>
      <c r="N48" s="85">
        <v>1.492</v>
      </c>
      <c r="O48" s="66">
        <f t="shared" si="21"/>
        <v>23</v>
      </c>
      <c r="P48" s="67"/>
      <c r="Q48" s="66"/>
      <c r="R48" s="89"/>
      <c r="T48" s="86">
        <f t="shared" si="25"/>
        <v>0.43600000000000005</v>
      </c>
      <c r="U48" s="85">
        <f t="shared" si="25"/>
        <v>1.0781250000000027E-2</v>
      </c>
      <c r="V48" s="86">
        <f t="shared" si="25"/>
        <v>0.35237499999999977</v>
      </c>
    </row>
    <row r="49" spans="2:22" ht="15.75" customHeight="1" x14ac:dyDescent="0.35">
      <c r="B49" s="85"/>
      <c r="C49" s="85" t="s">
        <v>110</v>
      </c>
      <c r="D49" s="85"/>
      <c r="E49" s="85"/>
      <c r="F49" s="85"/>
      <c r="G49" s="85">
        <f>G48+G50</f>
        <v>55</v>
      </c>
      <c r="H49" s="85">
        <f t="shared" si="27"/>
        <v>0.41399999999999992</v>
      </c>
      <c r="I49" s="85">
        <f t="shared" si="28"/>
        <v>6.9375000000000409E-3</v>
      </c>
      <c r="J49" s="86">
        <f t="shared" si="29"/>
        <v>0.36124999999999974</v>
      </c>
      <c r="K49" s="85"/>
      <c r="L49" s="85"/>
      <c r="M49" s="85"/>
      <c r="N49" s="85"/>
      <c r="O49" s="66">
        <f>O48+O50</f>
        <v>56.600000000000009</v>
      </c>
      <c r="P49" s="67">
        <f t="shared" si="30"/>
        <v>0.45800000000000018</v>
      </c>
      <c r="Q49" s="66">
        <f t="shared" si="23"/>
        <v>1.4625000000000013E-2</v>
      </c>
      <c r="R49" s="89">
        <f t="shared" si="31"/>
        <v>0.34349999999999986</v>
      </c>
      <c r="T49" s="86"/>
      <c r="U49" s="85"/>
      <c r="V49" s="86"/>
    </row>
    <row r="50" spans="2:22" ht="15.75" customHeight="1" x14ac:dyDescent="0.35">
      <c r="B50" s="85" t="s">
        <v>34</v>
      </c>
      <c r="C50" s="85"/>
      <c r="D50" s="85">
        <v>1.218</v>
      </c>
      <c r="E50" s="85">
        <v>1.042</v>
      </c>
      <c r="F50" s="85">
        <v>0.86799999999999999</v>
      </c>
      <c r="G50" s="85">
        <f t="shared" si="26"/>
        <v>35</v>
      </c>
      <c r="H50" s="85"/>
      <c r="I50" s="85"/>
      <c r="J50" s="86"/>
      <c r="K50" s="85"/>
      <c r="L50" s="85">
        <v>1.3680000000000001</v>
      </c>
      <c r="M50" s="85">
        <v>1.1499999999999999</v>
      </c>
      <c r="N50" s="85">
        <v>1.032</v>
      </c>
      <c r="O50" s="66">
        <f t="shared" si="21"/>
        <v>33.600000000000009</v>
      </c>
      <c r="P50" s="67"/>
      <c r="Q50" s="66"/>
      <c r="R50" s="89"/>
      <c r="T50" s="86"/>
      <c r="U50" s="85"/>
      <c r="V50" s="86"/>
    </row>
    <row r="51" spans="2:22" ht="15.75" customHeight="1" x14ac:dyDescent="0.35">
      <c r="B51" s="85" t="s">
        <v>34</v>
      </c>
      <c r="C51" s="85"/>
      <c r="D51" s="85">
        <v>1.52</v>
      </c>
      <c r="E51" s="85">
        <v>1.405</v>
      </c>
      <c r="F51" s="85">
        <v>1.298</v>
      </c>
      <c r="G51" s="85">
        <f t="shared" si="26"/>
        <v>22.199999999999996</v>
      </c>
      <c r="H51" s="85"/>
      <c r="I51" s="85"/>
      <c r="J51" s="86"/>
      <c r="K51" s="85"/>
      <c r="L51" s="85">
        <v>1.63</v>
      </c>
      <c r="M51" s="85">
        <v>1.41</v>
      </c>
      <c r="N51" s="85">
        <v>1.1850000000000001</v>
      </c>
      <c r="O51" s="66">
        <f t="shared" si="21"/>
        <v>44.499999999999986</v>
      </c>
      <c r="P51" s="67"/>
      <c r="Q51" s="66"/>
      <c r="R51" s="89"/>
      <c r="T51" s="86">
        <f t="shared" si="25"/>
        <v>6.2499999999999889E-2</v>
      </c>
      <c r="U51" s="85">
        <f t="shared" si="25"/>
        <v>1.0781250000000027E-2</v>
      </c>
      <c r="V51" s="86">
        <f t="shared" si="25"/>
        <v>0.37034374999999975</v>
      </c>
    </row>
    <row r="52" spans="2:22" ht="15.75" customHeight="1" x14ac:dyDescent="0.35">
      <c r="B52" s="85"/>
      <c r="C52" s="85" t="s">
        <v>111</v>
      </c>
      <c r="D52" s="85"/>
      <c r="E52" s="85"/>
      <c r="F52" s="85"/>
      <c r="G52" s="85">
        <f>G51+G53</f>
        <v>74.8</v>
      </c>
      <c r="H52" s="85">
        <f t="shared" si="27"/>
        <v>6.4999999999999947E-2</v>
      </c>
      <c r="I52" s="85">
        <f t="shared" si="28"/>
        <v>6.9375000000000409E-3</v>
      </c>
      <c r="J52" s="86">
        <f t="shared" si="29"/>
        <v>0.38181249999999967</v>
      </c>
      <c r="K52" s="85"/>
      <c r="L52" s="85"/>
      <c r="M52" s="85"/>
      <c r="N52" s="85"/>
      <c r="O52" s="66">
        <f>O51+O53</f>
        <v>74.499999999999986</v>
      </c>
      <c r="P52" s="67">
        <f t="shared" si="30"/>
        <v>5.9999999999999831E-2</v>
      </c>
      <c r="Q52" s="66">
        <f t="shared" si="23"/>
        <v>1.4625000000000013E-2</v>
      </c>
      <c r="R52" s="89">
        <f t="shared" si="31"/>
        <v>0.35887499999999978</v>
      </c>
      <c r="T52" s="86"/>
      <c r="U52" s="85"/>
      <c r="V52" s="86"/>
    </row>
    <row r="53" spans="2:22" ht="15.75" customHeight="1" x14ac:dyDescent="0.35">
      <c r="B53" s="85" t="s">
        <v>33</v>
      </c>
      <c r="C53" s="85"/>
      <c r="D53" s="85">
        <v>1.601</v>
      </c>
      <c r="E53" s="85">
        <v>1.34</v>
      </c>
      <c r="F53" s="85">
        <v>1.075</v>
      </c>
      <c r="G53" s="85">
        <f t="shared" si="26"/>
        <v>52.6</v>
      </c>
      <c r="H53" s="85"/>
      <c r="I53" s="85"/>
      <c r="J53" s="86"/>
      <c r="K53" s="85"/>
      <c r="L53" s="85">
        <v>1.5</v>
      </c>
      <c r="M53" s="85">
        <v>1.35</v>
      </c>
      <c r="N53" s="85">
        <v>1.2</v>
      </c>
      <c r="O53" s="66">
        <f t="shared" si="21"/>
        <v>30.000000000000004</v>
      </c>
      <c r="P53" s="67"/>
      <c r="Q53" s="66"/>
      <c r="R53" s="89"/>
      <c r="T53" s="86"/>
      <c r="U53" s="85"/>
      <c r="V53" s="86"/>
    </row>
    <row r="54" spans="2:22" ht="15.75" customHeight="1" x14ac:dyDescent="0.35">
      <c r="B54" s="85" t="s">
        <v>33</v>
      </c>
      <c r="C54" s="85"/>
      <c r="D54" s="85">
        <v>1.5349999999999999</v>
      </c>
      <c r="E54" s="85">
        <v>1.42</v>
      </c>
      <c r="F54" s="85">
        <v>1.3049999999999999</v>
      </c>
      <c r="G54" s="85">
        <f t="shared" si="26"/>
        <v>23</v>
      </c>
      <c r="H54" s="85"/>
      <c r="I54" s="85"/>
      <c r="J54" s="86"/>
      <c r="K54" s="85"/>
      <c r="L54" s="85">
        <v>1.5549999999999999</v>
      </c>
      <c r="M54" s="85">
        <v>1.4</v>
      </c>
      <c r="N54" s="85">
        <v>1.24</v>
      </c>
      <c r="O54" s="66">
        <f t="shared" si="21"/>
        <v>31.499999999999993</v>
      </c>
      <c r="P54" s="67"/>
      <c r="Q54" s="66"/>
      <c r="R54" s="89"/>
      <c r="T54" s="86">
        <f>AVERAGE(H55,P55)</f>
        <v>-0.19000000000000017</v>
      </c>
      <c r="U54" s="85">
        <f t="shared" si="25"/>
        <v>1.0781250000000027E-2</v>
      </c>
      <c r="V54" s="86">
        <f t="shared" si="25"/>
        <v>0.28481249999999958</v>
      </c>
    </row>
    <row r="55" spans="2:22" ht="15.75" customHeight="1" x14ac:dyDescent="0.35">
      <c r="B55" s="85"/>
      <c r="C55" s="85" t="s">
        <v>113</v>
      </c>
      <c r="D55" s="85"/>
      <c r="E55" s="85"/>
      <c r="F55" s="85"/>
      <c r="G55" s="85">
        <f>G54+G56</f>
        <v>58.5</v>
      </c>
      <c r="H55" s="85">
        <f t="shared" si="27"/>
        <v>-0.19000000000000017</v>
      </c>
      <c r="I55" s="85">
        <f t="shared" si="28"/>
        <v>6.9375000000000409E-3</v>
      </c>
      <c r="J55" s="86">
        <f t="shared" si="29"/>
        <v>0.3003749999999995</v>
      </c>
      <c r="K55" s="85"/>
      <c r="L55" s="85"/>
      <c r="M55" s="85"/>
      <c r="N55" s="85"/>
      <c r="O55" s="66">
        <f>O54+O56</f>
        <v>57.499999999999993</v>
      </c>
      <c r="P55" s="67">
        <f t="shared" si="30"/>
        <v>-0.19000000000000017</v>
      </c>
      <c r="Q55" s="66">
        <f t="shared" si="23"/>
        <v>1.4625000000000013E-2</v>
      </c>
      <c r="R55" s="89">
        <f t="shared" si="31"/>
        <v>0.26924999999999971</v>
      </c>
      <c r="T55" s="86"/>
      <c r="U55" s="85"/>
      <c r="V55" s="86"/>
    </row>
    <row r="56" spans="2:22" ht="15.75" customHeight="1" x14ac:dyDescent="0.35">
      <c r="B56" s="85" t="s">
        <v>31</v>
      </c>
      <c r="C56" s="85"/>
      <c r="D56" s="85">
        <v>1.7849999999999999</v>
      </c>
      <c r="E56" s="85">
        <v>1.61</v>
      </c>
      <c r="F56" s="85">
        <v>1.43</v>
      </c>
      <c r="G56" s="85">
        <f t="shared" si="26"/>
        <v>35.5</v>
      </c>
      <c r="H56" s="85"/>
      <c r="I56" s="85"/>
      <c r="J56" s="86"/>
      <c r="K56" s="85"/>
      <c r="L56" s="85">
        <v>1.72</v>
      </c>
      <c r="M56" s="85">
        <v>1.59</v>
      </c>
      <c r="N56" s="85">
        <v>1.46</v>
      </c>
      <c r="O56" s="66">
        <f t="shared" si="21"/>
        <v>26</v>
      </c>
      <c r="P56" s="67"/>
      <c r="Q56" s="66"/>
      <c r="R56" s="89"/>
      <c r="T56" s="86"/>
      <c r="U56" s="85"/>
      <c r="V56" s="86"/>
    </row>
    <row r="57" spans="2:22" ht="15.75" customHeight="1" x14ac:dyDescent="0.35">
      <c r="B57" s="85" t="s">
        <v>31</v>
      </c>
      <c r="C57" s="85"/>
      <c r="D57" s="85">
        <v>1.17</v>
      </c>
      <c r="E57" s="85">
        <v>1.05</v>
      </c>
      <c r="F57" s="85">
        <v>0.93</v>
      </c>
      <c r="G57" s="85">
        <f>(D57-F57)*100</f>
        <v>23.999999999999989</v>
      </c>
      <c r="H57" s="85"/>
      <c r="I57" s="85"/>
      <c r="J57" s="86"/>
      <c r="K57" s="85"/>
      <c r="L57" s="85">
        <v>1.23</v>
      </c>
      <c r="M57" s="85">
        <v>0.97499999999999998</v>
      </c>
      <c r="N57" s="85">
        <v>1.1020000000000001</v>
      </c>
      <c r="O57" s="66">
        <f t="shared" si="21"/>
        <v>12.79999999999999</v>
      </c>
      <c r="P57" s="67"/>
      <c r="Q57" s="66"/>
      <c r="R57" s="89"/>
      <c r="T57" s="86">
        <f t="shared" si="25"/>
        <v>-1.6149999999999998</v>
      </c>
      <c r="U57" s="85">
        <f t="shared" si="25"/>
        <v>1.0781250000000027E-2</v>
      </c>
      <c r="V57" s="86">
        <f t="shared" si="25"/>
        <v>4.0281249999999623E-2</v>
      </c>
    </row>
    <row r="58" spans="2:22" ht="15.75" customHeight="1" x14ac:dyDescent="0.35">
      <c r="B58" s="85"/>
      <c r="C58" s="85" t="s">
        <v>92</v>
      </c>
      <c r="D58" s="85"/>
      <c r="E58" s="85"/>
      <c r="F58" s="85"/>
      <c r="G58" s="92">
        <f>(G57+G59)</f>
        <v>53.8</v>
      </c>
      <c r="H58" s="85">
        <f>E57-E59</f>
        <v>-1.55</v>
      </c>
      <c r="I58" s="85">
        <f t="shared" si="28"/>
        <v>6.9375000000000409E-3</v>
      </c>
      <c r="J58" s="86">
        <f t="shared" si="29"/>
        <v>9.3437499999999507E-2</v>
      </c>
      <c r="K58" s="85" t="s">
        <v>102</v>
      </c>
      <c r="L58" s="85"/>
      <c r="M58" s="85"/>
      <c r="N58" s="85"/>
      <c r="O58" s="66">
        <f>O57+O59</f>
        <v>40.799999999999969</v>
      </c>
      <c r="P58" s="67">
        <f t="shared" si="30"/>
        <v>-1.6799999999999997</v>
      </c>
      <c r="Q58" s="66">
        <f t="shared" si="23"/>
        <v>1.4625000000000013E-2</v>
      </c>
      <c r="R58" s="89">
        <f t="shared" si="31"/>
        <v>-1.2875000000000261E-2</v>
      </c>
      <c r="T58" s="82"/>
    </row>
    <row r="59" spans="2:22" ht="15.75" customHeight="1" x14ac:dyDescent="0.35">
      <c r="B59" s="85" t="s">
        <v>29</v>
      </c>
      <c r="C59" s="85"/>
      <c r="D59" s="85">
        <v>2.75</v>
      </c>
      <c r="E59" s="85">
        <v>2.6</v>
      </c>
      <c r="F59" s="92">
        <v>2.452</v>
      </c>
      <c r="G59" s="92">
        <f>(D59-F59)*100</f>
        <v>29.800000000000004</v>
      </c>
      <c r="H59" s="85"/>
      <c r="I59" s="85"/>
      <c r="J59" s="86"/>
      <c r="K59" s="85"/>
      <c r="L59" s="85">
        <v>2.7949999999999999</v>
      </c>
      <c r="M59" s="85">
        <v>2.6549999999999998</v>
      </c>
      <c r="N59" s="92">
        <v>2.5150000000000001</v>
      </c>
      <c r="O59" s="66">
        <f t="shared" si="21"/>
        <v>27.999999999999979</v>
      </c>
      <c r="P59" s="66"/>
      <c r="Q59" s="66"/>
      <c r="R59" s="66"/>
    </row>
    <row r="60" spans="2:22" ht="15.75" customHeight="1" x14ac:dyDescent="0.35">
      <c r="G60" s="90"/>
      <c r="I60" s="1"/>
      <c r="L60" s="1"/>
      <c r="O60" s="90"/>
      <c r="P60" s="82"/>
    </row>
    <row r="61" spans="2:22" ht="15.75" customHeight="1" x14ac:dyDescent="0.35">
      <c r="G61" s="90"/>
      <c r="O61" s="90"/>
    </row>
    <row r="62" spans="2:22" ht="15.75" customHeight="1" x14ac:dyDescent="0.35">
      <c r="G62" s="90"/>
      <c r="O62" s="90"/>
    </row>
    <row r="63" spans="2:22" ht="15.75" customHeight="1" x14ac:dyDescent="0.35"/>
    <row r="64" spans="2:22" ht="15.75" customHeight="1" x14ac:dyDescent="0.35"/>
    <row r="65" spans="14:14" ht="15.75" customHeight="1" x14ac:dyDescent="0.35">
      <c r="N65" s="93"/>
    </row>
    <row r="66" spans="14:14" ht="15.75" customHeight="1" x14ac:dyDescent="0.35"/>
    <row r="67" spans="14:14" ht="15.75" customHeight="1" x14ac:dyDescent="0.35"/>
    <row r="68" spans="14:14" ht="15.75" customHeight="1" x14ac:dyDescent="0.35"/>
    <row r="69" spans="14:14" ht="15.75" customHeight="1" x14ac:dyDescent="0.35"/>
    <row r="70" spans="14:14" ht="15.75" customHeight="1" x14ac:dyDescent="0.35"/>
    <row r="71" spans="14:14" ht="15.75" customHeight="1" x14ac:dyDescent="0.35"/>
    <row r="72" spans="14:14" ht="15.75" customHeight="1" x14ac:dyDescent="0.35"/>
    <row r="73" spans="14:14" ht="15.75" customHeight="1" x14ac:dyDescent="0.35"/>
    <row r="74" spans="14:14" ht="15.75" customHeight="1" x14ac:dyDescent="0.35"/>
    <row r="75" spans="14:14" ht="15.75" customHeight="1" x14ac:dyDescent="0.35"/>
    <row r="76" spans="14:14" ht="15.75" customHeight="1" x14ac:dyDescent="0.35"/>
    <row r="77" spans="14:14" ht="15.75" customHeight="1" x14ac:dyDescent="0.35"/>
    <row r="78" spans="14:14" ht="15.75" customHeight="1" x14ac:dyDescent="0.35"/>
    <row r="79" spans="14:14" ht="15.75" customHeight="1" x14ac:dyDescent="0.35"/>
    <row r="80" spans="14:14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</sheetData>
  <mergeCells count="10">
    <mergeCell ref="B34:B35"/>
    <mergeCell ref="C34:J34"/>
    <mergeCell ref="K34:R34"/>
    <mergeCell ref="T34:V34"/>
    <mergeCell ref="B2:R2"/>
    <mergeCell ref="B3:B4"/>
    <mergeCell ref="C3:J3"/>
    <mergeCell ref="K3:R3"/>
    <mergeCell ref="T3:V3"/>
    <mergeCell ref="B33:R3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9AC8-D43C-43A7-A896-116B039C38D4}">
  <dimension ref="B2:H108"/>
  <sheetViews>
    <sheetView zoomScale="48" workbookViewId="0">
      <selection activeCell="G28" sqref="G28"/>
    </sheetView>
  </sheetViews>
  <sheetFormatPr defaultColWidth="14.453125" defaultRowHeight="15" customHeight="1" x14ac:dyDescent="0.35"/>
  <cols>
    <col min="1" max="2" width="8.7265625" customWidth="1"/>
    <col min="3" max="3" width="14" customWidth="1"/>
    <col min="4" max="4" width="16.26953125" customWidth="1"/>
    <col min="5" max="5" width="19.81640625" customWidth="1"/>
    <col min="6" max="6" width="12.54296875" customWidth="1"/>
    <col min="7" max="7" width="12.1796875" customWidth="1"/>
    <col min="8" max="8" width="14" customWidth="1"/>
  </cols>
  <sheetData>
    <row r="2" spans="2:8" ht="14.5" x14ac:dyDescent="0.35">
      <c r="B2" s="152" t="s">
        <v>20</v>
      </c>
      <c r="C2" s="152" t="s">
        <v>103</v>
      </c>
      <c r="D2" s="152" t="s">
        <v>104</v>
      </c>
      <c r="E2" s="152" t="s">
        <v>105</v>
      </c>
      <c r="F2" s="152" t="s">
        <v>106</v>
      </c>
      <c r="G2" s="152" t="s">
        <v>107</v>
      </c>
      <c r="H2" s="152" t="s">
        <v>108</v>
      </c>
    </row>
    <row r="3" spans="2:8" ht="14.5" x14ac:dyDescent="0.35">
      <c r="B3" s="153"/>
      <c r="C3" s="153"/>
      <c r="D3" s="153"/>
      <c r="E3" s="153"/>
      <c r="F3" s="153"/>
      <c r="G3" s="153"/>
      <c r="H3" s="153"/>
    </row>
    <row r="4" spans="2:8" ht="14.5" x14ac:dyDescent="0.35">
      <c r="B4" s="96" t="s">
        <v>29</v>
      </c>
      <c r="C4" s="97"/>
      <c r="D4" s="97"/>
      <c r="E4" s="97"/>
      <c r="F4" s="97"/>
      <c r="G4" s="97"/>
      <c r="H4" s="97">
        <v>0</v>
      </c>
    </row>
    <row r="5" spans="2:8" ht="14.5" x14ac:dyDescent="0.35">
      <c r="B5" s="96"/>
      <c r="C5" s="98">
        <f>Waterpass!T5</f>
        <v>1.5489999999999999</v>
      </c>
      <c r="D5" s="98">
        <f>Waterpass!T36</f>
        <v>1.145</v>
      </c>
      <c r="E5" s="97">
        <f>(C5-D5)/2</f>
        <v>0.20199999999999996</v>
      </c>
      <c r="F5" s="98">
        <f>Waterpass!G6</f>
        <v>53.499999999999986</v>
      </c>
      <c r="G5" s="97">
        <f>$E$22/8</f>
        <v>1.0781250000000013E-2</v>
      </c>
      <c r="H5" s="97"/>
    </row>
    <row r="6" spans="2:8" ht="14.5" x14ac:dyDescent="0.35">
      <c r="B6" s="96" t="s">
        <v>31</v>
      </c>
      <c r="C6" s="97"/>
      <c r="D6" s="97"/>
      <c r="E6" s="97"/>
      <c r="F6" s="97"/>
      <c r="G6" s="97"/>
      <c r="H6" s="97">
        <f>H4+(E5+G5)</f>
        <v>0.21278124999999998</v>
      </c>
    </row>
    <row r="7" spans="2:8" ht="14.5" x14ac:dyDescent="0.35">
      <c r="B7" s="96"/>
      <c r="C7" s="98">
        <f>Waterpass!T8</f>
        <v>0.18400000000000016</v>
      </c>
      <c r="D7" s="98">
        <f>Waterpass!T39</f>
        <v>0.16000000000000003</v>
      </c>
      <c r="E7" s="97">
        <f>(C7-D7)/2</f>
        <v>1.2000000000000066E-2</v>
      </c>
      <c r="F7" s="98">
        <f>Waterpass!G9</f>
        <v>38.000000000000014</v>
      </c>
      <c r="G7" s="97">
        <f t="shared" ref="G7:G19" si="0">$E$22/8</f>
        <v>1.0781250000000013E-2</v>
      </c>
      <c r="H7" s="97"/>
    </row>
    <row r="8" spans="2:8" ht="14.5" x14ac:dyDescent="0.35">
      <c r="B8" s="96" t="s">
        <v>33</v>
      </c>
      <c r="C8" s="97"/>
      <c r="D8" s="97"/>
      <c r="E8" s="97"/>
      <c r="F8" s="97"/>
      <c r="G8" s="97"/>
      <c r="H8" s="97">
        <f t="shared" ref="H8:H20" si="1">H6+(E7+G7)</f>
        <v>0.23556250000000006</v>
      </c>
    </row>
    <row r="9" spans="2:8" ht="14.5" x14ac:dyDescent="0.35">
      <c r="B9" s="96"/>
      <c r="C9" s="98">
        <f>Waterpass!T11</f>
        <v>-6.7999999999999949E-2</v>
      </c>
      <c r="D9" s="98">
        <f>Waterpass!T42</f>
        <v>-8.999999999999897E-3</v>
      </c>
      <c r="E9" s="97">
        <f>(C9-D9)/2</f>
        <v>-2.9500000000000026E-2</v>
      </c>
      <c r="F9" s="98">
        <f>Waterpass!G12</f>
        <v>74.999999999999972</v>
      </c>
      <c r="G9" s="97">
        <f t="shared" si="0"/>
        <v>1.0781250000000013E-2</v>
      </c>
      <c r="H9" s="97"/>
    </row>
    <row r="10" spans="2:8" ht="14.5" x14ac:dyDescent="0.35">
      <c r="B10" s="96" t="s">
        <v>34</v>
      </c>
      <c r="C10" s="98"/>
      <c r="D10" s="98"/>
      <c r="E10" s="97"/>
      <c r="F10" s="98"/>
      <c r="G10" s="97"/>
      <c r="H10" s="97">
        <f t="shared" si="1"/>
        <v>0.21684375000000006</v>
      </c>
    </row>
    <row r="11" spans="2:8" ht="14.5" x14ac:dyDescent="0.35">
      <c r="B11" s="96"/>
      <c r="C11" s="98">
        <f>Waterpass!T14</f>
        <v>-0.41549999999999998</v>
      </c>
      <c r="D11" s="98">
        <f>Waterpass!T45</f>
        <v>-5.3000000000000047E-2</v>
      </c>
      <c r="E11" s="97">
        <f t="shared" ref="E11:E19" si="2">(C11-D11)/2</f>
        <v>-0.18124999999999997</v>
      </c>
      <c r="F11" s="98">
        <f>Waterpass!G15</f>
        <v>54.400000000000006</v>
      </c>
      <c r="G11" s="97">
        <f t="shared" si="0"/>
        <v>1.0781250000000013E-2</v>
      </c>
      <c r="H11" s="97"/>
    </row>
    <row r="12" spans="2:8" ht="14.5" x14ac:dyDescent="0.35">
      <c r="B12" s="96" t="s">
        <v>35</v>
      </c>
      <c r="C12" s="98"/>
      <c r="D12" s="98"/>
      <c r="E12" s="97"/>
      <c r="F12" s="98"/>
      <c r="G12" s="97"/>
      <c r="H12" s="97">
        <f t="shared" si="1"/>
        <v>4.6375000000000111E-2</v>
      </c>
    </row>
    <row r="13" spans="2:8" ht="14.5" x14ac:dyDescent="0.35">
      <c r="B13" s="96"/>
      <c r="C13" s="98">
        <f>Waterpass!T17</f>
        <v>4.2500000000000093E-2</v>
      </c>
      <c r="D13" s="98">
        <f>Waterpass!T48</f>
        <v>0.43600000000000005</v>
      </c>
      <c r="E13" s="97">
        <f t="shared" si="2"/>
        <v>-0.19674999999999998</v>
      </c>
      <c r="F13" s="98">
        <f>Waterpass!G18</f>
        <v>46.000000000000014</v>
      </c>
      <c r="G13" s="97">
        <f t="shared" si="0"/>
        <v>1.0781250000000013E-2</v>
      </c>
      <c r="H13" s="97"/>
    </row>
    <row r="14" spans="2:8" ht="14.5" x14ac:dyDescent="0.35">
      <c r="B14" s="96" t="s">
        <v>36</v>
      </c>
      <c r="C14" s="98"/>
      <c r="D14" s="98"/>
      <c r="E14" s="97"/>
      <c r="F14" s="98"/>
      <c r="G14" s="97"/>
      <c r="H14" s="97">
        <f t="shared" si="1"/>
        <v>-0.13959374999999985</v>
      </c>
    </row>
    <row r="15" spans="2:8" ht="14.5" x14ac:dyDescent="0.35">
      <c r="B15" s="96"/>
      <c r="C15" s="98">
        <f>Waterpass!T20</f>
        <v>5.0000000000000044E-3</v>
      </c>
      <c r="D15" s="98">
        <f>Waterpass!T51</f>
        <v>6.2499999999999889E-2</v>
      </c>
      <c r="E15" s="97">
        <f t="shared" si="2"/>
        <v>-2.8749999999999942E-2</v>
      </c>
      <c r="F15" s="98">
        <f>Waterpass!G21</f>
        <v>77</v>
      </c>
      <c r="G15" s="97">
        <f t="shared" si="0"/>
        <v>1.0781250000000013E-2</v>
      </c>
      <c r="H15" s="97"/>
    </row>
    <row r="16" spans="2:8" ht="14.5" x14ac:dyDescent="0.35">
      <c r="B16" s="96" t="s">
        <v>30</v>
      </c>
      <c r="C16" s="97"/>
      <c r="D16" s="97"/>
      <c r="E16" s="97"/>
      <c r="F16" s="98"/>
      <c r="G16" s="97"/>
      <c r="H16" s="97">
        <f t="shared" si="1"/>
        <v>-0.15756249999999977</v>
      </c>
    </row>
    <row r="17" spans="2:8" ht="14.5" x14ac:dyDescent="0.35">
      <c r="B17" s="96"/>
      <c r="C17" s="97">
        <f>Waterpass!T23</f>
        <v>-4.049999999999998E-2</v>
      </c>
      <c r="D17" s="97">
        <f>Waterpass!T54</f>
        <v>-0.19000000000000017</v>
      </c>
      <c r="E17" s="97">
        <f t="shared" si="2"/>
        <v>7.4750000000000094E-2</v>
      </c>
      <c r="F17" s="98">
        <f>Waterpass!G24</f>
        <v>43.900000000000006</v>
      </c>
      <c r="G17" s="97">
        <f t="shared" si="0"/>
        <v>1.0781250000000013E-2</v>
      </c>
      <c r="H17" s="97"/>
    </row>
    <row r="18" spans="2:8" ht="14.5" x14ac:dyDescent="0.35">
      <c r="B18" s="96" t="s">
        <v>114</v>
      </c>
      <c r="C18" s="97"/>
      <c r="D18" s="97"/>
      <c r="E18" s="97"/>
      <c r="F18" s="98"/>
      <c r="G18" s="97"/>
      <c r="H18" s="97">
        <f t="shared" si="1"/>
        <v>-7.2031249999999658E-2</v>
      </c>
    </row>
    <row r="19" spans="2:8" ht="14.5" x14ac:dyDescent="0.35">
      <c r="B19" s="96"/>
      <c r="C19" s="98">
        <f>Waterpass!T26</f>
        <v>-1.1475</v>
      </c>
      <c r="D19" s="98">
        <f>Waterpass!T57</f>
        <v>-1.6149999999999998</v>
      </c>
      <c r="E19" s="97">
        <f t="shared" si="2"/>
        <v>0.2337499999999999</v>
      </c>
      <c r="F19" s="98">
        <f>Waterpass!G27</f>
        <v>43.000000000000036</v>
      </c>
      <c r="G19" s="97">
        <f t="shared" si="0"/>
        <v>1.0781250000000013E-2</v>
      </c>
      <c r="H19" s="97"/>
    </row>
    <row r="20" spans="2:8" ht="14.5" x14ac:dyDescent="0.35">
      <c r="B20" s="96" t="s">
        <v>29</v>
      </c>
      <c r="C20" s="97"/>
      <c r="D20" s="97"/>
      <c r="E20" s="97"/>
      <c r="F20" s="97"/>
      <c r="G20" s="97"/>
      <c r="H20" s="97">
        <f t="shared" si="1"/>
        <v>0.17250000000000026</v>
      </c>
    </row>
    <row r="22" spans="2:8" ht="14.5" x14ac:dyDescent="0.35">
      <c r="B22" s="90" t="s">
        <v>94</v>
      </c>
      <c r="C22" s="94">
        <f>SUM(C5:C19)</f>
        <v>0.10900000000000021</v>
      </c>
      <c r="D22" s="94">
        <f>SUM(D5:D19)</f>
        <v>-6.3499999999999668E-2</v>
      </c>
      <c r="E22">
        <f>SUM(E5:E19)</f>
        <v>8.6250000000000104E-2</v>
      </c>
      <c r="F22" s="94">
        <f>SUM(F5:F19)</f>
        <v>430.8</v>
      </c>
      <c r="G22">
        <f>SUM(G5:G19)</f>
        <v>8.6250000000000104E-2</v>
      </c>
    </row>
    <row r="24" spans="2:8" ht="15" customHeight="1" x14ac:dyDescent="0.35">
      <c r="E24" s="95" t="s">
        <v>109</v>
      </c>
      <c r="F24" s="95"/>
      <c r="G24" s="95">
        <f>G22/8</f>
        <v>1.0781250000000013E-2</v>
      </c>
    </row>
    <row r="29" spans="2:8" ht="15.75" customHeight="1" x14ac:dyDescent="0.35"/>
    <row r="30" spans="2:8" ht="15.75" customHeight="1" x14ac:dyDescent="0.35"/>
    <row r="31" spans="2:8" ht="15.75" customHeight="1" x14ac:dyDescent="0.35"/>
    <row r="32" spans="2: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Theodolite</vt:lpstr>
      <vt:lpstr>KKH</vt:lpstr>
      <vt:lpstr>Waterpass</vt:lpstr>
      <vt:lpstr>KKV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Rehagel Beans</cp:lastModifiedBy>
  <dcterms:created xsi:type="dcterms:W3CDTF">2024-03-11T13:05:04Z</dcterms:created>
  <dcterms:modified xsi:type="dcterms:W3CDTF">2024-11-16T16:43:38Z</dcterms:modified>
</cp:coreProperties>
</file>